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" windowWidth="18765" windowHeight="8340" activeTab="7"/>
  </bookViews>
  <sheets>
    <sheet name="PPC" sheetId="4" r:id="rId1"/>
    <sheet name="PCR" sheetId="1" r:id="rId2"/>
    <sheet name="PTD" sheetId="12" r:id="rId3"/>
    <sheet name="TDR" sheetId="11" r:id="rId4"/>
    <sheet name="PI" sheetId="8" r:id="rId5"/>
    <sheet name="PIR" sheetId="9" r:id="rId6"/>
    <sheet name="OA" sheetId="10" r:id="rId7"/>
    <sheet name="tariff tables" sheetId="5" r:id="rId8"/>
  </sheets>
  <calcPr calcId="145621"/>
</workbook>
</file>

<file path=xl/calcChain.xml><?xml version="1.0" encoding="utf-8"?>
<calcChain xmlns="http://schemas.openxmlformats.org/spreadsheetml/2006/main">
  <c r="N5" i="5" l="1"/>
  <c r="N6" i="5"/>
  <c r="N7" i="5"/>
  <c r="N8" i="5"/>
  <c r="N4" i="5"/>
  <c r="K5" i="5"/>
  <c r="K6" i="5"/>
  <c r="K7" i="5"/>
  <c r="K8" i="5"/>
  <c r="K4" i="5"/>
  <c r="J5" i="5"/>
  <c r="J6" i="5"/>
  <c r="J7" i="5"/>
  <c r="J8" i="5"/>
  <c r="J4" i="5"/>
  <c r="I10" i="12" l="1"/>
  <c r="W25" i="1" l="1"/>
  <c r="X22" i="11" l="1"/>
  <c r="B31" i="11" l="1"/>
  <c r="B32" i="11" s="1"/>
  <c r="B33" i="11" s="1"/>
  <c r="Z39" i="1" l="1"/>
  <c r="W61" i="1" l="1"/>
  <c r="W63" i="11" l="1"/>
  <c r="X61" i="1"/>
  <c r="D9" i="5"/>
  <c r="C9" i="5"/>
  <c r="Y61" i="1" l="1"/>
  <c r="X63" i="11"/>
  <c r="AA29" i="11"/>
  <c r="Z61" i="1" l="1"/>
  <c r="Z63" i="11" s="1"/>
  <c r="Y63" i="11"/>
  <c r="J61" i="1"/>
  <c r="K61" i="1"/>
  <c r="L61" i="1"/>
  <c r="M61" i="1"/>
  <c r="N61" i="1"/>
  <c r="O61" i="1"/>
  <c r="O63" i="11" s="1"/>
  <c r="P61" i="1"/>
  <c r="P63" i="11" s="1"/>
  <c r="Q61" i="1"/>
  <c r="Q63" i="11" s="1"/>
  <c r="R61" i="1"/>
  <c r="R63" i="11" s="1"/>
  <c r="S61" i="1"/>
  <c r="S63" i="11" s="1"/>
  <c r="T61" i="1"/>
  <c r="T63" i="11" s="1"/>
  <c r="U61" i="1"/>
  <c r="U63" i="11" s="1"/>
  <c r="V61" i="1"/>
  <c r="V63" i="11" s="1"/>
  <c r="I61" i="1"/>
  <c r="H61" i="1"/>
  <c r="G61" i="1"/>
  <c r="F61" i="1"/>
  <c r="E61" i="1"/>
  <c r="D61" i="1"/>
  <c r="C61" i="1"/>
  <c r="B61" i="1"/>
  <c r="C4" i="11" l="1"/>
  <c r="Z22" i="11"/>
  <c r="Z23" i="11"/>
  <c r="Z24" i="11"/>
  <c r="Z25" i="11"/>
  <c r="Z26" i="11"/>
  <c r="Z40" i="1"/>
  <c r="Z41" i="1"/>
  <c r="Z42" i="1"/>
  <c r="Z43" i="1"/>
  <c r="Z25" i="1"/>
  <c r="Z26" i="1"/>
  <c r="Z27" i="1"/>
  <c r="Z28" i="1"/>
  <c r="Z29" i="1"/>
  <c r="C8" i="1"/>
  <c r="C7" i="1"/>
  <c r="C6" i="1"/>
  <c r="C5" i="1"/>
  <c r="C4" i="1"/>
  <c r="Z51" i="1" l="1"/>
  <c r="Z52" i="1"/>
  <c r="Z48" i="1"/>
  <c r="Z50" i="1"/>
  <c r="Z49" i="1"/>
  <c r="C7" i="11" l="1"/>
  <c r="AA30" i="11"/>
  <c r="C5" i="11"/>
  <c r="C6" i="11"/>
  <c r="AA38" i="11"/>
  <c r="AA37" i="11"/>
  <c r="AA36" i="11"/>
  <c r="A43" i="1"/>
  <c r="A42" i="1"/>
  <c r="A41" i="1"/>
  <c r="A40" i="1"/>
  <c r="A39" i="1"/>
  <c r="Y25" i="1"/>
  <c r="N25" i="1"/>
  <c r="O25" i="1"/>
  <c r="P25" i="1"/>
  <c r="Q25" i="1"/>
  <c r="R25" i="1"/>
  <c r="S25" i="1"/>
  <c r="T25" i="1"/>
  <c r="U25" i="1"/>
  <c r="V25" i="1"/>
  <c r="X25" i="1"/>
  <c r="N26" i="1"/>
  <c r="O26" i="1"/>
  <c r="P26" i="1"/>
  <c r="Q26" i="1"/>
  <c r="R26" i="1"/>
  <c r="S26" i="1"/>
  <c r="T26" i="1"/>
  <c r="U26" i="1"/>
  <c r="V26" i="1"/>
  <c r="W26" i="1"/>
  <c r="X26" i="1"/>
  <c r="Y26" i="1"/>
  <c r="N27" i="1"/>
  <c r="O27" i="1"/>
  <c r="P27" i="1"/>
  <c r="Q27" i="1"/>
  <c r="R27" i="1"/>
  <c r="S27" i="1"/>
  <c r="T27" i="1"/>
  <c r="U27" i="1"/>
  <c r="V27" i="1"/>
  <c r="W27" i="1"/>
  <c r="X27" i="1"/>
  <c r="Y27" i="1"/>
  <c r="N28" i="1"/>
  <c r="O28" i="1"/>
  <c r="P28" i="1"/>
  <c r="Q28" i="1"/>
  <c r="R28" i="1"/>
  <c r="S28" i="1"/>
  <c r="T28" i="1"/>
  <c r="U28" i="1"/>
  <c r="V28" i="1"/>
  <c r="W28" i="1"/>
  <c r="X28" i="1"/>
  <c r="Y28" i="1"/>
  <c r="N29" i="1"/>
  <c r="O29" i="1"/>
  <c r="P29" i="1"/>
  <c r="Q29" i="1"/>
  <c r="R29" i="1"/>
  <c r="S29" i="1"/>
  <c r="T29" i="1"/>
  <c r="U29" i="1"/>
  <c r="V29" i="1"/>
  <c r="W29" i="1"/>
  <c r="X29" i="1"/>
  <c r="Y29" i="1"/>
  <c r="H29" i="1"/>
  <c r="H52" i="1" s="1"/>
  <c r="G29" i="1"/>
  <c r="G52" i="1" s="1"/>
  <c r="F29" i="1"/>
  <c r="F52" i="1" s="1"/>
  <c r="E29" i="1"/>
  <c r="E52" i="1" s="1"/>
  <c r="D29" i="1"/>
  <c r="D52" i="1" s="1"/>
  <c r="C29" i="1"/>
  <c r="C52" i="1" s="1"/>
  <c r="B29" i="1"/>
  <c r="B52" i="1" s="1"/>
  <c r="B59" i="1" s="1"/>
  <c r="H28" i="1"/>
  <c r="H51" i="1" s="1"/>
  <c r="G28" i="1"/>
  <c r="G51" i="1" s="1"/>
  <c r="F28" i="1"/>
  <c r="F51" i="1" s="1"/>
  <c r="E28" i="1"/>
  <c r="E51" i="1" s="1"/>
  <c r="D28" i="1"/>
  <c r="D51" i="1" s="1"/>
  <c r="C28" i="1"/>
  <c r="C51" i="1" s="1"/>
  <c r="B28" i="1"/>
  <c r="B51" i="1" s="1"/>
  <c r="B58" i="1" s="1"/>
  <c r="H27" i="1"/>
  <c r="H50" i="1" s="1"/>
  <c r="G27" i="1"/>
  <c r="G50" i="1" s="1"/>
  <c r="F27" i="1"/>
  <c r="F50" i="1" s="1"/>
  <c r="E27" i="1"/>
  <c r="E50" i="1" s="1"/>
  <c r="D27" i="1"/>
  <c r="D50" i="1" s="1"/>
  <c r="C27" i="1"/>
  <c r="C50" i="1" s="1"/>
  <c r="B27" i="1"/>
  <c r="B50" i="1" s="1"/>
  <c r="B57" i="1" s="1"/>
  <c r="H26" i="1"/>
  <c r="H49" i="1" s="1"/>
  <c r="G26" i="1"/>
  <c r="G49" i="1" s="1"/>
  <c r="F26" i="1"/>
  <c r="F49" i="1" s="1"/>
  <c r="E26" i="1"/>
  <c r="E49" i="1" s="1"/>
  <c r="D26" i="1"/>
  <c r="D49" i="1" s="1"/>
  <c r="C26" i="1"/>
  <c r="C49" i="1" s="1"/>
  <c r="B26" i="1"/>
  <c r="B49" i="1" s="1"/>
  <c r="B56" i="1" s="1"/>
  <c r="H25" i="1"/>
  <c r="H48" i="1" s="1"/>
  <c r="G25" i="1"/>
  <c r="G48" i="1" s="1"/>
  <c r="F25" i="1"/>
  <c r="F48" i="1" s="1"/>
  <c r="E25" i="1"/>
  <c r="E48" i="1" s="1"/>
  <c r="D25" i="1"/>
  <c r="D48" i="1" s="1"/>
  <c r="C25" i="1"/>
  <c r="C48" i="1" s="1"/>
  <c r="B25" i="1"/>
  <c r="B48" i="1" l="1"/>
  <c r="B55" i="1" s="1"/>
  <c r="AB36" i="11"/>
  <c r="B36" i="11" s="1"/>
  <c r="C8" i="11"/>
  <c r="AA33" i="11"/>
  <c r="AA32" i="11"/>
  <c r="AA31" i="11"/>
  <c r="AB38" i="11"/>
  <c r="Z38" i="11" s="1"/>
  <c r="N49" i="1"/>
  <c r="N50" i="1"/>
  <c r="Z36" i="11"/>
  <c r="AB37" i="11"/>
  <c r="S37" i="11" s="1"/>
  <c r="N48" i="1"/>
  <c r="N52" i="1"/>
  <c r="N51" i="1"/>
  <c r="C37" i="11"/>
  <c r="L38" i="11"/>
  <c r="N38" i="11"/>
  <c r="P38" i="11"/>
  <c r="R38" i="11"/>
  <c r="T38" i="11"/>
  <c r="V38" i="11"/>
  <c r="X38" i="11"/>
  <c r="Y38" i="11"/>
  <c r="U38" i="11"/>
  <c r="Q38" i="11"/>
  <c r="M38" i="11"/>
  <c r="I38" i="11"/>
  <c r="E38" i="11"/>
  <c r="N36" i="11"/>
  <c r="C36" i="11"/>
  <c r="E36" i="11"/>
  <c r="G36" i="11"/>
  <c r="I36" i="11"/>
  <c r="K36" i="11"/>
  <c r="M36" i="11"/>
  <c r="P36" i="11"/>
  <c r="R36" i="11"/>
  <c r="T36" i="11"/>
  <c r="V36" i="11"/>
  <c r="X36" i="11"/>
  <c r="D36" i="11"/>
  <c r="F36" i="11"/>
  <c r="H36" i="11"/>
  <c r="J36" i="11"/>
  <c r="L36" i="11"/>
  <c r="O36" i="11"/>
  <c r="Q36" i="11"/>
  <c r="S36" i="11"/>
  <c r="U36" i="11"/>
  <c r="W36" i="11"/>
  <c r="Y36" i="11"/>
  <c r="B38" i="11"/>
  <c r="B40" i="11" s="1"/>
  <c r="W38" i="11"/>
  <c r="S38" i="11"/>
  <c r="O38" i="11"/>
  <c r="K38" i="11"/>
  <c r="G38" i="11"/>
  <c r="C38" i="11"/>
  <c r="V37" i="11"/>
  <c r="R37" i="11"/>
  <c r="B64" i="1"/>
  <c r="B65" i="1"/>
  <c r="B63" i="1"/>
  <c r="B66" i="1"/>
  <c r="B62" i="1" l="1"/>
  <c r="C55" i="1" s="1"/>
  <c r="C62" i="1" s="1"/>
  <c r="D55" i="1" s="1"/>
  <c r="AB31" i="11"/>
  <c r="AB32" i="11"/>
  <c r="AB33" i="11"/>
  <c r="AB30" i="11"/>
  <c r="B50" i="11"/>
  <c r="B57" i="11" s="1"/>
  <c r="J38" i="11"/>
  <c r="J40" i="11" s="1"/>
  <c r="H38" i="11"/>
  <c r="F38" i="11"/>
  <c r="D38" i="11"/>
  <c r="Q40" i="11"/>
  <c r="B68" i="1"/>
  <c r="B70" i="1"/>
  <c r="I37" i="11"/>
  <c r="I43" i="11" s="1"/>
  <c r="I53" i="11" s="1"/>
  <c r="Z37" i="11"/>
  <c r="Z44" i="11" s="1"/>
  <c r="Z54" i="11" s="1"/>
  <c r="H37" i="11"/>
  <c r="H41" i="11" s="1"/>
  <c r="H51" i="11" s="1"/>
  <c r="Z40" i="11"/>
  <c r="O40" i="11"/>
  <c r="P37" i="11"/>
  <c r="P43" i="11" s="1"/>
  <c r="F37" i="11"/>
  <c r="O37" i="11"/>
  <c r="O42" i="11" s="1"/>
  <c r="T37" i="11"/>
  <c r="N37" i="11"/>
  <c r="N41" i="11" s="1"/>
  <c r="B37" i="11"/>
  <c r="B41" i="11" s="1"/>
  <c r="B51" i="11" s="1"/>
  <c r="B58" i="11" s="1"/>
  <c r="K37" i="11"/>
  <c r="K41" i="11" s="1"/>
  <c r="K51" i="11" s="1"/>
  <c r="X37" i="11"/>
  <c r="J37" i="11"/>
  <c r="J43" i="11" s="1"/>
  <c r="J53" i="11" s="1"/>
  <c r="W37" i="11"/>
  <c r="G37" i="11"/>
  <c r="G41" i="11" s="1"/>
  <c r="G51" i="11" s="1"/>
  <c r="L37" i="11"/>
  <c r="L42" i="11" s="1"/>
  <c r="L52" i="11" s="1"/>
  <c r="D37" i="11"/>
  <c r="D43" i="11" s="1"/>
  <c r="D53" i="11" s="1"/>
  <c r="U37" i="11"/>
  <c r="M37" i="11"/>
  <c r="M44" i="11" s="1"/>
  <c r="M54" i="11" s="1"/>
  <c r="E37" i="11"/>
  <c r="E42" i="11" s="1"/>
  <c r="E52" i="11" s="1"/>
  <c r="Y37" i="11"/>
  <c r="Q37" i="11"/>
  <c r="Q44" i="11" s="1"/>
  <c r="G42" i="11"/>
  <c r="G52" i="11" s="1"/>
  <c r="G40" i="11"/>
  <c r="I40" i="11"/>
  <c r="I44" i="11"/>
  <c r="I54" i="11" s="1"/>
  <c r="N40" i="11"/>
  <c r="F40" i="11"/>
  <c r="F44" i="11"/>
  <c r="F54" i="11" s="1"/>
  <c r="C42" i="11"/>
  <c r="C52" i="11" s="1"/>
  <c r="C44" i="11"/>
  <c r="C54" i="11" s="1"/>
  <c r="C40" i="11"/>
  <c r="C41" i="11"/>
  <c r="C51" i="11" s="1"/>
  <c r="C43" i="11"/>
  <c r="C53" i="11" s="1"/>
  <c r="K40" i="11"/>
  <c r="E40" i="11"/>
  <c r="M40" i="11"/>
  <c r="M42" i="11"/>
  <c r="M52" i="11" s="1"/>
  <c r="P40" i="11"/>
  <c r="L40" i="11"/>
  <c r="L41" i="11"/>
  <c r="L51" i="11" s="1"/>
  <c r="L43" i="11"/>
  <c r="L53" i="11" s="1"/>
  <c r="H40" i="11"/>
  <c r="D40" i="11"/>
  <c r="C56" i="1"/>
  <c r="C63" i="1" s="1"/>
  <c r="D56" i="1" s="1"/>
  <c r="C57" i="1"/>
  <c r="C64" i="1" s="1"/>
  <c r="C59" i="1"/>
  <c r="C66" i="1" s="1"/>
  <c r="D59" i="1" s="1"/>
  <c r="C58" i="1"/>
  <c r="C65" i="1" s="1"/>
  <c r="R40" i="11"/>
  <c r="R41" i="11"/>
  <c r="R42" i="11"/>
  <c r="R44" i="11"/>
  <c r="R43" i="11"/>
  <c r="B67" i="1"/>
  <c r="F41" i="11" l="1"/>
  <c r="F51" i="11" s="1"/>
  <c r="F43" i="11"/>
  <c r="F53" i="11" s="1"/>
  <c r="D42" i="11"/>
  <c r="D52" i="11" s="1"/>
  <c r="O44" i="11"/>
  <c r="O54" i="11" s="1"/>
  <c r="B43" i="11"/>
  <c r="B44" i="11"/>
  <c r="B42" i="11"/>
  <c r="B45" i="11" s="1"/>
  <c r="H44" i="11"/>
  <c r="H54" i="11" s="1"/>
  <c r="F42" i="11"/>
  <c r="F52" i="11" s="1"/>
  <c r="H43" i="11"/>
  <c r="H53" i="11" s="1"/>
  <c r="H42" i="11"/>
  <c r="H52" i="11" s="1"/>
  <c r="M41" i="11"/>
  <c r="M51" i="11" s="1"/>
  <c r="O41" i="11"/>
  <c r="O51" i="11" s="1"/>
  <c r="J44" i="11"/>
  <c r="J54" i="11" s="1"/>
  <c r="N42" i="11"/>
  <c r="I41" i="11"/>
  <c r="I51" i="11" s="1"/>
  <c r="I42" i="11"/>
  <c r="I52" i="11" s="1"/>
  <c r="E43" i="11"/>
  <c r="E53" i="11" s="1"/>
  <c r="E44" i="11"/>
  <c r="E54" i="11" s="1"/>
  <c r="D50" i="11"/>
  <c r="L50" i="11"/>
  <c r="M50" i="11"/>
  <c r="G50" i="11"/>
  <c r="R45" i="11"/>
  <c r="H50" i="11"/>
  <c r="C50" i="11"/>
  <c r="C45" i="11"/>
  <c r="F50" i="11"/>
  <c r="F45" i="11"/>
  <c r="Z50" i="11"/>
  <c r="K50" i="11"/>
  <c r="I50" i="11"/>
  <c r="E50" i="11"/>
  <c r="J50" i="11"/>
  <c r="Z43" i="11"/>
  <c r="Z53" i="11" s="1"/>
  <c r="Z41" i="11"/>
  <c r="Z51" i="11" s="1"/>
  <c r="Z42" i="11"/>
  <c r="Z52" i="11" s="1"/>
  <c r="C70" i="1"/>
  <c r="M43" i="11"/>
  <c r="M53" i="11" s="1"/>
  <c r="J42" i="11"/>
  <c r="J52" i="11" s="1"/>
  <c r="P44" i="11"/>
  <c r="P54" i="11" s="1"/>
  <c r="K42" i="11"/>
  <c r="K52" i="11" s="1"/>
  <c r="L44" i="11"/>
  <c r="L54" i="11" s="1"/>
  <c r="E41" i="11"/>
  <c r="E51" i="11" s="1"/>
  <c r="K43" i="11"/>
  <c r="K53" i="11" s="1"/>
  <c r="K44" i="11"/>
  <c r="K54" i="11" s="1"/>
  <c r="J41" i="11"/>
  <c r="J51" i="11" s="1"/>
  <c r="N43" i="11"/>
  <c r="O43" i="11"/>
  <c r="G44" i="11"/>
  <c r="G54" i="11" s="1"/>
  <c r="P41" i="11"/>
  <c r="Q41" i="11"/>
  <c r="N44" i="11"/>
  <c r="G43" i="11"/>
  <c r="G53" i="11" s="1"/>
  <c r="P42" i="11"/>
  <c r="B53" i="11"/>
  <c r="B60" i="11" s="1"/>
  <c r="B67" i="11" s="1"/>
  <c r="D41" i="11"/>
  <c r="D51" i="11" s="1"/>
  <c r="D44" i="11"/>
  <c r="D54" i="11" s="1"/>
  <c r="Q43" i="11"/>
  <c r="Q42" i="11"/>
  <c r="B54" i="11"/>
  <c r="B61" i="11" s="1"/>
  <c r="B68" i="11" s="1"/>
  <c r="D58" i="1"/>
  <c r="D65" i="1" s="1"/>
  <c r="D57" i="1"/>
  <c r="D64" i="1" s="1"/>
  <c r="S43" i="11"/>
  <c r="S44" i="11"/>
  <c r="S42" i="11"/>
  <c r="S41" i="11"/>
  <c r="S40" i="11"/>
  <c r="D62" i="1"/>
  <c r="E55" i="1" s="1"/>
  <c r="D66" i="1"/>
  <c r="D63" i="1"/>
  <c r="E56" i="1" s="1"/>
  <c r="C68" i="1"/>
  <c r="Y22" i="11"/>
  <c r="R51" i="11"/>
  <c r="X23" i="11"/>
  <c r="Y23" i="11"/>
  <c r="O52" i="11"/>
  <c r="R52" i="11"/>
  <c r="X24" i="11"/>
  <c r="Y24" i="11"/>
  <c r="P53" i="11"/>
  <c r="R53" i="11"/>
  <c r="X25" i="11"/>
  <c r="Y25" i="11"/>
  <c r="Q54" i="11"/>
  <c r="R54" i="11"/>
  <c r="X26" i="11"/>
  <c r="Y26" i="11"/>
  <c r="Y39" i="1"/>
  <c r="Y40" i="1"/>
  <c r="Y49" i="1" s="1"/>
  <c r="Y41" i="1"/>
  <c r="Y50" i="1" s="1"/>
  <c r="Y42" i="1"/>
  <c r="Y51" i="1" s="1"/>
  <c r="Y43" i="1"/>
  <c r="Y52" i="1" s="1"/>
  <c r="X40" i="1"/>
  <c r="X49" i="1" s="1"/>
  <c r="X41" i="1"/>
  <c r="X50" i="1" s="1"/>
  <c r="X42" i="1"/>
  <c r="X51" i="1" s="1"/>
  <c r="X43" i="1"/>
  <c r="X52" i="1" s="1"/>
  <c r="X39" i="1"/>
  <c r="B4" i="1" s="1"/>
  <c r="P49" i="1"/>
  <c r="Q49" i="1"/>
  <c r="R49" i="1"/>
  <c r="S49" i="1"/>
  <c r="T49" i="1"/>
  <c r="U49" i="1"/>
  <c r="V49" i="1"/>
  <c r="W49" i="1"/>
  <c r="P50" i="1"/>
  <c r="Q50" i="1"/>
  <c r="R50" i="1"/>
  <c r="S50" i="1"/>
  <c r="T50" i="1"/>
  <c r="U50" i="1"/>
  <c r="V50" i="1"/>
  <c r="W50" i="1"/>
  <c r="P51" i="1"/>
  <c r="Q51" i="1"/>
  <c r="R51" i="1"/>
  <c r="S51" i="1"/>
  <c r="T51" i="1"/>
  <c r="U51" i="1"/>
  <c r="V51" i="1"/>
  <c r="W51" i="1"/>
  <c r="P52" i="1"/>
  <c r="Q52" i="1"/>
  <c r="R52" i="1"/>
  <c r="S52" i="1"/>
  <c r="T52" i="1"/>
  <c r="U52" i="1"/>
  <c r="V52" i="1"/>
  <c r="W52" i="1"/>
  <c r="H45" i="11" l="1"/>
  <c r="C60" i="11"/>
  <c r="C67" i="11" s="1"/>
  <c r="D60" i="11" s="1"/>
  <c r="D67" i="11" s="1"/>
  <c r="O45" i="11"/>
  <c r="O53" i="11"/>
  <c r="D70" i="1"/>
  <c r="P45" i="11"/>
  <c r="N45" i="11"/>
  <c r="M45" i="11"/>
  <c r="D45" i="11"/>
  <c r="I45" i="11"/>
  <c r="S45" i="11"/>
  <c r="Q45" i="11"/>
  <c r="Z45" i="11"/>
  <c r="L45" i="11"/>
  <c r="E45" i="11"/>
  <c r="K45" i="11"/>
  <c r="G45" i="11"/>
  <c r="J45" i="11"/>
  <c r="P51" i="11"/>
  <c r="B4" i="11"/>
  <c r="P52" i="11"/>
  <c r="N53" i="11"/>
  <c r="B7" i="11"/>
  <c r="N52" i="11"/>
  <c r="B6" i="11"/>
  <c r="N51" i="11"/>
  <c r="B5" i="11"/>
  <c r="N54" i="11"/>
  <c r="B8" i="11"/>
  <c r="Q51" i="11"/>
  <c r="B65" i="11"/>
  <c r="B52" i="11"/>
  <c r="B59" i="11" s="1"/>
  <c r="B66" i="11" s="1"/>
  <c r="Q52" i="11"/>
  <c r="B8" i="1"/>
  <c r="O51" i="1"/>
  <c r="B7" i="1"/>
  <c r="O50" i="1"/>
  <c r="B6" i="1"/>
  <c r="O49" i="1"/>
  <c r="B5" i="1"/>
  <c r="Q53" i="11"/>
  <c r="S50" i="11"/>
  <c r="S52" i="11"/>
  <c r="S53" i="11"/>
  <c r="R50" i="11"/>
  <c r="P50" i="11"/>
  <c r="Q50" i="11"/>
  <c r="O50" i="11"/>
  <c r="S51" i="11"/>
  <c r="S54" i="11"/>
  <c r="N50" i="11"/>
  <c r="B64" i="11"/>
  <c r="C61" i="11"/>
  <c r="C68" i="11" s="1"/>
  <c r="D61" i="11" s="1"/>
  <c r="D68" i="11" s="1"/>
  <c r="E61" i="11" s="1"/>
  <c r="E68" i="11" s="1"/>
  <c r="F61" i="11" s="1"/>
  <c r="E57" i="1"/>
  <c r="E64" i="1" s="1"/>
  <c r="F57" i="1" s="1"/>
  <c r="E58" i="1"/>
  <c r="E65" i="1" s="1"/>
  <c r="F58" i="1" s="1"/>
  <c r="O52" i="1"/>
  <c r="W48" i="1"/>
  <c r="U48" i="1"/>
  <c r="S48" i="1"/>
  <c r="Q48" i="1"/>
  <c r="O48" i="1"/>
  <c r="Y48" i="1"/>
  <c r="V48" i="1"/>
  <c r="T48" i="1"/>
  <c r="R48" i="1"/>
  <c r="P48" i="1"/>
  <c r="X48" i="1"/>
  <c r="E59" i="1"/>
  <c r="E66" i="1" s="1"/>
  <c r="T42" i="11"/>
  <c r="T52" i="11" s="1"/>
  <c r="T40" i="11"/>
  <c r="T41" i="11"/>
  <c r="T51" i="11" s="1"/>
  <c r="T44" i="11"/>
  <c r="T43" i="11"/>
  <c r="T53" i="11" s="1"/>
  <c r="E62" i="1"/>
  <c r="E63" i="1"/>
  <c r="F56" i="1" s="1"/>
  <c r="D68" i="1"/>
  <c r="B70" i="11" l="1"/>
  <c r="E60" i="11"/>
  <c r="E67" i="11" s="1"/>
  <c r="F60" i="11" s="1"/>
  <c r="F67" i="11" s="1"/>
  <c r="E70" i="1"/>
  <c r="B72" i="11"/>
  <c r="B69" i="11" s="1"/>
  <c r="T45" i="11"/>
  <c r="C58" i="11"/>
  <c r="C65" i="11" s="1"/>
  <c r="T54" i="11"/>
  <c r="C59" i="11"/>
  <c r="C66" i="11" s="1"/>
  <c r="D59" i="11" s="1"/>
  <c r="D66" i="11" s="1"/>
  <c r="E59" i="11" s="1"/>
  <c r="E66" i="11" s="1"/>
  <c r="T50" i="11"/>
  <c r="C57" i="11"/>
  <c r="F59" i="1"/>
  <c r="F66" i="1" s="1"/>
  <c r="G59" i="1" s="1"/>
  <c r="F68" i="11"/>
  <c r="G61" i="11" s="1"/>
  <c r="U43" i="11"/>
  <c r="U53" i="11" s="1"/>
  <c r="U44" i="11"/>
  <c r="U54" i="11" s="1"/>
  <c r="U41" i="11"/>
  <c r="U51" i="11" s="1"/>
  <c r="U40" i="11"/>
  <c r="U42" i="11"/>
  <c r="U52" i="11" s="1"/>
  <c r="F64" i="1"/>
  <c r="G57" i="1" s="1"/>
  <c r="F65" i="1"/>
  <c r="G58" i="1" s="1"/>
  <c r="F63" i="1"/>
  <c r="G56" i="1" s="1"/>
  <c r="E68" i="1"/>
  <c r="F55" i="1"/>
  <c r="I1" i="12"/>
  <c r="U50" i="11" l="1"/>
  <c r="U45" i="11"/>
  <c r="D58" i="11"/>
  <c r="D65" i="11" s="1"/>
  <c r="E58" i="11" s="1"/>
  <c r="E65" i="11" s="1"/>
  <c r="F59" i="11"/>
  <c r="F66" i="11" s="1"/>
  <c r="G59" i="11" s="1"/>
  <c r="G66" i="11" s="1"/>
  <c r="C64" i="11"/>
  <c r="G60" i="11"/>
  <c r="G67" i="11" s="1"/>
  <c r="H60" i="11" s="1"/>
  <c r="G68" i="11"/>
  <c r="H61" i="11" s="1"/>
  <c r="V44" i="11"/>
  <c r="V42" i="11"/>
  <c r="V52" i="11" s="1"/>
  <c r="V40" i="11"/>
  <c r="V41" i="11"/>
  <c r="V51" i="11" s="1"/>
  <c r="V43" i="11"/>
  <c r="V53" i="11" s="1"/>
  <c r="G66" i="1"/>
  <c r="H59" i="1" s="1"/>
  <c r="G63" i="1"/>
  <c r="G65" i="1"/>
  <c r="H58" i="1" s="1"/>
  <c r="G64" i="1"/>
  <c r="H57" i="1" s="1"/>
  <c r="F62" i="1"/>
  <c r="F70" i="1" s="1"/>
  <c r="C70" i="11" l="1"/>
  <c r="C72" i="11"/>
  <c r="C69" i="11" s="1"/>
  <c r="V45" i="11"/>
  <c r="F58" i="11"/>
  <c r="F65" i="11" s="1"/>
  <c r="G58" i="11" s="1"/>
  <c r="G65" i="11" s="1"/>
  <c r="H58" i="11" s="1"/>
  <c r="H65" i="11" s="1"/>
  <c r="I58" i="11" s="1"/>
  <c r="D57" i="11"/>
  <c r="D64" i="11" s="1"/>
  <c r="H59" i="11"/>
  <c r="H66" i="11" s="1"/>
  <c r="I59" i="11" s="1"/>
  <c r="V50" i="11"/>
  <c r="V54" i="11"/>
  <c r="G55" i="1"/>
  <c r="G62" i="1" s="1"/>
  <c r="H55" i="1" s="1"/>
  <c r="H56" i="1"/>
  <c r="H63" i="1" s="1"/>
  <c r="H68" i="11"/>
  <c r="H67" i="11"/>
  <c r="W41" i="11"/>
  <c r="W51" i="11" s="1"/>
  <c r="W40" i="11"/>
  <c r="W44" i="11"/>
  <c r="W54" i="11" s="1"/>
  <c r="W43" i="11"/>
  <c r="W53" i="11" s="1"/>
  <c r="W42" i="11"/>
  <c r="W52" i="11" s="1"/>
  <c r="H64" i="1"/>
  <c r="H65" i="1"/>
  <c r="H66" i="1"/>
  <c r="F68" i="1"/>
  <c r="D72" i="11" l="1"/>
  <c r="E57" i="11"/>
  <c r="E64" i="11" s="1"/>
  <c r="D70" i="11"/>
  <c r="W50" i="11"/>
  <c r="W45" i="11"/>
  <c r="G70" i="1"/>
  <c r="I61" i="11"/>
  <c r="I68" i="11" s="1"/>
  <c r="J61" i="11" s="1"/>
  <c r="I60" i="11"/>
  <c r="I67" i="11" s="1"/>
  <c r="I66" i="11"/>
  <c r="I65" i="11"/>
  <c r="J58" i="11" s="1"/>
  <c r="X43" i="11"/>
  <c r="X53" i="11" s="1"/>
  <c r="X42" i="11"/>
  <c r="X52" i="11" s="1"/>
  <c r="X44" i="11"/>
  <c r="X40" i="11"/>
  <c r="X41" i="11"/>
  <c r="X51" i="11" s="1"/>
  <c r="H62" i="1"/>
  <c r="G68" i="1"/>
  <c r="J28" i="1"/>
  <c r="J51" i="1" s="1"/>
  <c r="K29" i="1"/>
  <c r="K52" i="1" s="1"/>
  <c r="M29" i="1"/>
  <c r="M52" i="1" s="1"/>
  <c r="L29" i="1"/>
  <c r="L52" i="1" s="1"/>
  <c r="I27" i="1"/>
  <c r="J26" i="1"/>
  <c r="J49" i="1" s="1"/>
  <c r="J25" i="1"/>
  <c r="J48" i="1" s="1"/>
  <c r="L27" i="1"/>
  <c r="L50" i="1" s="1"/>
  <c r="I29" i="1"/>
  <c r="K27" i="1"/>
  <c r="K50" i="1" s="1"/>
  <c r="M27" i="1"/>
  <c r="M50" i="1" s="1"/>
  <c r="I28" i="1"/>
  <c r="I25" i="1"/>
  <c r="I26" i="1"/>
  <c r="J29" i="1"/>
  <c r="J52" i="1" s="1"/>
  <c r="J27" i="1"/>
  <c r="J50" i="1" s="1"/>
  <c r="K28" i="1"/>
  <c r="K51" i="1" s="1"/>
  <c r="K25" i="1"/>
  <c r="K48" i="1" s="1"/>
  <c r="K26" i="1"/>
  <c r="K49" i="1" s="1"/>
  <c r="M28" i="1"/>
  <c r="M51" i="1" s="1"/>
  <c r="M25" i="1"/>
  <c r="M48" i="1" s="1"/>
  <c r="M26" i="1"/>
  <c r="M49" i="1" s="1"/>
  <c r="L28" i="1"/>
  <c r="L51" i="1" s="1"/>
  <c r="L25" i="1"/>
  <c r="L48" i="1" s="1"/>
  <c r="L26" i="1"/>
  <c r="L49" i="1" s="1"/>
  <c r="D4" i="1" l="1"/>
  <c r="E4" i="1" s="1"/>
  <c r="F57" i="11"/>
  <c r="F64" i="11" s="1"/>
  <c r="H70" i="1"/>
  <c r="E70" i="11"/>
  <c r="E72" i="11"/>
  <c r="X50" i="11"/>
  <c r="X45" i="11"/>
  <c r="I51" i="1"/>
  <c r="I58" i="1" s="1"/>
  <c r="I65" i="1" s="1"/>
  <c r="J58" i="1" s="1"/>
  <c r="J65" i="1" s="1"/>
  <c r="K58" i="1" s="1"/>
  <c r="D7" i="1"/>
  <c r="E7" i="1" s="1"/>
  <c r="I49" i="1"/>
  <c r="I56" i="1" s="1"/>
  <c r="I63" i="1" s="1"/>
  <c r="D5" i="1"/>
  <c r="E5" i="1" s="1"/>
  <c r="I48" i="1"/>
  <c r="I55" i="1" s="1"/>
  <c r="I62" i="1" s="1"/>
  <c r="I52" i="1"/>
  <c r="I59" i="1" s="1"/>
  <c r="I66" i="1" s="1"/>
  <c r="D8" i="1"/>
  <c r="E8" i="1" s="1"/>
  <c r="I50" i="1"/>
  <c r="I57" i="1" s="1"/>
  <c r="I64" i="1" s="1"/>
  <c r="D6" i="1"/>
  <c r="E6" i="1" s="1"/>
  <c r="J60" i="11"/>
  <c r="J67" i="11" s="1"/>
  <c r="K60" i="11" s="1"/>
  <c r="X54" i="11"/>
  <c r="J59" i="11"/>
  <c r="J66" i="11" s="1"/>
  <c r="K59" i="11" s="1"/>
  <c r="J59" i="1"/>
  <c r="J66" i="1" s="1"/>
  <c r="K59" i="1" s="1"/>
  <c r="J65" i="11"/>
  <c r="K58" i="11" s="1"/>
  <c r="J68" i="11"/>
  <c r="K61" i="11" s="1"/>
  <c r="Y42" i="11"/>
  <c r="D6" i="11" s="1"/>
  <c r="Y41" i="11"/>
  <c r="D5" i="11" s="1"/>
  <c r="Y40" i="11"/>
  <c r="D4" i="11" s="1"/>
  <c r="Y44" i="11"/>
  <c r="Y43" i="11"/>
  <c r="D7" i="11" s="1"/>
  <c r="C67" i="1"/>
  <c r="H68" i="1"/>
  <c r="F9" i="12"/>
  <c r="J56" i="1" l="1"/>
  <c r="J63" i="1" s="1"/>
  <c r="K56" i="1" s="1"/>
  <c r="F70" i="11"/>
  <c r="F72" i="11"/>
  <c r="E4" i="11"/>
  <c r="Y45" i="11"/>
  <c r="I70" i="1"/>
  <c r="J57" i="1"/>
  <c r="J64" i="1" s="1"/>
  <c r="K57" i="1" s="1"/>
  <c r="K64" i="1" s="1"/>
  <c r="L57" i="1" s="1"/>
  <c r="Y54" i="11"/>
  <c r="D8" i="11"/>
  <c r="Y50" i="11"/>
  <c r="Y51" i="11"/>
  <c r="Y52" i="11"/>
  <c r="Y53" i="11"/>
  <c r="K66" i="1"/>
  <c r="L59" i="1" s="1"/>
  <c r="K63" i="1"/>
  <c r="L56" i="1" s="1"/>
  <c r="L63" i="1" s="1"/>
  <c r="M56" i="1" s="1"/>
  <c r="M63" i="1" s="1"/>
  <c r="N56" i="1" s="1"/>
  <c r="N63" i="1" s="1"/>
  <c r="K65" i="1"/>
  <c r="L58" i="1" s="1"/>
  <c r="K66" i="11"/>
  <c r="K67" i="11"/>
  <c r="L60" i="11" s="1"/>
  <c r="K68" i="11"/>
  <c r="L61" i="11" s="1"/>
  <c r="K65" i="11"/>
  <c r="L58" i="11" s="1"/>
  <c r="G57" i="11"/>
  <c r="B8" i="12"/>
  <c r="B6" i="12"/>
  <c r="B7" i="12"/>
  <c r="B5" i="12"/>
  <c r="C9" i="11"/>
  <c r="D67" i="1"/>
  <c r="I68" i="1"/>
  <c r="J55" i="1"/>
  <c r="E9" i="1"/>
  <c r="B9" i="4"/>
  <c r="F9" i="4"/>
  <c r="G2" i="12"/>
  <c r="B9" i="12" l="1"/>
  <c r="O56" i="1"/>
  <c r="O63" i="1" s="1"/>
  <c r="P56" i="1" s="1"/>
  <c r="G7" i="12"/>
  <c r="H7" i="12"/>
  <c r="G5" i="12"/>
  <c r="H4" i="12"/>
  <c r="L59" i="11"/>
  <c r="L66" i="11" s="1"/>
  <c r="M59" i="11" s="1"/>
  <c r="L66" i="1"/>
  <c r="M59" i="1" s="1"/>
  <c r="M66" i="1" s="1"/>
  <c r="N59" i="1" s="1"/>
  <c r="L65" i="1"/>
  <c r="M58" i="1" s="1"/>
  <c r="M65" i="1" s="1"/>
  <c r="N58" i="1" s="1"/>
  <c r="L64" i="1"/>
  <c r="M57" i="1" s="1"/>
  <c r="M64" i="1" s="1"/>
  <c r="N57" i="1" s="1"/>
  <c r="N64" i="1" s="1"/>
  <c r="D69" i="11"/>
  <c r="L68" i="11"/>
  <c r="M61" i="11" s="1"/>
  <c r="L65" i="11"/>
  <c r="M58" i="11" s="1"/>
  <c r="L67" i="11"/>
  <c r="M60" i="11" s="1"/>
  <c r="G64" i="11"/>
  <c r="G70" i="11" s="1"/>
  <c r="H6" i="12"/>
  <c r="H8" i="12"/>
  <c r="G8" i="12"/>
  <c r="G6" i="12"/>
  <c r="H5" i="12"/>
  <c r="E67" i="1"/>
  <c r="J62" i="1"/>
  <c r="H2" i="12"/>
  <c r="F2" i="12"/>
  <c r="G72" i="11" l="1"/>
  <c r="K55" i="1"/>
  <c r="K62" i="1" s="1"/>
  <c r="K68" i="1" s="1"/>
  <c r="J70" i="1"/>
  <c r="H9" i="12"/>
  <c r="G9" i="12"/>
  <c r="G11" i="12" s="1"/>
  <c r="N65" i="1"/>
  <c r="N66" i="1"/>
  <c r="P63" i="1"/>
  <c r="Q56" i="1" s="1"/>
  <c r="M67" i="11"/>
  <c r="N60" i="11" s="1"/>
  <c r="M66" i="11"/>
  <c r="N59" i="11" s="1"/>
  <c r="M65" i="11"/>
  <c r="N58" i="11" s="1"/>
  <c r="M68" i="11"/>
  <c r="N61" i="11" s="1"/>
  <c r="E69" i="11"/>
  <c r="H57" i="11"/>
  <c r="F67" i="1"/>
  <c r="J68" i="1"/>
  <c r="K70" i="1" l="1"/>
  <c r="O59" i="1"/>
  <c r="O66" i="1" s="1"/>
  <c r="P59" i="1" s="1"/>
  <c r="P66" i="1" s="1"/>
  <c r="Q59" i="1" s="1"/>
  <c r="Q66" i="1" s="1"/>
  <c r="R59" i="1" s="1"/>
  <c r="R66" i="1" s="1"/>
  <c r="S59" i="1" s="1"/>
  <c r="S66" i="1" s="1"/>
  <c r="T59" i="1" s="1"/>
  <c r="T66" i="1" s="1"/>
  <c r="U59" i="1" s="1"/>
  <c r="O58" i="1"/>
  <c r="O65" i="1" s="1"/>
  <c r="P58" i="1" s="1"/>
  <c r="P65" i="1" s="1"/>
  <c r="Q58" i="1" s="1"/>
  <c r="O57" i="1"/>
  <c r="Q63" i="1"/>
  <c r="R56" i="1" s="1"/>
  <c r="L55" i="1"/>
  <c r="N66" i="11"/>
  <c r="O59" i="11" s="1"/>
  <c r="O66" i="11" s="1"/>
  <c r="P59" i="11" s="1"/>
  <c r="N67" i="11"/>
  <c r="O60" i="11" s="1"/>
  <c r="O67" i="11" s="1"/>
  <c r="P60" i="11" s="1"/>
  <c r="N68" i="11"/>
  <c r="O61" i="11" s="1"/>
  <c r="O68" i="11" s="1"/>
  <c r="P61" i="11" s="1"/>
  <c r="N65" i="11"/>
  <c r="O58" i="11" s="1"/>
  <c r="O65" i="11" s="1"/>
  <c r="P58" i="11" s="1"/>
  <c r="F69" i="11"/>
  <c r="H64" i="11"/>
  <c r="H70" i="11" s="1"/>
  <c r="G67" i="1"/>
  <c r="H72" i="11" l="1"/>
  <c r="H67" i="1"/>
  <c r="O64" i="1"/>
  <c r="P57" i="1" s="1"/>
  <c r="P64" i="1" s="1"/>
  <c r="Q57" i="1" s="1"/>
  <c r="Q64" i="1" s="1"/>
  <c r="R57" i="1" s="1"/>
  <c r="R64" i="1" s="1"/>
  <c r="S57" i="1" s="1"/>
  <c r="S64" i="1" s="1"/>
  <c r="T57" i="1" s="1"/>
  <c r="T64" i="1" s="1"/>
  <c r="U57" i="1" s="1"/>
  <c r="R63" i="1"/>
  <c r="S56" i="1" s="1"/>
  <c r="S63" i="1" s="1"/>
  <c r="T56" i="1" s="1"/>
  <c r="T63" i="1" s="1"/>
  <c r="U56" i="1" s="1"/>
  <c r="Q65" i="1"/>
  <c r="R58" i="1" s="1"/>
  <c r="R65" i="1" s="1"/>
  <c r="S58" i="1" s="1"/>
  <c r="S65" i="1" s="1"/>
  <c r="T58" i="1" s="1"/>
  <c r="T65" i="1" s="1"/>
  <c r="U58" i="1" s="1"/>
  <c r="U66" i="1"/>
  <c r="V59" i="1" s="1"/>
  <c r="V66" i="1" s="1"/>
  <c r="W59" i="1" s="1"/>
  <c r="W66" i="1" s="1"/>
  <c r="X59" i="1" s="1"/>
  <c r="X66" i="1" s="1"/>
  <c r="Y59" i="1" s="1"/>
  <c r="L62" i="1"/>
  <c r="P65" i="11"/>
  <c r="Q58" i="11" s="1"/>
  <c r="Q65" i="11" s="1"/>
  <c r="R58" i="11" s="1"/>
  <c r="R65" i="11" s="1"/>
  <c r="S58" i="11" s="1"/>
  <c r="P67" i="11"/>
  <c r="Q60" i="11" s="1"/>
  <c r="Q67" i="11" s="1"/>
  <c r="R60" i="11" s="1"/>
  <c r="R67" i="11" s="1"/>
  <c r="S60" i="11" s="1"/>
  <c r="P68" i="11"/>
  <c r="Q61" i="11" s="1"/>
  <c r="Q68" i="11" s="1"/>
  <c r="R61" i="11" s="1"/>
  <c r="R68" i="11" s="1"/>
  <c r="S61" i="11" s="1"/>
  <c r="P66" i="11"/>
  <c r="Q59" i="11" s="1"/>
  <c r="Q66" i="11" s="1"/>
  <c r="R59" i="11" s="1"/>
  <c r="R66" i="11" s="1"/>
  <c r="S59" i="11" s="1"/>
  <c r="I57" i="11"/>
  <c r="I64" i="11" s="1"/>
  <c r="I70" i="11" s="1"/>
  <c r="G69" i="11"/>
  <c r="I72" i="11" l="1"/>
  <c r="H69" i="11"/>
  <c r="L68" i="1"/>
  <c r="L70" i="1"/>
  <c r="U63" i="1"/>
  <c r="V56" i="1" s="1"/>
  <c r="V63" i="1" s="1"/>
  <c r="W56" i="1" s="1"/>
  <c r="W63" i="1" s="1"/>
  <c r="X56" i="1" s="1"/>
  <c r="X63" i="1" s="1"/>
  <c r="Y56" i="1" s="1"/>
  <c r="U64" i="1"/>
  <c r="V57" i="1" s="1"/>
  <c r="V64" i="1" s="1"/>
  <c r="W57" i="1" s="1"/>
  <c r="W64" i="1" s="1"/>
  <c r="X57" i="1" s="1"/>
  <c r="X64" i="1" s="1"/>
  <c r="Y57" i="1" s="1"/>
  <c r="U65" i="1"/>
  <c r="V58" i="1" s="1"/>
  <c r="V65" i="1" s="1"/>
  <c r="W58" i="1" s="1"/>
  <c r="W65" i="1" s="1"/>
  <c r="X58" i="1" s="1"/>
  <c r="X65" i="1" s="1"/>
  <c r="Y58" i="1" s="1"/>
  <c r="M55" i="1"/>
  <c r="S65" i="11"/>
  <c r="T58" i="11" s="1"/>
  <c r="S66" i="11"/>
  <c r="T59" i="11" s="1"/>
  <c r="T66" i="11" s="1"/>
  <c r="U59" i="11" s="1"/>
  <c r="U66" i="11" s="1"/>
  <c r="V59" i="11" s="1"/>
  <c r="V66" i="11" s="1"/>
  <c r="W59" i="11" s="1"/>
  <c r="W66" i="11" s="1"/>
  <c r="X59" i="11" s="1"/>
  <c r="X66" i="11" s="1"/>
  <c r="Y59" i="11" s="1"/>
  <c r="S68" i="11"/>
  <c r="T61" i="11" s="1"/>
  <c r="S67" i="11"/>
  <c r="T60" i="11" s="1"/>
  <c r="T67" i="11" s="1"/>
  <c r="U60" i="11" s="1"/>
  <c r="U67" i="11" s="1"/>
  <c r="V60" i="11" s="1"/>
  <c r="V67" i="11" s="1"/>
  <c r="W60" i="11" s="1"/>
  <c r="J57" i="11"/>
  <c r="Y66" i="1"/>
  <c r="C18" i="11"/>
  <c r="D18" i="11" s="1"/>
  <c r="E18" i="11" s="1"/>
  <c r="F18" i="11" s="1"/>
  <c r="G18" i="11" s="1"/>
  <c r="H18" i="11" s="1"/>
  <c r="I18" i="11" s="1"/>
  <c r="J18" i="11" s="1"/>
  <c r="K18" i="11" s="1"/>
  <c r="L18" i="11" s="1"/>
  <c r="M18" i="11" s="1"/>
  <c r="N18" i="11" s="1"/>
  <c r="O18" i="11" s="1"/>
  <c r="P18" i="11" s="1"/>
  <c r="Q18" i="11" s="1"/>
  <c r="R18" i="11" s="1"/>
  <c r="S18" i="11" s="1"/>
  <c r="T18" i="11" s="1"/>
  <c r="U18" i="11" s="1"/>
  <c r="V18" i="11" s="1"/>
  <c r="W18" i="11" s="1"/>
  <c r="X18" i="11" s="1"/>
  <c r="Y18" i="11" s="1"/>
  <c r="Z18" i="11" s="1"/>
  <c r="Y66" i="11" l="1"/>
  <c r="Z59" i="11" s="1"/>
  <c r="Z66" i="11" s="1"/>
  <c r="F6" i="11" s="1"/>
  <c r="Y65" i="1"/>
  <c r="Z58" i="1" s="1"/>
  <c r="Z65" i="1" s="1"/>
  <c r="F7" i="1" s="1"/>
  <c r="Y63" i="1"/>
  <c r="Z56" i="1" s="1"/>
  <c r="Z63" i="1" s="1"/>
  <c r="F5" i="1" s="1"/>
  <c r="Y64" i="1"/>
  <c r="Z57" i="1" s="1"/>
  <c r="Z64" i="1" s="1"/>
  <c r="F6" i="1" s="1"/>
  <c r="Z59" i="1"/>
  <c r="Z66" i="1" s="1"/>
  <c r="F8" i="1" s="1"/>
  <c r="M62" i="1"/>
  <c r="M68" i="1" s="1"/>
  <c r="W67" i="11"/>
  <c r="X60" i="11" s="1"/>
  <c r="T68" i="11"/>
  <c r="U61" i="11" s="1"/>
  <c r="U68" i="11" s="1"/>
  <c r="V61" i="11" s="1"/>
  <c r="V68" i="11" s="1"/>
  <c r="W61" i="11" s="1"/>
  <c r="T65" i="11"/>
  <c r="U58" i="11" s="1"/>
  <c r="U65" i="11" s="1"/>
  <c r="V58" i="11" s="1"/>
  <c r="V65" i="11" s="1"/>
  <c r="W58" i="11" s="1"/>
  <c r="J64" i="11"/>
  <c r="J70" i="11" s="1"/>
  <c r="J72" i="11" l="1"/>
  <c r="M70" i="1"/>
  <c r="N55" i="1"/>
  <c r="W68" i="11"/>
  <c r="X61" i="11" s="1"/>
  <c r="X68" i="11" s="1"/>
  <c r="Y61" i="11" s="1"/>
  <c r="W65" i="11"/>
  <c r="X58" i="11" s="1"/>
  <c r="X67" i="11"/>
  <c r="Y60" i="11" s="1"/>
  <c r="K57" i="11"/>
  <c r="Y68" i="11" l="1"/>
  <c r="Z61" i="11" s="1"/>
  <c r="Z68" i="11" s="1"/>
  <c r="F8" i="11" s="1"/>
  <c r="Y67" i="11"/>
  <c r="Z60" i="11" s="1"/>
  <c r="Z67" i="11" s="1"/>
  <c r="F7" i="11" s="1"/>
  <c r="N62" i="1"/>
  <c r="N70" i="1" s="1"/>
  <c r="X65" i="11"/>
  <c r="Y58" i="11" s="1"/>
  <c r="K64" i="11"/>
  <c r="K70" i="11" s="1"/>
  <c r="K72" i="11" l="1"/>
  <c r="K69" i="11" s="1"/>
  <c r="Y65" i="11"/>
  <c r="Z58" i="11" s="1"/>
  <c r="Z65" i="11" s="1"/>
  <c r="F5" i="11" s="1"/>
  <c r="N68" i="1"/>
  <c r="O55" i="1"/>
  <c r="O62" i="1" s="1"/>
  <c r="O68" i="1" s="1"/>
  <c r="L57" i="11"/>
  <c r="D9" i="11"/>
  <c r="O70" i="1" l="1"/>
  <c r="P55" i="1"/>
  <c r="L64" i="11"/>
  <c r="L70" i="11" s="1"/>
  <c r="G5" i="5"/>
  <c r="G6" i="5"/>
  <c r="G7" i="5"/>
  <c r="G8" i="5"/>
  <c r="G4" i="5"/>
  <c r="G11" i="4"/>
  <c r="G8" i="4"/>
  <c r="H7" i="4"/>
  <c r="G6" i="4"/>
  <c r="G5" i="4"/>
  <c r="H5" i="4"/>
  <c r="H4" i="4"/>
  <c r="L72" i="11" l="1"/>
  <c r="P62" i="1"/>
  <c r="Q55" i="1" s="1"/>
  <c r="M57" i="11"/>
  <c r="I4" i="4"/>
  <c r="I11" i="4" s="1"/>
  <c r="F31" i="5"/>
  <c r="C9" i="1"/>
  <c r="F21" i="5"/>
  <c r="F14" i="4"/>
  <c r="G12" i="4"/>
  <c r="G13" i="4"/>
  <c r="G15" i="4"/>
  <c r="H12" i="4"/>
  <c r="I5" i="4"/>
  <c r="I12" i="4" s="1"/>
  <c r="H14" i="4"/>
  <c r="I7" i="4"/>
  <c r="I14" i="4" s="1"/>
  <c r="H6" i="4"/>
  <c r="G7" i="4"/>
  <c r="G14" i="4" s="1"/>
  <c r="H8" i="4"/>
  <c r="H11" i="4"/>
  <c r="B9" i="1"/>
  <c r="P70" i="1" l="1"/>
  <c r="P68" i="1"/>
  <c r="M64" i="11"/>
  <c r="H9" i="4"/>
  <c r="G9" i="4"/>
  <c r="F15" i="4"/>
  <c r="F12" i="4"/>
  <c r="C5" i="4" s="1"/>
  <c r="C17" i="5" s="1"/>
  <c r="F13" i="4"/>
  <c r="F11" i="4"/>
  <c r="C4" i="4" s="1"/>
  <c r="C7" i="4"/>
  <c r="C19" i="5" s="1"/>
  <c r="I8" i="4"/>
  <c r="I15" i="4" s="1"/>
  <c r="H15" i="4"/>
  <c r="I6" i="4"/>
  <c r="I13" i="4" s="1"/>
  <c r="H13" i="4"/>
  <c r="M72" i="11" l="1"/>
  <c r="M70" i="11"/>
  <c r="Q62" i="1"/>
  <c r="Q68" i="1" s="1"/>
  <c r="N57" i="11"/>
  <c r="I9" i="4"/>
  <c r="C16" i="5"/>
  <c r="C6" i="4"/>
  <c r="C18" i="5" s="1"/>
  <c r="C8" i="4"/>
  <c r="C20" i="5" s="1"/>
  <c r="Q70" i="1" l="1"/>
  <c r="R55" i="1"/>
  <c r="N64" i="11"/>
  <c r="N70" i="11" s="1"/>
  <c r="C9" i="4"/>
  <c r="D9" i="1"/>
  <c r="O57" i="11" l="1"/>
  <c r="O64" i="11" s="1"/>
  <c r="N72" i="11"/>
  <c r="R62" i="1"/>
  <c r="R70" i="1" s="1"/>
  <c r="C10" i="4"/>
  <c r="P57" i="11" l="1"/>
  <c r="P64" i="11" s="1"/>
  <c r="P70" i="11" s="1"/>
  <c r="O70" i="11"/>
  <c r="O72" i="11"/>
  <c r="R68" i="1"/>
  <c r="S55" i="1"/>
  <c r="S62" i="1" s="1"/>
  <c r="S68" i="1" s="1"/>
  <c r="P72" i="11" l="1"/>
  <c r="S70" i="1"/>
  <c r="T55" i="1"/>
  <c r="Q57" i="11"/>
  <c r="C18" i="1"/>
  <c r="D18" i="1" s="1"/>
  <c r="E18" i="1" s="1"/>
  <c r="F18" i="1" s="1"/>
  <c r="G18" i="1" s="1"/>
  <c r="H18" i="1" s="1"/>
  <c r="I18" i="1" s="1"/>
  <c r="J18" i="1" s="1"/>
  <c r="K18" i="1" s="1"/>
  <c r="L18" i="1" s="1"/>
  <c r="M18" i="1" s="1"/>
  <c r="N18" i="1" s="1"/>
  <c r="O18" i="1" s="1"/>
  <c r="P18" i="1" s="1"/>
  <c r="Q18" i="1" s="1"/>
  <c r="R18" i="1" s="1"/>
  <c r="S18" i="1" s="1"/>
  <c r="T18" i="1" s="1"/>
  <c r="U18" i="1" s="1"/>
  <c r="V18" i="1" s="1"/>
  <c r="W18" i="1" s="1"/>
  <c r="X18" i="1" s="1"/>
  <c r="Y18" i="1" s="1"/>
  <c r="Z18" i="1" s="1"/>
  <c r="T62" i="1" l="1"/>
  <c r="T68" i="1" s="1"/>
  <c r="Q64" i="11"/>
  <c r="R57" i="11" l="1"/>
  <c r="Q70" i="11"/>
  <c r="Q72" i="11"/>
  <c r="T70" i="1"/>
  <c r="U55" i="1"/>
  <c r="R64" i="11"/>
  <c r="G10" i="12"/>
  <c r="G12" i="12" s="1"/>
  <c r="H10" i="12"/>
  <c r="H12" i="12" s="1"/>
  <c r="F10" i="12"/>
  <c r="F11" i="12" s="1"/>
  <c r="F12" i="12" l="1"/>
  <c r="S57" i="11"/>
  <c r="S64" i="11" s="1"/>
  <c r="R70" i="11"/>
  <c r="R72" i="11"/>
  <c r="U62" i="1"/>
  <c r="U68" i="1" s="1"/>
  <c r="G14" i="12"/>
  <c r="G13" i="12"/>
  <c r="G15" i="12"/>
  <c r="F13" i="12"/>
  <c r="F14" i="12" s="1"/>
  <c r="F15" i="12" s="1"/>
  <c r="H13" i="12"/>
  <c r="H15" i="12"/>
  <c r="H11" i="12"/>
  <c r="C4" i="12" s="1"/>
  <c r="H14" i="12"/>
  <c r="T57" i="11" l="1"/>
  <c r="T64" i="11" s="1"/>
  <c r="S70" i="11"/>
  <c r="S72" i="11"/>
  <c r="U70" i="1"/>
  <c r="V55" i="1"/>
  <c r="C5" i="12"/>
  <c r="D17" i="5" s="1"/>
  <c r="C8" i="12"/>
  <c r="D20" i="5" s="1"/>
  <c r="F20" i="5" s="1"/>
  <c r="C7" i="12"/>
  <c r="D19" i="5" s="1"/>
  <c r="F19" i="5" s="1"/>
  <c r="C6" i="12"/>
  <c r="D18" i="5" s="1"/>
  <c r="D16" i="5"/>
  <c r="F16" i="5" l="1"/>
  <c r="F18" i="5"/>
  <c r="F17" i="5"/>
  <c r="U57" i="11"/>
  <c r="U64" i="11" s="1"/>
  <c r="T70" i="11"/>
  <c r="T72" i="11"/>
  <c r="V62" i="1"/>
  <c r="V68" i="1" s="1"/>
  <c r="C9" i="12"/>
  <c r="C10" i="12" s="1"/>
  <c r="V57" i="11" l="1"/>
  <c r="U70" i="11"/>
  <c r="U72" i="11"/>
  <c r="V70" i="1"/>
  <c r="W55" i="1"/>
  <c r="V64" i="11"/>
  <c r="G5" i="1"/>
  <c r="C27" i="5" s="1"/>
  <c r="C5" i="5" l="1"/>
  <c r="W57" i="11"/>
  <c r="W64" i="11" s="1"/>
  <c r="V70" i="11"/>
  <c r="V72" i="11"/>
  <c r="W62" i="1"/>
  <c r="W68" i="1" s="1"/>
  <c r="I67" i="1"/>
  <c r="G8" i="1"/>
  <c r="C30" i="5" s="1"/>
  <c r="G6" i="1"/>
  <c r="C28" i="5" s="1"/>
  <c r="G7" i="1"/>
  <c r="C29" i="5" s="1"/>
  <c r="C7" i="5" l="1"/>
  <c r="C6" i="5"/>
  <c r="C8" i="5"/>
  <c r="W72" i="11"/>
  <c r="X57" i="11"/>
  <c r="X64" i="11" s="1"/>
  <c r="W70" i="11"/>
  <c r="W70" i="1"/>
  <c r="X55" i="1"/>
  <c r="X62" i="1" s="1"/>
  <c r="X68" i="1" s="1"/>
  <c r="J67" i="1"/>
  <c r="Y57" i="11" l="1"/>
  <c r="Y64" i="11" s="1"/>
  <c r="X70" i="11"/>
  <c r="X72" i="11"/>
  <c r="X70" i="1"/>
  <c r="K67" i="1"/>
  <c r="Y55" i="1"/>
  <c r="Z57" i="11" l="1"/>
  <c r="Z64" i="11" s="1"/>
  <c r="Y70" i="11"/>
  <c r="Y72" i="11"/>
  <c r="Y62" i="1"/>
  <c r="Y70" i="1" s="1"/>
  <c r="L67" i="1"/>
  <c r="Z55" i="1" l="1"/>
  <c r="Z72" i="11"/>
  <c r="F4" i="11"/>
  <c r="G4" i="11" s="1"/>
  <c r="Z70" i="11"/>
  <c r="Y68" i="1"/>
  <c r="Z62" i="1"/>
  <c r="O67" i="1"/>
  <c r="M67" i="1"/>
  <c r="Z68" i="1" l="1"/>
  <c r="F4" i="1"/>
  <c r="G4" i="1" s="1"/>
  <c r="G9" i="1" s="1"/>
  <c r="Z70" i="1"/>
  <c r="N67" i="1"/>
  <c r="D26" i="5"/>
  <c r="E8" i="11"/>
  <c r="E7" i="11"/>
  <c r="E6" i="11"/>
  <c r="D4" i="5" l="1"/>
  <c r="C26" i="5"/>
  <c r="F9" i="1"/>
  <c r="F10" i="1" s="1"/>
  <c r="I69" i="11"/>
  <c r="B9" i="11"/>
  <c r="G6" i="11"/>
  <c r="D28" i="5" s="1"/>
  <c r="D6" i="5" s="1"/>
  <c r="G8" i="11"/>
  <c r="D30" i="5" s="1"/>
  <c r="D8" i="5" s="1"/>
  <c r="G7" i="11"/>
  <c r="D29" i="5" s="1"/>
  <c r="D7" i="5" s="1"/>
  <c r="E5" i="11"/>
  <c r="C4" i="5" l="1"/>
  <c r="F26" i="5"/>
  <c r="J69" i="11"/>
  <c r="Q67" i="1"/>
  <c r="P67" i="1"/>
  <c r="F30" i="5"/>
  <c r="H8" i="5" s="1"/>
  <c r="F29" i="5"/>
  <c r="H7" i="5" s="1"/>
  <c r="F28" i="5"/>
  <c r="H6" i="5" s="1"/>
  <c r="E9" i="11"/>
  <c r="F9" i="11"/>
  <c r="F10" i="11" s="1"/>
  <c r="H4" i="5" l="1"/>
  <c r="L4" i="5" s="1"/>
  <c r="L6" i="5"/>
  <c r="L7" i="5"/>
  <c r="L8" i="5"/>
  <c r="G5" i="11"/>
  <c r="L69" i="11" l="1"/>
  <c r="M69" i="11"/>
  <c r="R67" i="1"/>
  <c r="G9" i="11"/>
  <c r="D27" i="5"/>
  <c r="D5" i="5" s="1"/>
  <c r="N69" i="11" l="1"/>
  <c r="S67" i="1"/>
  <c r="F27" i="5"/>
  <c r="H5" i="5" s="1"/>
  <c r="O69" i="11" l="1"/>
  <c r="T67" i="1"/>
  <c r="L5" i="5"/>
  <c r="P69" i="11" l="1"/>
  <c r="U67" i="1"/>
  <c r="Q69" i="11" l="1"/>
  <c r="V67" i="1"/>
  <c r="R69" i="11" l="1"/>
  <c r="W67" i="1"/>
  <c r="S69" i="11" l="1"/>
  <c r="X67" i="1"/>
  <c r="Y67" i="1" l="1"/>
  <c r="Z67" i="1"/>
  <c r="T69" i="11"/>
  <c r="U69" i="11" l="1"/>
  <c r="V69" i="11" l="1"/>
  <c r="W69" i="11" l="1"/>
  <c r="X69" i="11" l="1"/>
  <c r="Y69" i="11" l="1"/>
  <c r="Z69" i="11"/>
</calcChain>
</file>

<file path=xl/sharedStrings.xml><?xml version="1.0" encoding="utf-8"?>
<sst xmlns="http://schemas.openxmlformats.org/spreadsheetml/2006/main" count="234" uniqueCount="103">
  <si>
    <t>RES</t>
  </si>
  <si>
    <t>BUS</t>
  </si>
  <si>
    <t>Low Income</t>
  </si>
  <si>
    <t>Common/General</t>
  </si>
  <si>
    <t>SGS</t>
  </si>
  <si>
    <t>LGS</t>
  </si>
  <si>
    <t>SPS</t>
  </si>
  <si>
    <t>LPS</t>
  </si>
  <si>
    <t>Allocated Program Costs</t>
  </si>
  <si>
    <t>Revenues</t>
  </si>
  <si>
    <t>Over/(Under)</t>
  </si>
  <si>
    <t>PCR</t>
  </si>
  <si>
    <t>Program Cost Reconciliation Calculation</t>
  </si>
  <si>
    <t>Allocations</t>
  </si>
  <si>
    <t>Total</t>
  </si>
  <si>
    <t>Billed kWh</t>
  </si>
  <si>
    <t>SOURCE: GL</t>
  </si>
  <si>
    <t>SOURCE: CSS DATA WAREHOUSE</t>
  </si>
  <si>
    <t>PPC</t>
  </si>
  <si>
    <t>Program Cost Calculation</t>
  </si>
  <si>
    <t>Service Class</t>
  </si>
  <si>
    <t>PC ($)</t>
  </si>
  <si>
    <t>PE (kWh)</t>
  </si>
  <si>
    <t>EEIC ($/kWh)</t>
  </si>
  <si>
    <t>1M</t>
  </si>
  <si>
    <t>2M</t>
  </si>
  <si>
    <t>3M</t>
  </si>
  <si>
    <t>4M</t>
  </si>
  <si>
    <t>11M</t>
  </si>
  <si>
    <t>12M</t>
  </si>
  <si>
    <t>PPC ($)</t>
  </si>
  <si>
    <t>PTD ($)</t>
  </si>
  <si>
    <t>PCR ($)</t>
  </si>
  <si>
    <t>TDR ($)</t>
  </si>
  <si>
    <t>PIR ($)</t>
  </si>
  <si>
    <t>FORECASTED</t>
  </si>
  <si>
    <t>Allocated TD-NSB</t>
  </si>
  <si>
    <t>MWh (3-Year Cum.)</t>
  </si>
  <si>
    <t>Percent Allocation</t>
  </si>
  <si>
    <t>TDR</t>
  </si>
  <si>
    <t>TD-NSB Reconciliation Calculation</t>
  </si>
  <si>
    <t>PTD (90%)</t>
  </si>
  <si>
    <t>Interest</t>
  </si>
  <si>
    <t>CHECK</t>
  </si>
  <si>
    <t>INPUTS</t>
  </si>
  <si>
    <t>2. Forecasted program costs by allocation bucket (RES, BUS, Low Income, Common/General)</t>
  </si>
  <si>
    <t>1. Forecasted kWh by Rate Class (Reduced for Opt-Out)</t>
  </si>
  <si>
    <t>Regulatory Asset/(Liability)</t>
  </si>
  <si>
    <t>Starting Balance</t>
  </si>
  <si>
    <t>1. Forecasted BUS/RES savings</t>
  </si>
  <si>
    <t>For CSS</t>
  </si>
  <si>
    <t>Program Cost Rate</t>
  </si>
  <si>
    <t>TD-NSB Rate</t>
  </si>
  <si>
    <t>Projections for 2015 EEIC</t>
  </si>
  <si>
    <t>Effective Period kWh</t>
  </si>
  <si>
    <t>Allocated Actual Program Costs</t>
  </si>
  <si>
    <t>Over/Under</t>
  </si>
  <si>
    <t>Cumulative Over/Under</t>
  </si>
  <si>
    <t>1. Actual monthly program costs by allocation bucket (RES, BUS, Low Income, Common/General)</t>
  </si>
  <si>
    <t>2. Actual montly kWh billed sales by rate class (reduced for opt-out)</t>
  </si>
  <si>
    <t>3. Actual monthly billed revenues by rate class (program cost revenues only)</t>
  </si>
  <si>
    <t>4. Total monthly interest booked</t>
  </si>
  <si>
    <t>5. Actual program cost rate component of the tariff rate</t>
  </si>
  <si>
    <t>6. Forecasted program costs by allocation bucket (RES, BUS, Low Income, Common/General)</t>
  </si>
  <si>
    <t>7. Forecasted kWh billed sales by rate class (reduced for opt-out)</t>
  </si>
  <si>
    <t>1. Actual Program Costs</t>
  </si>
  <si>
    <t>2. Actual KWh - Reduced for Opt-Out</t>
  </si>
  <si>
    <t>3. Actual Revenues - Program Costs Only</t>
  </si>
  <si>
    <t>4. Total Interest</t>
  </si>
  <si>
    <t>1. RES</t>
  </si>
  <si>
    <t>1. BUS</t>
  </si>
  <si>
    <t>2. MWh (3-Year Cum.)</t>
  </si>
  <si>
    <t>1. Actual monthly TD-NSB</t>
  </si>
  <si>
    <t>2. Actual monthly billed revenues by rate class TD-NSB revenues only)</t>
  </si>
  <si>
    <t>4. Actual TD-NSB rate component of the tariff rate</t>
  </si>
  <si>
    <t>5. Total monthly interest booked</t>
  </si>
  <si>
    <t>6. Forecasted TD-NSB</t>
  </si>
  <si>
    <t>1. Actual TD-NSB</t>
  </si>
  <si>
    <t>2. Actual Revenues - TD-NSB Only</t>
  </si>
  <si>
    <t>3. Deemed Savings</t>
  </si>
  <si>
    <t>5. Total Interest</t>
  </si>
  <si>
    <t>4. Current Tariff Rate</t>
  </si>
  <si>
    <t>PI ($)</t>
  </si>
  <si>
    <t>RA ($)</t>
  </si>
  <si>
    <t>8. Forecasted interest for accrued over/under</t>
  </si>
  <si>
    <t>SOURCE: Energy Efficiency Team</t>
  </si>
  <si>
    <t>SOURCE: NSB Monthly Calculation file</t>
  </si>
  <si>
    <t>cumulative check</t>
  </si>
  <si>
    <t>monthly interest check</t>
  </si>
  <si>
    <t>NPC</t>
  </si>
  <si>
    <t>NTD</t>
  </si>
  <si>
    <t>NPI</t>
  </si>
  <si>
    <t>NOA</t>
  </si>
  <si>
    <t>Forecasted Program Costs</t>
  </si>
  <si>
    <t>3. Percent of TD-NSB to be included in rates (i.e. 90%)</t>
  </si>
  <si>
    <t>3.  90% TD-NSB</t>
  </si>
  <si>
    <t>5. Current Tariff Rate</t>
  </si>
  <si>
    <t>Cumulative MWh Savings (deemed)</t>
  </si>
  <si>
    <t>3. Deemed MWh savings by rate class</t>
  </si>
  <si>
    <t>7. Forecasted MWh savings by rate class</t>
  </si>
  <si>
    <t>Forecasted MWh Savings</t>
  </si>
  <si>
    <t>INPUTS (all MWh savings should be deemed values)</t>
  </si>
  <si>
    <t>2. Forecasted MWh savings by allocation bucket (RES, BUS, Low Income)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</si>
</sst>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&quot;$&quot;* #,##0_);_(&quot;$&quot;* \(#,##0\);_(&quot;$&quot;* &quot;-&quot;??_);_(@_)"/>
    <numFmt numFmtId="166" formatCode="&quot;$&quot;#,##0.00"/>
    <numFmt numFmtId="167" formatCode="_(* #,##0_);_(* \(#,##0\);_(* &quot;-&quot;??_);_(@_)"/>
    <numFmt numFmtId="168" formatCode="0.0%"/>
    <numFmt numFmtId="169" formatCode="0.0000%"/>
    <numFmt numFmtId="170" formatCode="0.000%"/>
    <numFmt numFmtId="171" formatCode="_(&quot;$&quot;* #,##0.000000_);_(&quot;$&quot;* \(#,##0.000000\);_(&quot;$&quot;* &quot;-&quot;??_);_(@_)"/>
    <numFmt numFmtId="172" formatCode="&quot;$&quot;#,##0.000000_);[Red]\(&quot;$&quot;#,##0.000000\)"/>
    <numFmt numFmtId="173" formatCode="0.000000%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ourier New"/>
      <family val="3"/>
    </font>
    <font>
      <sz val="10"/>
      <color rgb="FF000000"/>
      <name val="Courier New"/>
      <family val="3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indexed="0"/>
      <name val="Arial"/>
      <family val="2"/>
    </font>
    <font>
      <u/>
      <sz val="6"/>
      <color indexed="12"/>
      <name val="Arial"/>
      <family val="2"/>
    </font>
    <font>
      <u/>
      <sz val="8.5"/>
      <color indexed="12"/>
      <name val="Arial"/>
      <family val="2"/>
    </font>
    <font>
      <sz val="10"/>
      <name val="MS Sans Serif"/>
      <family val="2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</fills>
  <borders count="4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medium">
        <color indexed="64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medium">
        <color indexed="64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medium">
        <color indexed="64"/>
      </right>
      <top/>
      <bottom style="thin">
        <color rgb="FF7F7F7F"/>
      </bottom>
      <diagonal/>
    </border>
    <border>
      <left style="medium">
        <color indexed="64"/>
      </left>
      <right style="thin">
        <color rgb="FF7F7F7F"/>
      </right>
      <top/>
      <bottom style="medium">
        <color indexed="64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auto="1"/>
      </left>
      <right/>
      <top/>
      <bottom style="thin">
        <color rgb="FF7F7F7F"/>
      </bottom>
      <diagonal/>
    </border>
    <border>
      <left style="medium">
        <color indexed="64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rgb="FF7F7F7F"/>
      </right>
      <top style="thin">
        <color rgb="FF7F7F7F"/>
      </top>
      <bottom/>
      <diagonal/>
    </border>
    <border>
      <left/>
      <right style="thin">
        <color rgb="FF7F7F7F"/>
      </right>
      <top/>
      <bottom style="medium">
        <color indexed="64"/>
      </bottom>
      <diagonal/>
    </border>
    <border>
      <left style="thin">
        <color rgb="FF7F7F7F"/>
      </left>
      <right style="medium">
        <color auto="1"/>
      </right>
      <top/>
      <bottom style="medium">
        <color indexed="64"/>
      </bottom>
      <diagonal/>
    </border>
    <border>
      <left/>
      <right style="medium">
        <color auto="1"/>
      </right>
      <top/>
      <bottom style="thin">
        <color rgb="FF7F7F7F"/>
      </bottom>
      <diagonal/>
    </border>
  </borders>
  <cellStyleXfs count="32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1" applyNumberFormat="0" applyAlignment="0" applyProtection="0"/>
    <xf numFmtId="0" fontId="6" fillId="6" borderId="2" applyNumberFormat="0" applyAlignment="0" applyProtection="0"/>
    <xf numFmtId="0" fontId="7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3" fillId="8" borderId="17" applyNumberFormat="0" applyAlignment="0" applyProtection="0"/>
    <xf numFmtId="0" fontId="14" fillId="8" borderId="1" applyNumberFormat="0" applyAlignment="0" applyProtection="0"/>
    <xf numFmtId="0" fontId="1" fillId="9" borderId="18" applyNumberFormat="0" applyFont="0" applyAlignment="0" applyProtection="0"/>
    <xf numFmtId="0" fontId="15" fillId="0" borderId="33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34" applyNumberFormat="0" applyFill="0" applyAlignment="0" applyProtection="0"/>
    <xf numFmtId="0" fontId="19" fillId="0" borderId="35" applyNumberFormat="0" applyFill="0" applyAlignment="0" applyProtection="0"/>
    <xf numFmtId="0" fontId="20" fillId="0" borderId="36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8" fillId="0" borderId="37" applyNumberFormat="0" applyFill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33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2" fillId="0" borderId="0" applyFont="0" applyFill="0" applyBorder="0" applyAlignment="0" applyProtection="0"/>
    <xf numFmtId="0" fontId="1" fillId="0" borderId="0"/>
    <xf numFmtId="0" fontId="12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9" borderId="1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34" borderId="0" applyNumberFormat="0" applyAlignment="0">
      <alignment horizontal="right"/>
    </xf>
    <xf numFmtId="0" fontId="12" fillId="35" borderId="0" applyNumberFormat="0" applyAlignment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44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34" borderId="0" applyNumberFormat="0" applyAlignment="0">
      <alignment horizontal="right"/>
    </xf>
    <xf numFmtId="0" fontId="12" fillId="35" borderId="0" applyNumberFormat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4" fontId="1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1" fillId="0" borderId="0"/>
    <xf numFmtId="0" fontId="28" fillId="0" borderId="0" applyNumberFormat="0" applyFill="0" applyBorder="0" applyAlignment="0" applyProtection="0"/>
    <xf numFmtId="0" fontId="1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0" fontId="12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1" fillId="0" borderId="0"/>
    <xf numFmtId="43" fontId="12" fillId="0" borderId="0" applyFont="0" applyFill="0" applyBorder="0" applyAlignment="0" applyProtection="0"/>
  </cellStyleXfs>
  <cellXfs count="219">
    <xf numFmtId="0" fontId="0" fillId="0" borderId="0" xfId="0"/>
    <xf numFmtId="164" fontId="0" fillId="0" borderId="0" xfId="0" applyNumberFormat="1"/>
    <xf numFmtId="0" fontId="7" fillId="0" borderId="0" xfId="8"/>
    <xf numFmtId="0" fontId="8" fillId="0" borderId="0" xfId="0" applyFont="1"/>
    <xf numFmtId="44" fontId="0" fillId="0" borderId="0" xfId="0" applyNumberFormat="1"/>
    <xf numFmtId="10" fontId="0" fillId="0" borderId="0" xfId="2" applyNumberFormat="1" applyFont="1"/>
    <xf numFmtId="0" fontId="8" fillId="0" borderId="0" xfId="0" applyFont="1" applyAlignment="1">
      <alignment horizontal="center"/>
    </xf>
    <xf numFmtId="44" fontId="8" fillId="0" borderId="0" xfId="0" applyNumberFormat="1" applyFont="1"/>
    <xf numFmtId="166" fontId="0" fillId="0" borderId="0" xfId="0" applyNumberFormat="1"/>
    <xf numFmtId="0" fontId="9" fillId="0" borderId="0" xfId="0" applyFont="1" applyAlignment="1">
      <alignment horizontal="left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7" borderId="4" xfId="0" applyFont="1" applyFill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6" fontId="10" fillId="0" borderId="6" xfId="0" applyNumberFormat="1" applyFont="1" applyBorder="1" applyAlignment="1">
      <alignment vertical="center" wrapText="1"/>
    </xf>
    <xf numFmtId="5" fontId="11" fillId="0" borderId="6" xfId="0" applyNumberFormat="1" applyFont="1" applyBorder="1" applyAlignment="1">
      <alignment horizontal="right" vertical="center" wrapText="1"/>
    </xf>
    <xf numFmtId="6" fontId="11" fillId="0" borderId="6" xfId="0" applyNumberFormat="1" applyFont="1" applyBorder="1" applyAlignment="1">
      <alignment horizontal="right" vertical="center" wrapText="1"/>
    </xf>
    <xf numFmtId="3" fontId="10" fillId="0" borderId="6" xfId="0" applyNumberFormat="1" applyFont="1" applyBorder="1" applyAlignment="1">
      <alignment vertical="center" wrapText="1"/>
    </xf>
    <xf numFmtId="6" fontId="10" fillId="0" borderId="6" xfId="0" applyNumberFormat="1" applyFont="1" applyBorder="1" applyAlignment="1">
      <alignment horizontal="right" vertical="center" wrapText="1"/>
    </xf>
    <xf numFmtId="5" fontId="10" fillId="0" borderId="6" xfId="0" applyNumberFormat="1" applyFont="1" applyBorder="1" applyAlignment="1">
      <alignment vertical="center" wrapText="1"/>
    </xf>
    <xf numFmtId="0" fontId="0" fillId="0" borderId="9" xfId="0" applyBorder="1"/>
    <xf numFmtId="0" fontId="0" fillId="0" borderId="10" xfId="0" applyBorder="1"/>
    <xf numFmtId="44" fontId="0" fillId="0" borderId="9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0" fontId="0" fillId="0" borderId="7" xfId="0" applyBorder="1"/>
    <xf numFmtId="0" fontId="0" fillId="0" borderId="12" xfId="0" applyBorder="1"/>
    <xf numFmtId="0" fontId="7" fillId="0" borderId="12" xfId="8" applyBorder="1"/>
    <xf numFmtId="165" fontId="5" fillId="5" borderId="1" xfId="6" applyNumberFormat="1" applyBorder="1"/>
    <xf numFmtId="0" fontId="0" fillId="0" borderId="0" xfId="0" applyBorder="1"/>
    <xf numFmtId="0" fontId="7" fillId="0" borderId="0" xfId="8" applyBorder="1"/>
    <xf numFmtId="44" fontId="0" fillId="0" borderId="0" xfId="0" applyNumberFormat="1" applyBorder="1"/>
    <xf numFmtId="165" fontId="5" fillId="5" borderId="15" xfId="6" applyNumberFormat="1" applyBorder="1"/>
    <xf numFmtId="165" fontId="5" fillId="5" borderId="16" xfId="6" applyNumberFormat="1" applyBorder="1"/>
    <xf numFmtId="164" fontId="0" fillId="0" borderId="12" xfId="0" applyNumberFormat="1" applyBorder="1"/>
    <xf numFmtId="43" fontId="0" fillId="0" borderId="0" xfId="1" applyFont="1"/>
    <xf numFmtId="43" fontId="6" fillId="6" borderId="2" xfId="1" applyFont="1" applyFill="1" applyBorder="1"/>
    <xf numFmtId="0" fontId="8" fillId="0" borderId="0" xfId="0" applyFont="1" applyAlignment="1">
      <alignment horizontal="right"/>
    </xf>
    <xf numFmtId="6" fontId="0" fillId="0" borderId="0" xfId="0" applyNumberFormat="1"/>
    <xf numFmtId="44" fontId="14" fillId="8" borderId="1" xfId="13" applyNumberFormat="1"/>
    <xf numFmtId="165" fontId="14" fillId="8" borderId="1" xfId="13" applyNumberFormat="1"/>
    <xf numFmtId="0" fontId="8" fillId="0" borderId="9" xfId="0" applyFont="1" applyBorder="1" applyAlignment="1">
      <alignment horizontal="right"/>
    </xf>
    <xf numFmtId="0" fontId="8" fillId="0" borderId="11" xfId="0" applyFont="1" applyBorder="1" applyAlignment="1">
      <alignment horizontal="right"/>
    </xf>
    <xf numFmtId="10" fontId="14" fillId="8" borderId="1" xfId="13" applyNumberFormat="1" applyBorder="1" applyAlignment="1">
      <alignment horizontal="center"/>
    </xf>
    <xf numFmtId="10" fontId="14" fillId="8" borderId="14" xfId="13" applyNumberFormat="1" applyBorder="1" applyAlignment="1">
      <alignment horizontal="center"/>
    </xf>
    <xf numFmtId="165" fontId="14" fillId="8" borderId="1" xfId="13" applyNumberFormat="1" applyBorder="1" applyAlignment="1">
      <alignment horizontal="center"/>
    </xf>
    <xf numFmtId="165" fontId="14" fillId="8" borderId="14" xfId="13" applyNumberFormat="1" applyBorder="1" applyAlignment="1">
      <alignment horizontal="center"/>
    </xf>
    <xf numFmtId="165" fontId="14" fillId="8" borderId="16" xfId="13" applyNumberFormat="1" applyBorder="1" applyAlignment="1">
      <alignment horizontal="center"/>
    </xf>
    <xf numFmtId="165" fontId="14" fillId="8" borderId="22" xfId="13" applyNumberFormat="1" applyBorder="1" applyAlignment="1">
      <alignment horizontal="center"/>
    </xf>
    <xf numFmtId="165" fontId="5" fillId="5" borderId="23" xfId="6" applyNumberFormat="1" applyBorder="1"/>
    <xf numFmtId="0" fontId="8" fillId="0" borderId="1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43" fontId="6" fillId="6" borderId="26" xfId="1" applyFont="1" applyFill="1" applyBorder="1"/>
    <xf numFmtId="0" fontId="7" fillId="0" borderId="9" xfId="8" applyBorder="1" applyAlignment="1">
      <alignment horizontal="right"/>
    </xf>
    <xf numFmtId="165" fontId="14" fillId="8" borderId="27" xfId="13" applyNumberFormat="1" applyBorder="1" applyAlignment="1">
      <alignment horizontal="center"/>
    </xf>
    <xf numFmtId="165" fontId="14" fillId="8" borderId="28" xfId="13" applyNumberFormat="1" applyBorder="1" applyAlignment="1">
      <alignment horizontal="center"/>
    </xf>
    <xf numFmtId="0" fontId="8" fillId="0" borderId="29" xfId="0" applyFont="1" applyBorder="1" applyAlignment="1">
      <alignment horizontal="right"/>
    </xf>
    <xf numFmtId="0" fontId="7" fillId="0" borderId="0" xfId="8" applyAlignment="1">
      <alignment horizontal="right"/>
    </xf>
    <xf numFmtId="167" fontId="5" fillId="5" borderId="1" xfId="6" applyNumberFormat="1"/>
    <xf numFmtId="167" fontId="14" fillId="8" borderId="1" xfId="13" applyNumberFormat="1"/>
    <xf numFmtId="165" fontId="13" fillId="8" borderId="17" xfId="12" applyNumberFormat="1"/>
    <xf numFmtId="165" fontId="5" fillId="5" borderId="16" xfId="6" applyNumberFormat="1" applyBorder="1" applyAlignment="1">
      <alignment horizontal="center"/>
    </xf>
    <xf numFmtId="165" fontId="5" fillId="5" borderId="22" xfId="6" applyNumberFormat="1" applyBorder="1" applyAlignment="1">
      <alignment horizontal="center"/>
    </xf>
    <xf numFmtId="10" fontId="1" fillId="9" borderId="18" xfId="14" applyNumberFormat="1" applyFont="1" applyAlignment="1">
      <alignment horizontal="center"/>
    </xf>
    <xf numFmtId="0" fontId="0" fillId="0" borderId="0" xfId="0" quotePrefix="1"/>
    <xf numFmtId="165" fontId="5" fillId="5" borderId="24" xfId="11" applyNumberFormat="1" applyFont="1" applyFill="1" applyBorder="1"/>
    <xf numFmtId="0" fontId="8" fillId="0" borderId="19" xfId="0" applyFont="1" applyBorder="1" applyAlignment="1">
      <alignment horizontal="right"/>
    </xf>
    <xf numFmtId="3" fontId="5" fillId="5" borderId="30" xfId="6" applyNumberFormat="1" applyBorder="1" applyAlignment="1">
      <alignment horizontal="center"/>
    </xf>
    <xf numFmtId="3" fontId="5" fillId="5" borderId="31" xfId="6" applyNumberFormat="1" applyBorder="1" applyAlignment="1">
      <alignment horizontal="center"/>
    </xf>
    <xf numFmtId="3" fontId="5" fillId="5" borderId="32" xfId="6" applyNumberFormat="1" applyBorder="1" applyAlignment="1">
      <alignment horizontal="center"/>
    </xf>
    <xf numFmtId="168" fontId="14" fillId="8" borderId="15" xfId="13" applyNumberFormat="1" applyBorder="1" applyAlignment="1">
      <alignment horizontal="center"/>
    </xf>
    <xf numFmtId="168" fontId="14" fillId="8" borderId="16" xfId="13" applyNumberFormat="1" applyBorder="1" applyAlignment="1">
      <alignment horizontal="center"/>
    </xf>
    <xf numFmtId="168" fontId="14" fillId="8" borderId="22" xfId="13" applyNumberFormat="1" applyBorder="1" applyAlignment="1">
      <alignment horizontal="center"/>
    </xf>
    <xf numFmtId="10" fontId="1" fillId="9" borderId="18" xfId="14" applyNumberFormat="1" applyFont="1" applyBorder="1" applyAlignment="1">
      <alignment horizontal="center"/>
    </xf>
    <xf numFmtId="165" fontId="6" fillId="6" borderId="2" xfId="7" applyNumberFormat="1"/>
    <xf numFmtId="3" fontId="5" fillId="5" borderId="13" xfId="6" applyNumberFormat="1" applyBorder="1"/>
    <xf numFmtId="3" fontId="5" fillId="5" borderId="23" xfId="6" applyNumberFormat="1" applyBorder="1"/>
    <xf numFmtId="3" fontId="4" fillId="4" borderId="9" xfId="5" applyNumberFormat="1" applyBorder="1"/>
    <xf numFmtId="3" fontId="4" fillId="4" borderId="10" xfId="5" applyNumberFormat="1" applyBorder="1"/>
    <xf numFmtId="3" fontId="14" fillId="8" borderId="1" xfId="13" applyNumberFormat="1"/>
    <xf numFmtId="165" fontId="4" fillId="4" borderId="9" xfId="5" applyNumberFormat="1" applyBorder="1"/>
    <xf numFmtId="165" fontId="4" fillId="4" borderId="10" xfId="5" applyNumberFormat="1" applyBorder="1"/>
    <xf numFmtId="165" fontId="0" fillId="0" borderId="9" xfId="0" applyNumberFormat="1" applyBorder="1"/>
    <xf numFmtId="165" fontId="4" fillId="4" borderId="11" xfId="5" applyNumberFormat="1" applyBorder="1"/>
    <xf numFmtId="165" fontId="5" fillId="5" borderId="1" xfId="11" applyNumberFormat="1" applyFont="1" applyFill="1" applyBorder="1"/>
    <xf numFmtId="165" fontId="5" fillId="5" borderId="23" xfId="11" applyNumberFormat="1" applyFont="1" applyFill="1" applyBorder="1"/>
    <xf numFmtId="165" fontId="4" fillId="4" borderId="9" xfId="11" applyNumberFormat="1" applyFont="1" applyFill="1" applyBorder="1"/>
    <xf numFmtId="165" fontId="4" fillId="4" borderId="10" xfId="11" applyNumberFormat="1" applyFont="1" applyFill="1" applyBorder="1"/>
    <xf numFmtId="167" fontId="6" fillId="6" borderId="2" xfId="1" applyNumberFormat="1" applyFont="1" applyFill="1" applyBorder="1"/>
    <xf numFmtId="0" fontId="8" fillId="0" borderId="0" xfId="0" applyFont="1" applyFill="1" applyBorder="1" applyAlignment="1">
      <alignment horizontal="right"/>
    </xf>
    <xf numFmtId="168" fontId="14" fillId="8" borderId="1" xfId="13" applyNumberFormat="1" applyBorder="1" applyAlignment="1">
      <alignment horizontal="center"/>
    </xf>
    <xf numFmtId="165" fontId="0" fillId="0" borderId="0" xfId="0" applyNumberFormat="1" applyBorder="1"/>
    <xf numFmtId="0" fontId="10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65" fontId="0" fillId="0" borderId="0" xfId="0" applyNumberFormat="1"/>
    <xf numFmtId="165" fontId="14" fillId="8" borderId="13" xfId="13" applyNumberFormat="1" applyBorder="1"/>
    <xf numFmtId="165" fontId="14" fillId="8" borderId="1" xfId="13" applyNumberFormat="1" applyBorder="1"/>
    <xf numFmtId="170" fontId="0" fillId="0" borderId="0" xfId="2" applyNumberFormat="1" applyFont="1" applyBorder="1"/>
    <xf numFmtId="165" fontId="5" fillId="0" borderId="9" xfId="6" applyNumberFormat="1" applyFill="1" applyBorder="1"/>
    <xf numFmtId="165" fontId="5" fillId="0" borderId="0" xfId="6" applyNumberFormat="1" applyFill="1" applyBorder="1"/>
    <xf numFmtId="37" fontId="5" fillId="0" borderId="0" xfId="6" applyNumberFormat="1" applyFill="1" applyBorder="1"/>
    <xf numFmtId="0" fontId="0" fillId="0" borderId="0" xfId="0" applyFill="1"/>
    <xf numFmtId="3" fontId="16" fillId="0" borderId="0" xfId="13" applyNumberFormat="1" applyFont="1" applyFill="1" applyBorder="1" applyAlignment="1">
      <alignment horizontal="left"/>
    </xf>
    <xf numFmtId="168" fontId="14" fillId="0" borderId="0" xfId="13" applyNumberFormat="1" applyFill="1" applyBorder="1" applyAlignment="1">
      <alignment horizontal="center"/>
    </xf>
    <xf numFmtId="3" fontId="15" fillId="0" borderId="33" xfId="15" applyNumberFormat="1" applyFill="1" applyAlignment="1">
      <alignment horizontal="right"/>
    </xf>
    <xf numFmtId="168" fontId="14" fillId="8" borderId="1" xfId="13" applyNumberFormat="1" applyAlignment="1">
      <alignment horizontal="center"/>
    </xf>
    <xf numFmtId="10" fontId="5" fillId="0" borderId="0" xfId="2" applyNumberFormat="1" applyFont="1" applyFill="1" applyBorder="1"/>
    <xf numFmtId="165" fontId="5" fillId="0" borderId="0" xfId="11" applyNumberFormat="1" applyFont="1" applyFill="1" applyBorder="1"/>
    <xf numFmtId="165" fontId="4" fillId="0" borderId="0" xfId="5" applyNumberFormat="1" applyFill="1" applyBorder="1"/>
    <xf numFmtId="165" fontId="4" fillId="0" borderId="0" xfId="11" applyNumberFormat="1" applyFont="1" applyFill="1" applyBorder="1"/>
    <xf numFmtId="167" fontId="0" fillId="0" borderId="0" xfId="1" applyNumberFormat="1" applyFont="1" applyBorder="1"/>
    <xf numFmtId="167" fontId="0" fillId="0" borderId="9" xfId="1" applyNumberFormat="1" applyFont="1" applyBorder="1"/>
    <xf numFmtId="167" fontId="0" fillId="0" borderId="10" xfId="1" applyNumberFormat="1" applyFont="1" applyBorder="1"/>
    <xf numFmtId="3" fontId="0" fillId="0" borderId="0" xfId="0" applyNumberFormat="1"/>
    <xf numFmtId="165" fontId="14" fillId="8" borderId="14" xfId="13" applyNumberFormat="1" applyBorder="1"/>
    <xf numFmtId="171" fontId="5" fillId="5" borderId="25" xfId="6" applyNumberFormat="1" applyBorder="1"/>
    <xf numFmtId="172" fontId="10" fillId="7" borderId="6" xfId="0" applyNumberFormat="1" applyFont="1" applyFill="1" applyBorder="1" applyAlignment="1">
      <alignment vertical="center" wrapText="1"/>
    </xf>
    <xf numFmtId="0" fontId="0" fillId="0" borderId="38" xfId="0" applyBorder="1"/>
    <xf numFmtId="165" fontId="31" fillId="0" borderId="1" xfId="13" applyNumberFormat="1" applyFont="1" applyFill="1"/>
    <xf numFmtId="0" fontId="0" fillId="0" borderId="0" xfId="0"/>
    <xf numFmtId="44" fontId="0" fillId="0" borderId="0" xfId="0" applyNumberFormat="1"/>
    <xf numFmtId="44" fontId="0" fillId="0" borderId="9" xfId="0" applyNumberFormat="1" applyBorder="1"/>
    <xf numFmtId="165" fontId="5" fillId="5" borderId="1" xfId="6" applyNumberFormat="1" applyBorder="1"/>
    <xf numFmtId="165" fontId="5" fillId="5" borderId="23" xfId="6" applyNumberFormat="1" applyBorder="1"/>
    <xf numFmtId="165" fontId="5" fillId="5" borderId="16" xfId="11" applyNumberFormat="1" applyFont="1" applyFill="1" applyBorder="1"/>
    <xf numFmtId="165" fontId="5" fillId="5" borderId="24" xfId="11" applyNumberFormat="1" applyFont="1" applyFill="1" applyBorder="1"/>
    <xf numFmtId="3" fontId="5" fillId="5" borderId="1" xfId="6" applyNumberFormat="1" applyBorder="1"/>
    <xf numFmtId="44" fontId="14" fillId="8" borderId="1" xfId="13" applyNumberFormat="1" applyBorder="1"/>
    <xf numFmtId="3" fontId="5" fillId="5" borderId="23" xfId="6" applyNumberFormat="1" applyBorder="1"/>
    <xf numFmtId="0" fontId="7" fillId="0" borderId="0" xfId="8" applyBorder="1"/>
    <xf numFmtId="44" fontId="7" fillId="0" borderId="0" xfId="8" applyNumberFormat="1" applyBorder="1"/>
    <xf numFmtId="0" fontId="0" fillId="0" borderId="0" xfId="0"/>
    <xf numFmtId="0" fontId="7" fillId="0" borderId="0" xfId="8" applyBorder="1" applyAlignment="1">
      <alignment horizontal="right"/>
    </xf>
    <xf numFmtId="0" fontId="7" fillId="0" borderId="0" xfId="8" applyBorder="1" applyAlignment="1">
      <alignment horizontal="right"/>
    </xf>
    <xf numFmtId="0" fontId="0" fillId="0" borderId="0" xfId="0"/>
    <xf numFmtId="166" fontId="0" fillId="0" borderId="0" xfId="0" applyNumberFormat="1"/>
    <xf numFmtId="165" fontId="5" fillId="5" borderId="13" xfId="6" applyNumberFormat="1" applyBorder="1"/>
    <xf numFmtId="165" fontId="5" fillId="5" borderId="1" xfId="6" applyNumberFormat="1" applyBorder="1"/>
    <xf numFmtId="165" fontId="5" fillId="5" borderId="15" xfId="11" applyNumberFormat="1" applyFont="1" applyFill="1" applyBorder="1"/>
    <xf numFmtId="165" fontId="5" fillId="5" borderId="16" xfId="11" applyNumberFormat="1" applyFont="1" applyFill="1" applyBorder="1"/>
    <xf numFmtId="165" fontId="5" fillId="5" borderId="24" xfId="11" applyNumberFormat="1" applyFont="1" applyFill="1" applyBorder="1"/>
    <xf numFmtId="8" fontId="0" fillId="0" borderId="0" xfId="0" applyNumberFormat="1"/>
    <xf numFmtId="169" fontId="0" fillId="0" borderId="9" xfId="2" applyNumberFormat="1" applyFont="1" applyBorder="1"/>
    <xf numFmtId="169" fontId="0" fillId="0" borderId="0" xfId="2" applyNumberFormat="1" applyFont="1" applyBorder="1"/>
    <xf numFmtId="0" fontId="8" fillId="0" borderId="0" xfId="0" applyFont="1" applyFill="1"/>
    <xf numFmtId="169" fontId="0" fillId="0" borderId="39" xfId="2" applyNumberFormat="1" applyFont="1" applyBorder="1"/>
    <xf numFmtId="167" fontId="0" fillId="0" borderId="0" xfId="1" applyNumberFormat="1" applyFont="1"/>
    <xf numFmtId="165" fontId="14" fillId="8" borderId="41" xfId="13" applyNumberFormat="1" applyBorder="1"/>
    <xf numFmtId="165" fontId="4" fillId="4" borderId="0" xfId="11" applyNumberFormat="1" applyFont="1" applyFill="1" applyBorder="1"/>
    <xf numFmtId="165" fontId="14" fillId="8" borderId="23" xfId="13" applyNumberFormat="1" applyBorder="1"/>
    <xf numFmtId="3" fontId="4" fillId="4" borderId="0" xfId="5" applyNumberFormat="1" applyBorder="1"/>
    <xf numFmtId="165" fontId="4" fillId="4" borderId="0" xfId="5" applyNumberFormat="1" applyBorder="1"/>
    <xf numFmtId="44" fontId="0" fillId="0" borderId="38" xfId="0" applyNumberFormat="1" applyBorder="1"/>
    <xf numFmtId="0" fontId="0" fillId="0" borderId="20" xfId="0" applyBorder="1"/>
    <xf numFmtId="0" fontId="0" fillId="0" borderId="21" xfId="0" applyBorder="1"/>
    <xf numFmtId="0" fontId="7" fillId="0" borderId="21" xfId="8" applyBorder="1"/>
    <xf numFmtId="0" fontId="0" fillId="0" borderId="4" xfId="0" applyBorder="1"/>
    <xf numFmtId="167" fontId="4" fillId="4" borderId="11" xfId="1" applyNumberFormat="1" applyFont="1" applyFill="1" applyBorder="1"/>
    <xf numFmtId="167" fontId="4" fillId="4" borderId="40" xfId="1" applyNumberFormat="1" applyFont="1" applyFill="1" applyBorder="1"/>
    <xf numFmtId="167" fontId="4" fillId="4" borderId="6" xfId="1" applyNumberFormat="1" applyFont="1" applyFill="1" applyBorder="1"/>
    <xf numFmtId="44" fontId="0" fillId="0" borderId="0" xfId="11" applyFont="1"/>
    <xf numFmtId="3" fontId="0" fillId="0" borderId="0" xfId="0" applyNumberFormat="1" applyFill="1"/>
    <xf numFmtId="165" fontId="5" fillId="0" borderId="7" xfId="11" applyNumberFormat="1" applyFont="1" applyFill="1" applyBorder="1"/>
    <xf numFmtId="169" fontId="0" fillId="0" borderId="42" xfId="2" applyNumberFormat="1" applyFont="1" applyBorder="1"/>
    <xf numFmtId="44" fontId="4" fillId="0" borderId="7" xfId="5" applyNumberFormat="1" applyFill="1" applyBorder="1"/>
    <xf numFmtId="165" fontId="4" fillId="0" borderId="12" xfId="11" applyNumberFormat="1" applyFont="1" applyFill="1" applyBorder="1"/>
    <xf numFmtId="165" fontId="4" fillId="0" borderId="8" xfId="11" applyNumberFormat="1" applyFont="1" applyFill="1" applyBorder="1"/>
    <xf numFmtId="44" fontId="14" fillId="8" borderId="14" xfId="13" applyNumberFormat="1" applyBorder="1"/>
    <xf numFmtId="170" fontId="0" fillId="0" borderId="9" xfId="2" applyNumberFormat="1" applyFont="1" applyBorder="1"/>
    <xf numFmtId="170" fontId="0" fillId="0" borderId="10" xfId="2" applyNumberFormat="1" applyFont="1" applyBorder="1"/>
    <xf numFmtId="44" fontId="6" fillId="6" borderId="43" xfId="7" applyNumberFormat="1" applyBorder="1"/>
    <xf numFmtId="44" fontId="6" fillId="6" borderId="2" xfId="7" applyNumberFormat="1" applyBorder="1"/>
    <xf numFmtId="44" fontId="6" fillId="6" borderId="26" xfId="7" applyNumberFormat="1" applyBorder="1"/>
    <xf numFmtId="165" fontId="0" fillId="0" borderId="11" xfId="0" applyNumberFormat="1" applyBorder="1"/>
    <xf numFmtId="165" fontId="0" fillId="0" borderId="40" xfId="0" applyNumberFormat="1" applyBorder="1"/>
    <xf numFmtId="0" fontId="0" fillId="0" borderId="6" xfId="0" applyBorder="1"/>
    <xf numFmtId="165" fontId="5" fillId="0" borderId="12" xfId="11" applyNumberFormat="1" applyFont="1" applyFill="1" applyBorder="1"/>
    <xf numFmtId="165" fontId="5" fillId="0" borderId="8" xfId="11" applyNumberFormat="1" applyFont="1" applyFill="1" applyBorder="1"/>
    <xf numFmtId="165" fontId="6" fillId="6" borderId="43" xfId="7" applyNumberFormat="1" applyBorder="1"/>
    <xf numFmtId="165" fontId="6" fillId="6" borderId="2" xfId="7" applyNumberFormat="1" applyBorder="1"/>
    <xf numFmtId="0" fontId="0" fillId="0" borderId="40" xfId="0" applyBorder="1"/>
    <xf numFmtId="165" fontId="0" fillId="0" borderId="6" xfId="0" applyNumberFormat="1" applyBorder="1"/>
    <xf numFmtId="44" fontId="0" fillId="0" borderId="0" xfId="0" applyNumberFormat="1" applyFill="1"/>
    <xf numFmtId="44" fontId="0" fillId="0" borderId="44" xfId="0" applyNumberFormat="1" applyBorder="1"/>
    <xf numFmtId="165" fontId="4" fillId="4" borderId="45" xfId="11" applyNumberFormat="1" applyFont="1" applyFill="1" applyBorder="1"/>
    <xf numFmtId="165" fontId="5" fillId="5" borderId="24" xfId="6" applyNumberFormat="1" applyBorder="1"/>
    <xf numFmtId="165" fontId="31" fillId="0" borderId="23" xfId="13" applyNumberFormat="1" applyFont="1" applyFill="1" applyBorder="1"/>
    <xf numFmtId="3" fontId="14" fillId="8" borderId="25" xfId="13" applyNumberFormat="1" applyBorder="1" applyAlignment="1">
      <alignment horizontal="right"/>
    </xf>
    <xf numFmtId="44" fontId="8" fillId="0" borderId="10" xfId="0" applyNumberFormat="1" applyFont="1" applyBorder="1"/>
    <xf numFmtId="165" fontId="31" fillId="0" borderId="13" xfId="13" applyNumberFormat="1" applyFont="1" applyFill="1" applyBorder="1"/>
    <xf numFmtId="165" fontId="31" fillId="0" borderId="1" xfId="13" applyNumberFormat="1" applyFont="1" applyFill="1" applyBorder="1"/>
    <xf numFmtId="165" fontId="31" fillId="0" borderId="14" xfId="13" applyNumberFormat="1" applyFont="1" applyFill="1" applyBorder="1"/>
    <xf numFmtId="0" fontId="0" fillId="0" borderId="8" xfId="0" applyBorder="1"/>
    <xf numFmtId="165" fontId="6" fillId="6" borderId="26" xfId="7" applyNumberFormat="1" applyBorder="1"/>
    <xf numFmtId="0" fontId="0" fillId="0" borderId="11" xfId="0" applyBorder="1"/>
    <xf numFmtId="10" fontId="5" fillId="0" borderId="9" xfId="2" applyNumberFormat="1" applyFont="1" applyFill="1" applyBorder="1"/>
    <xf numFmtId="173" fontId="0" fillId="0" borderId="0" xfId="0" applyNumberFormat="1" applyBorder="1"/>
    <xf numFmtId="0" fontId="0" fillId="0" borderId="0" xfId="0" applyFont="1"/>
    <xf numFmtId="0" fontId="8" fillId="0" borderId="19" xfId="0" applyFont="1" applyFill="1" applyBorder="1" applyAlignment="1">
      <alignment horizontal="right"/>
    </xf>
    <xf numFmtId="0" fontId="8" fillId="0" borderId="0" xfId="0" applyFont="1" applyFill="1" applyAlignment="1">
      <alignment horizontal="right"/>
    </xf>
    <xf numFmtId="167" fontId="4" fillId="4" borderId="9" xfId="1" applyNumberFormat="1" applyFont="1" applyFill="1" applyBorder="1"/>
    <xf numFmtId="167" fontId="4" fillId="4" borderId="0" xfId="1" applyNumberFormat="1" applyFont="1" applyFill="1" applyBorder="1"/>
    <xf numFmtId="167" fontId="4" fillId="4" borderId="10" xfId="1" applyNumberFormat="1" applyFont="1" applyFill="1" applyBorder="1"/>
    <xf numFmtId="44" fontId="14" fillId="8" borderId="13" xfId="13" applyNumberFormat="1" applyBorder="1"/>
    <xf numFmtId="43" fontId="31" fillId="0" borderId="13" xfId="1" applyFont="1" applyFill="1" applyBorder="1"/>
    <xf numFmtId="165" fontId="4" fillId="4" borderId="46" xfId="11" applyNumberFormat="1" applyFont="1" applyFill="1" applyBorder="1"/>
    <xf numFmtId="167" fontId="5" fillId="5" borderId="13" xfId="6" applyNumberFormat="1" applyBorder="1"/>
    <xf numFmtId="173" fontId="0" fillId="0" borderId="42" xfId="0" applyNumberFormat="1" applyBorder="1"/>
    <xf numFmtId="173" fontId="0" fillId="0" borderId="38" xfId="0" applyNumberFormat="1" applyBorder="1"/>
    <xf numFmtId="173" fontId="0" fillId="0" borderId="47" xfId="0" applyNumberFormat="1" applyBorder="1"/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3" fillId="3" borderId="20" xfId="4" applyBorder="1" applyAlignment="1">
      <alignment horizontal="center"/>
    </xf>
    <xf numFmtId="0" fontId="3" fillId="3" borderId="21" xfId="4" applyBorder="1" applyAlignment="1">
      <alignment horizontal="center"/>
    </xf>
    <xf numFmtId="0" fontId="3" fillId="3" borderId="4" xfId="4" applyBorder="1" applyAlignment="1">
      <alignment horizontal="center"/>
    </xf>
    <xf numFmtId="0" fontId="8" fillId="0" borderId="0" xfId="0" applyFont="1" applyAlignment="1">
      <alignment horizontal="center"/>
    </xf>
    <xf numFmtId="172" fontId="0" fillId="0" borderId="0" xfId="0" applyNumberFormat="1"/>
  </cellXfs>
  <cellStyles count="326">
    <cellStyle name="20% - Accent1" xfId="24" builtinId="30" customBuiltin="1"/>
    <cellStyle name="20% - Accent1 2" xfId="57"/>
    <cellStyle name="20% - Accent2" xfId="28" builtinId="34" customBuiltin="1"/>
    <cellStyle name="20% - Accent2 2" xfId="59"/>
    <cellStyle name="20% - Accent3" xfId="32" builtinId="38" customBuiltin="1"/>
    <cellStyle name="20% - Accent3 2" xfId="61"/>
    <cellStyle name="20% - Accent4" xfId="36" builtinId="42" customBuiltin="1"/>
    <cellStyle name="20% - Accent4 2" xfId="63"/>
    <cellStyle name="20% - Accent5" xfId="40" builtinId="46" customBuiltin="1"/>
    <cellStyle name="20% - Accent5 2" xfId="65"/>
    <cellStyle name="20% - Accent6" xfId="44" builtinId="50" customBuiltin="1"/>
    <cellStyle name="20% - Accent6 2" xfId="67"/>
    <cellStyle name="40% - Accent1" xfId="25" builtinId="31" customBuiltin="1"/>
    <cellStyle name="40% - Accent1 2" xfId="58"/>
    <cellStyle name="40% - Accent2" xfId="29" builtinId="35" customBuiltin="1"/>
    <cellStyle name="40% - Accent2 2" xfId="60"/>
    <cellStyle name="40% - Accent3" xfId="33" builtinId="39" customBuiltin="1"/>
    <cellStyle name="40% - Accent3 2" xfId="62"/>
    <cellStyle name="40% - Accent4" xfId="37" builtinId="43" customBuiltin="1"/>
    <cellStyle name="40% - Accent4 2" xfId="64"/>
    <cellStyle name="40% - Accent5" xfId="41" builtinId="47" customBuiltin="1"/>
    <cellStyle name="40% - Accent5 2" xfId="66"/>
    <cellStyle name="40% - Accent6" xfId="45" builtinId="51" customBuiltin="1"/>
    <cellStyle name="40% - Accent6 2" xfId="68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Bad" xfId="4" builtinId="27" customBuiltin="1"/>
    <cellStyle name="Calculation" xfId="13" builtinId="22" customBuiltin="1"/>
    <cellStyle name="Check Cell" xfId="7" builtinId="23" customBuiltin="1"/>
    <cellStyle name="Comma" xfId="1" builtinId="3"/>
    <cellStyle name="Comma 2" xfId="71"/>
    <cellStyle name="Comma 2 2" xfId="285"/>
    <cellStyle name="Comma 2 2 2" xfId="49"/>
    <cellStyle name="Comma 2 3" xfId="325"/>
    <cellStyle name="Comma 3" xfId="69"/>
    <cellStyle name="Comma 3 2" xfId="9"/>
    <cellStyle name="Comma 3 3" xfId="322"/>
    <cellStyle name="Comma 4" xfId="195"/>
    <cellStyle name="Comma 4 2" xfId="321"/>
    <cellStyle name="Comma 4 3" xfId="308"/>
    <cellStyle name="Comma 5" xfId="55"/>
    <cellStyle name="Comma 5 2" xfId="307"/>
    <cellStyle name="Comma 6" xfId="312"/>
    <cellStyle name="Comma 7" xfId="318"/>
    <cellStyle name="Comma 8" xfId="306"/>
    <cellStyle name="Comma 9" xfId="311"/>
    <cellStyle name="Currency" xfId="11" builtinId="4"/>
    <cellStyle name="Currency [0] 2" xfId="117"/>
    <cellStyle name="Currency [0] 2 2" xfId="206"/>
    <cellStyle name="Currency 10" xfId="196"/>
    <cellStyle name="Currency 11" xfId="115"/>
    <cellStyle name="Currency 12" xfId="200"/>
    <cellStyle name="Currency 13" xfId="53"/>
    <cellStyle name="Currency 13 2" xfId="291"/>
    <cellStyle name="Currency 14" xfId="288"/>
    <cellStyle name="Currency 15" xfId="292"/>
    <cellStyle name="Currency 16" xfId="294"/>
    <cellStyle name="Currency 17" xfId="295"/>
    <cellStyle name="Currency 18" xfId="296"/>
    <cellStyle name="Currency 19" xfId="297"/>
    <cellStyle name="Currency 2" xfId="72"/>
    <cellStyle name="Currency 2 2" xfId="114"/>
    <cellStyle name="Currency 2 2 2" xfId="205"/>
    <cellStyle name="Currency 2 3" xfId="283"/>
    <cellStyle name="Currency 20" xfId="298"/>
    <cellStyle name="Currency 21" xfId="299"/>
    <cellStyle name="Currency 22" xfId="300"/>
    <cellStyle name="Currency 23" xfId="320"/>
    <cellStyle name="Currency 3" xfId="70"/>
    <cellStyle name="Currency 3 2" xfId="282"/>
    <cellStyle name="Currency 3 3" xfId="316"/>
    <cellStyle name="Currency 4" xfId="118"/>
    <cellStyle name="Currency 4 2" xfId="207"/>
    <cellStyle name="Currency 4 2 2" xfId="47"/>
    <cellStyle name="Currency 4 3" xfId="284"/>
    <cellStyle name="Currency 5" xfId="119"/>
    <cellStyle name="Currency 5 2" xfId="208"/>
    <cellStyle name="Currency 6" xfId="120"/>
    <cellStyle name="Currency 6 2" xfId="209"/>
    <cellStyle name="Currency 7" xfId="121"/>
    <cellStyle name="Currency 7 2" xfId="210"/>
    <cellStyle name="Currency 8" xfId="197"/>
    <cellStyle name="Currency 8 2" xfId="315"/>
    <cellStyle name="Currency 9" xfId="198"/>
    <cellStyle name="Currency 9 2" xfId="313"/>
    <cellStyle name="Data Field" xfId="122"/>
    <cellStyle name="Data Field 2" xfId="211"/>
    <cellStyle name="Data Name" xfId="123"/>
    <cellStyle name="Data Name 2" xfId="212"/>
    <cellStyle name="Explanatory Text" xfId="8" builtinId="53" customBuiltin="1"/>
    <cellStyle name="Followed Hyperlink" xfId="290" builtinId="9" customBuiltin="1"/>
    <cellStyle name="Good" xfId="3" builtinId="26" customBuiltin="1"/>
    <cellStyle name="Heading 1" xfId="17" builtinId="16" customBuiltin="1"/>
    <cellStyle name="Heading 2" xfId="18" builtinId="17" customBuiltin="1"/>
    <cellStyle name="Heading 3" xfId="19" builtinId="18" customBuiltin="1"/>
    <cellStyle name="Heading 4" xfId="20" builtinId="19" customBuiltin="1"/>
    <cellStyle name="Hyperlink" xfId="289" builtinId="8" customBuiltin="1"/>
    <cellStyle name="Hyperlink 2" xfId="124"/>
    <cellStyle name="Hyperlink 3" xfId="125"/>
    <cellStyle name="Hyperlink 4" xfId="303"/>
    <cellStyle name="Hyperlink 5" xfId="301"/>
    <cellStyle name="Input" xfId="6" builtinId="20" customBuiltin="1"/>
    <cellStyle name="Linked Cell" xfId="15" builtinId="24" customBuiltin="1"/>
    <cellStyle name="Neutral" xfId="5" builtinId="28" customBuiltin="1"/>
    <cellStyle name="Normal" xfId="0" builtinId="0"/>
    <cellStyle name="Normal 10" xfId="126"/>
    <cellStyle name="Normal 10 2" xfId="127"/>
    <cellStyle name="Normal 10 2 2" xfId="214"/>
    <cellStyle name="Normal 10 3" xfId="213"/>
    <cellStyle name="Normal 11" xfId="128"/>
    <cellStyle name="Normal 11 2" xfId="215"/>
    <cellStyle name="Normal 12" xfId="129"/>
    <cellStyle name="Normal 12 2" xfId="216"/>
    <cellStyle name="Normal 13" xfId="130"/>
    <cellStyle name="Normal 13 2" xfId="217"/>
    <cellStyle name="Normal 14" xfId="131"/>
    <cellStyle name="Normal 14 2" xfId="218"/>
    <cellStyle name="Normal 15" xfId="132"/>
    <cellStyle name="Normal 16" xfId="133"/>
    <cellStyle name="Normal 16 2" xfId="219"/>
    <cellStyle name="Normal 17" xfId="51"/>
    <cellStyle name="Normal 18" xfId="134"/>
    <cellStyle name="Normal 18 2" xfId="220"/>
    <cellStyle name="Normal 19" xfId="135"/>
    <cellStyle name="Normal 19 2" xfId="221"/>
    <cellStyle name="Normal 2" xfId="54"/>
    <cellStyle name="Normal 2 2" xfId="74"/>
    <cellStyle name="Normal 2 2 10" xfId="317"/>
    <cellStyle name="Normal 2 2 2" xfId="75"/>
    <cellStyle name="Normal 2 2 3" xfId="76"/>
    <cellStyle name="Normal 2 2 4" xfId="77"/>
    <cellStyle name="Normal 2 2 5" xfId="78"/>
    <cellStyle name="Normal 2 2 6" xfId="79"/>
    <cellStyle name="Normal 2 2 7" xfId="80"/>
    <cellStyle name="Normal 2 2 8" xfId="81"/>
    <cellStyle name="Normal 2 2 9" xfId="82"/>
    <cellStyle name="Normal 2 3" xfId="83"/>
    <cellStyle name="Normal 2 3 2" xfId="324"/>
    <cellStyle name="Normal 2 4" xfId="84"/>
    <cellStyle name="Normal 2 4 2" xfId="85"/>
    <cellStyle name="Normal 2 5" xfId="113"/>
    <cellStyle name="Normal 2 5 2" xfId="204"/>
    <cellStyle name="Normal 2 6" xfId="50"/>
    <cellStyle name="Normal 2 6 2" xfId="73"/>
    <cellStyle name="Normal 2 7" xfId="302"/>
    <cellStyle name="Normal 26" xfId="109"/>
    <cellStyle name="Normal 26 2" xfId="202"/>
    <cellStyle name="Normal 27" xfId="110"/>
    <cellStyle name="Normal 27 2" xfId="203"/>
    <cellStyle name="Normal 28" xfId="136"/>
    <cellStyle name="Normal 28 2" xfId="222"/>
    <cellStyle name="Normal 3" xfId="86"/>
    <cellStyle name="Normal 3 2" xfId="87"/>
    <cellStyle name="Normal 3 2 10" xfId="48"/>
    <cellStyle name="Normal 3 2 2" xfId="88"/>
    <cellStyle name="Normal 3 2 3" xfId="89"/>
    <cellStyle name="Normal 3 2 4" xfId="90"/>
    <cellStyle name="Normal 3 2 5" xfId="91"/>
    <cellStyle name="Normal 3 2 6" xfId="92"/>
    <cellStyle name="Normal 3 2 7" xfId="93"/>
    <cellStyle name="Normal 3 2 8" xfId="94"/>
    <cellStyle name="Normal 3 2 9" xfId="95"/>
    <cellStyle name="Normal 3 3" xfId="111"/>
    <cellStyle name="Normal 3 4" xfId="323"/>
    <cellStyle name="Normal 3 40" xfId="112"/>
    <cellStyle name="Normal 33" xfId="280"/>
    <cellStyle name="Normal 35" xfId="304"/>
    <cellStyle name="Normal 36" xfId="137"/>
    <cellStyle name="Normal 36 2" xfId="223"/>
    <cellStyle name="Normal 37" xfId="138"/>
    <cellStyle name="Normal 37 2" xfId="224"/>
    <cellStyle name="Normal 38" xfId="139"/>
    <cellStyle name="Normal 38 2" xfId="225"/>
    <cellStyle name="Normal 39" xfId="140"/>
    <cellStyle name="Normal 39 2" xfId="226"/>
    <cellStyle name="Normal 4" xfId="10"/>
    <cellStyle name="Normal 4 2" xfId="97"/>
    <cellStyle name="Normal 4 3" xfId="96"/>
    <cellStyle name="Normal 4 4" xfId="281"/>
    <cellStyle name="Normal 40" xfId="141"/>
    <cellStyle name="Normal 40 2" xfId="227"/>
    <cellStyle name="Normal 41" xfId="142"/>
    <cellStyle name="Normal 41 2" xfId="228"/>
    <cellStyle name="Normal 42" xfId="143"/>
    <cellStyle name="Normal 42 2" xfId="229"/>
    <cellStyle name="Normal 43" xfId="144"/>
    <cellStyle name="Normal 43 2" xfId="230"/>
    <cellStyle name="Normal 44" xfId="145"/>
    <cellStyle name="Normal 44 2" xfId="231"/>
    <cellStyle name="Normal 45" xfId="146"/>
    <cellStyle name="Normal 45 2" xfId="232"/>
    <cellStyle name="Normal 46" xfId="147"/>
    <cellStyle name="Normal 46 2" xfId="233"/>
    <cellStyle name="Normal 47" xfId="148"/>
    <cellStyle name="Normal 47 2" xfId="234"/>
    <cellStyle name="Normal 48" xfId="149"/>
    <cellStyle name="Normal 48 2" xfId="235"/>
    <cellStyle name="Normal 49" xfId="150"/>
    <cellStyle name="Normal 49 2" xfId="236"/>
    <cellStyle name="Normal 5" xfId="98"/>
    <cellStyle name="Normal 5 2" xfId="99"/>
    <cellStyle name="Normal 5 3" xfId="100"/>
    <cellStyle name="Normal 5 4" xfId="101"/>
    <cellStyle name="Normal 5 5" xfId="319"/>
    <cellStyle name="Normal 50" xfId="151"/>
    <cellStyle name="Normal 50 2" xfId="237"/>
    <cellStyle name="Normal 51" xfId="152"/>
    <cellStyle name="Normal 51 2" xfId="238"/>
    <cellStyle name="Normal 52" xfId="153"/>
    <cellStyle name="Normal 52 2" xfId="239"/>
    <cellStyle name="Normal 53" xfId="154"/>
    <cellStyle name="Normal 53 2" xfId="240"/>
    <cellStyle name="Normal 54" xfId="155"/>
    <cellStyle name="Normal 54 2" xfId="241"/>
    <cellStyle name="Normal 55" xfId="156"/>
    <cellStyle name="Normal 55 2" xfId="242"/>
    <cellStyle name="Normal 56" xfId="157"/>
    <cellStyle name="Normal 56 2" xfId="243"/>
    <cellStyle name="Normal 57" xfId="158"/>
    <cellStyle name="Normal 57 2" xfId="244"/>
    <cellStyle name="Normal 58" xfId="159"/>
    <cellStyle name="Normal 58 2" xfId="245"/>
    <cellStyle name="Normal 59" xfId="160"/>
    <cellStyle name="Normal 59 2" xfId="246"/>
    <cellStyle name="Normal 6" xfId="102"/>
    <cellStyle name="Normal 6 2" xfId="103"/>
    <cellStyle name="Normal 6 3" xfId="104"/>
    <cellStyle name="Normal 6 4" xfId="310"/>
    <cellStyle name="Normal 60" xfId="161"/>
    <cellStyle name="Normal 60 2" xfId="247"/>
    <cellStyle name="Normal 61" xfId="162"/>
    <cellStyle name="Normal 61 2" xfId="248"/>
    <cellStyle name="Normal 62" xfId="163"/>
    <cellStyle name="Normal 62 2" xfId="249"/>
    <cellStyle name="Normal 63" xfId="164"/>
    <cellStyle name="Normal 63 2" xfId="250"/>
    <cellStyle name="Normal 64" xfId="165"/>
    <cellStyle name="Normal 64 2" xfId="251"/>
    <cellStyle name="Normal 65" xfId="166"/>
    <cellStyle name="Normal 65 2" xfId="252"/>
    <cellStyle name="Normal 66" xfId="167"/>
    <cellStyle name="Normal 66 2" xfId="253"/>
    <cellStyle name="Normal 67" xfId="168"/>
    <cellStyle name="Normal 67 2" xfId="254"/>
    <cellStyle name="Normal 69" xfId="169"/>
    <cellStyle name="Normal 69 2" xfId="255"/>
    <cellStyle name="Normal 7" xfId="105"/>
    <cellStyle name="Normal 7 2" xfId="309"/>
    <cellStyle name="Normal 70" xfId="170"/>
    <cellStyle name="Normal 70 2" xfId="256"/>
    <cellStyle name="Normal 71" xfId="171"/>
    <cellStyle name="Normal 71 2" xfId="257"/>
    <cellStyle name="Normal 72" xfId="172"/>
    <cellStyle name="Normal 72 2" xfId="258"/>
    <cellStyle name="Normal 73" xfId="173"/>
    <cellStyle name="Normal 73 2" xfId="259"/>
    <cellStyle name="Normal 74" xfId="174"/>
    <cellStyle name="Normal 74 2" xfId="260"/>
    <cellStyle name="Normal 75" xfId="175"/>
    <cellStyle name="Normal 75 2" xfId="261"/>
    <cellStyle name="Normal 76" xfId="176"/>
    <cellStyle name="Normal 76 2" xfId="262"/>
    <cellStyle name="Normal 77" xfId="177"/>
    <cellStyle name="Normal 77 2" xfId="263"/>
    <cellStyle name="Normal 78" xfId="178"/>
    <cellStyle name="Normal 78 2" xfId="264"/>
    <cellStyle name="Normal 79" xfId="179"/>
    <cellStyle name="Normal 79 2" xfId="265"/>
    <cellStyle name="Normal 8" xfId="106"/>
    <cellStyle name="Normal 80" xfId="180"/>
    <cellStyle name="Normal 80 2" xfId="266"/>
    <cellStyle name="Normal 81" xfId="181"/>
    <cellStyle name="Normal 81 2" xfId="267"/>
    <cellStyle name="Normal 82" xfId="182"/>
    <cellStyle name="Normal 82 2" xfId="268"/>
    <cellStyle name="Normal 83" xfId="183"/>
    <cellStyle name="Normal 83 2" xfId="269"/>
    <cellStyle name="Normal 84" xfId="184"/>
    <cellStyle name="Normal 84 2" xfId="270"/>
    <cellStyle name="Normal 85" xfId="185"/>
    <cellStyle name="Normal 85 2" xfId="271"/>
    <cellStyle name="Normal 86" xfId="186"/>
    <cellStyle name="Normal 86 2" xfId="272"/>
    <cellStyle name="Normal 87" xfId="187"/>
    <cellStyle name="Normal 87 2" xfId="273"/>
    <cellStyle name="Normal 9" xfId="107"/>
    <cellStyle name="Normal 9 2" xfId="108"/>
    <cellStyle name="Normal 9 2 2" xfId="201"/>
    <cellStyle name="Note" xfId="14" builtinId="10" customBuiltin="1"/>
    <cellStyle name="Note 2" xfId="56"/>
    <cellStyle name="Output" xfId="12" builtinId="21" customBuiltin="1"/>
    <cellStyle name="Percent" xfId="2" builtinId="5"/>
    <cellStyle name="Percent 10" xfId="116"/>
    <cellStyle name="Percent 11" xfId="52"/>
    <cellStyle name="Percent 11 2" xfId="293"/>
    <cellStyle name="Percent 2" xfId="188"/>
    <cellStyle name="Percent 2 2" xfId="274"/>
    <cellStyle name="Percent 3" xfId="189"/>
    <cellStyle name="Percent 3 2" xfId="275"/>
    <cellStyle name="Percent 3 3" xfId="286"/>
    <cellStyle name="Percent 3 4" xfId="314"/>
    <cellStyle name="Percent 4" xfId="190"/>
    <cellStyle name="Percent 4 2" xfId="276"/>
    <cellStyle name="Percent 4 3" xfId="287"/>
    <cellStyle name="Percent 5" xfId="191"/>
    <cellStyle name="Percent 5 2" xfId="277"/>
    <cellStyle name="Percent 6" xfId="192"/>
    <cellStyle name="Percent 6 2" xfId="278"/>
    <cellStyle name="Percent 7" xfId="193"/>
    <cellStyle name="Percent 7 2" xfId="305"/>
    <cellStyle name="Percent 8" xfId="194"/>
    <cellStyle name="Percent 8 2" xfId="279"/>
    <cellStyle name="Percent 9" xfId="199"/>
    <cellStyle name="Title" xfId="16" builtinId="15" customBuiltin="1"/>
    <cellStyle name="Total" xfId="22" builtinId="25" customBuiltin="1"/>
    <cellStyle name="Warning Text" xfId="2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9"/>
  <sheetViews>
    <sheetView workbookViewId="0"/>
  </sheetViews>
  <sheetFormatPr defaultRowHeight="15" x14ac:dyDescent="0.25"/>
  <cols>
    <col min="1" max="1" width="17.5703125" customWidth="1"/>
    <col min="2" max="2" width="20.42578125" customWidth="1"/>
    <col min="3" max="3" width="15.140625" customWidth="1"/>
    <col min="4" max="4" width="16.140625" customWidth="1"/>
    <col min="5" max="5" width="12.7109375" customWidth="1"/>
    <col min="6" max="9" width="17.7109375" customWidth="1"/>
  </cols>
  <sheetData>
    <row r="1" spans="1:19" ht="15.75" thickBot="1" x14ac:dyDescent="0.3">
      <c r="A1" s="9" t="s">
        <v>53</v>
      </c>
    </row>
    <row r="2" spans="1:19" ht="15.75" thickBot="1" x14ac:dyDescent="0.3">
      <c r="B2" s="213" t="s">
        <v>19</v>
      </c>
      <c r="C2" s="213"/>
      <c r="E2" s="210" t="s">
        <v>13</v>
      </c>
      <c r="F2" s="211"/>
      <c r="G2" s="211"/>
      <c r="H2" s="211"/>
      <c r="I2" s="212"/>
      <c r="K2" s="3" t="s">
        <v>44</v>
      </c>
    </row>
    <row r="3" spans="1:19" x14ac:dyDescent="0.25">
      <c r="B3" s="93" t="s">
        <v>54</v>
      </c>
      <c r="C3" s="6" t="s">
        <v>18</v>
      </c>
      <c r="E3" s="25"/>
      <c r="F3" s="50" t="s">
        <v>0</v>
      </c>
      <c r="G3" s="50" t="s">
        <v>1</v>
      </c>
      <c r="H3" s="50" t="s">
        <v>2</v>
      </c>
      <c r="I3" s="51" t="s">
        <v>3</v>
      </c>
      <c r="K3" s="144" t="s">
        <v>46</v>
      </c>
      <c r="L3" s="101"/>
      <c r="M3" s="101"/>
      <c r="N3" s="101"/>
      <c r="O3" s="101"/>
      <c r="P3" s="101"/>
      <c r="Q3" s="101"/>
      <c r="R3" s="101"/>
      <c r="S3" s="101"/>
    </row>
    <row r="4" spans="1:19" x14ac:dyDescent="0.25">
      <c r="A4" s="37" t="s">
        <v>0</v>
      </c>
      <c r="B4" s="58">
        <v>13119808034.727177</v>
      </c>
      <c r="C4" s="60">
        <f>SUM(F11:I11)</f>
        <v>29859501.937391747</v>
      </c>
      <c r="D4" s="94"/>
      <c r="E4" s="41"/>
      <c r="F4" s="63">
        <v>1</v>
      </c>
      <c r="G4" s="63">
        <v>0</v>
      </c>
      <c r="H4" s="43">
        <f>B4/SUM($B$4:$B$8)</f>
        <v>0.44064068195657907</v>
      </c>
      <c r="I4" s="44">
        <f>H4</f>
        <v>0.44064068195657907</v>
      </c>
      <c r="K4" s="144" t="s">
        <v>45</v>
      </c>
      <c r="L4" s="101"/>
      <c r="M4" s="101"/>
      <c r="N4" s="101"/>
      <c r="O4" s="101"/>
      <c r="P4" s="101"/>
      <c r="Q4" s="101"/>
      <c r="R4" s="101"/>
      <c r="S4" s="101"/>
    </row>
    <row r="5" spans="1:19" x14ac:dyDescent="0.25">
      <c r="A5" s="37" t="s">
        <v>4</v>
      </c>
      <c r="B5" s="58">
        <v>3452654116.8929968</v>
      </c>
      <c r="C5" s="60">
        <f>SUM(F12:I12)</f>
        <v>7395523.1253312463</v>
      </c>
      <c r="D5" s="94"/>
      <c r="E5" s="41"/>
      <c r="F5" s="63">
        <v>0</v>
      </c>
      <c r="G5" s="43">
        <f>B5/SUM($B$5:$B$8)</f>
        <v>0.20730954876632374</v>
      </c>
      <c r="H5" s="43">
        <f>B5/SUM($B$4:$B$8)</f>
        <v>0.11596052782182016</v>
      </c>
      <c r="I5" s="44">
        <f t="shared" ref="I5:I8" si="0">H5</f>
        <v>0.11596052782182016</v>
      </c>
    </row>
    <row r="6" spans="1:19" x14ac:dyDescent="0.25">
      <c r="A6" s="37" t="s">
        <v>5</v>
      </c>
      <c r="B6" s="58">
        <v>7941126184.7513027</v>
      </c>
      <c r="C6" s="60">
        <f>SUM(F13:I13)</f>
        <v>17009749.703324206</v>
      </c>
      <c r="D6" s="94"/>
      <c r="E6" s="41"/>
      <c r="F6" s="63">
        <v>0</v>
      </c>
      <c r="G6" s="43">
        <f>B6/SUM($B$5:$B$8)</f>
        <v>0.47681326606173075</v>
      </c>
      <c r="H6" s="43">
        <f>B6/SUM($B$4:$B$8)</f>
        <v>0.26670994333834591</v>
      </c>
      <c r="I6" s="44">
        <f t="shared" si="0"/>
        <v>0.26670994333834591</v>
      </c>
    </row>
    <row r="7" spans="1:19" x14ac:dyDescent="0.25">
      <c r="A7" s="37" t="s">
        <v>6</v>
      </c>
      <c r="B7" s="58">
        <v>3326947979.8637457</v>
      </c>
      <c r="C7" s="60">
        <f>SUM(F14:I14)</f>
        <v>7126262.8368919063</v>
      </c>
      <c r="D7" s="94"/>
      <c r="E7" s="41"/>
      <c r="F7" s="63">
        <v>0</v>
      </c>
      <c r="G7" s="43">
        <f>B7/SUM($B$5:$B$8)</f>
        <v>0.19976170827538489</v>
      </c>
      <c r="H7" s="43">
        <f>B7/SUM($B$4:$B$8)</f>
        <v>0.11173857291210808</v>
      </c>
      <c r="I7" s="44">
        <f t="shared" si="0"/>
        <v>0.11173857291210808</v>
      </c>
    </row>
    <row r="8" spans="1:19" ht="15.75" thickBot="1" x14ac:dyDescent="0.3">
      <c r="A8" s="37" t="s">
        <v>7</v>
      </c>
      <c r="B8" s="58">
        <v>1933854864.5137405</v>
      </c>
      <c r="C8" s="60">
        <f>SUM(F15:I15)</f>
        <v>4142282.3970608958</v>
      </c>
      <c r="D8" s="94"/>
      <c r="E8" s="41"/>
      <c r="F8" s="63">
        <v>0</v>
      </c>
      <c r="G8" s="43">
        <f>B8/SUM($B$5:$B$8)</f>
        <v>0.11611547689656061</v>
      </c>
      <c r="H8" s="43">
        <f>B8/SUM($B$4:$B$8)</f>
        <v>6.4950273971146749E-2</v>
      </c>
      <c r="I8" s="44">
        <f t="shared" si="0"/>
        <v>6.4950273971146749E-2</v>
      </c>
    </row>
    <row r="9" spans="1:19" ht="16.5" thickTop="1" thickBot="1" x14ac:dyDescent="0.3">
      <c r="A9" s="37" t="s">
        <v>14</v>
      </c>
      <c r="B9" s="59">
        <f>SUM(B4:B8)</f>
        <v>29774391180.748962</v>
      </c>
      <c r="C9" s="40">
        <f>SUM(C4:C8)</f>
        <v>65533320</v>
      </c>
      <c r="D9" s="4"/>
      <c r="E9" s="53" t="s">
        <v>43</v>
      </c>
      <c r="F9" s="36">
        <f>1-SUM(F4:F8)</f>
        <v>0</v>
      </c>
      <c r="G9" s="36">
        <f t="shared" ref="G9:I9" si="1">1-SUM(G4:G8)</f>
        <v>0</v>
      </c>
      <c r="H9" s="36">
        <f t="shared" si="1"/>
        <v>0</v>
      </c>
      <c r="I9" s="52">
        <f t="shared" si="1"/>
        <v>0</v>
      </c>
    </row>
    <row r="10" spans="1:19" ht="16.5" thickTop="1" thickBot="1" x14ac:dyDescent="0.3">
      <c r="B10" s="57" t="s">
        <v>43</v>
      </c>
      <c r="C10" s="36">
        <f>SUM(F10:I10)-C9</f>
        <v>0</v>
      </c>
      <c r="D10" s="4"/>
      <c r="E10" s="56" t="s">
        <v>14</v>
      </c>
      <c r="F10" s="61">
        <v>24395034</v>
      </c>
      <c r="G10" s="61">
        <v>28737098</v>
      </c>
      <c r="H10" s="61">
        <v>3092264</v>
      </c>
      <c r="I10" s="62">
        <v>9308924</v>
      </c>
      <c r="J10" s="2" t="s">
        <v>93</v>
      </c>
    </row>
    <row r="11" spans="1:19" ht="15.75" thickTop="1" x14ac:dyDescent="0.25">
      <c r="D11" s="4"/>
      <c r="E11" s="41" t="s">
        <v>0</v>
      </c>
      <c r="F11" s="54">
        <f t="shared" ref="F11:I15" si="2">F4*F$10</f>
        <v>24395034</v>
      </c>
      <c r="G11" s="54">
        <f t="shared" si="2"/>
        <v>0</v>
      </c>
      <c r="H11" s="54">
        <f t="shared" si="2"/>
        <v>1362577.317749779</v>
      </c>
      <c r="I11" s="55">
        <f t="shared" si="2"/>
        <v>4101890.6196419657</v>
      </c>
    </row>
    <row r="12" spans="1:19" x14ac:dyDescent="0.25">
      <c r="D12" s="4"/>
      <c r="E12" s="41" t="s">
        <v>4</v>
      </c>
      <c r="F12" s="45">
        <f t="shared" si="2"/>
        <v>0</v>
      </c>
      <c r="G12" s="45">
        <f t="shared" si="2"/>
        <v>5957474.8192336243</v>
      </c>
      <c r="H12" s="45">
        <f t="shared" si="2"/>
        <v>358580.56560441293</v>
      </c>
      <c r="I12" s="46">
        <f t="shared" si="2"/>
        <v>1079467.7404932093</v>
      </c>
    </row>
    <row r="13" spans="1:19" x14ac:dyDescent="0.25">
      <c r="D13" s="4"/>
      <c r="E13" s="41" t="s">
        <v>5</v>
      </c>
      <c r="F13" s="45">
        <f t="shared" si="2"/>
        <v>0</v>
      </c>
      <c r="G13" s="45">
        <f t="shared" si="2"/>
        <v>13702229.55451603</v>
      </c>
      <c r="H13" s="45">
        <f t="shared" si="2"/>
        <v>824737.55622720683</v>
      </c>
      <c r="I13" s="46">
        <f t="shared" si="2"/>
        <v>2482782.5925809685</v>
      </c>
    </row>
    <row r="14" spans="1:19" x14ac:dyDescent="0.25">
      <c r="D14" s="4"/>
      <c r="E14" s="41" t="s">
        <v>6</v>
      </c>
      <c r="F14" s="45">
        <f t="shared" si="2"/>
        <v>0</v>
      </c>
      <c r="G14" s="45">
        <f t="shared" si="2"/>
        <v>5740571.7873571469</v>
      </c>
      <c r="H14" s="45">
        <f t="shared" si="2"/>
        <v>345525.16642748698</v>
      </c>
      <c r="I14" s="46">
        <f t="shared" si="2"/>
        <v>1040165.8831072728</v>
      </c>
    </row>
    <row r="15" spans="1:19" ht="15.75" thickBot="1" x14ac:dyDescent="0.3">
      <c r="D15" s="4"/>
      <c r="E15" s="42" t="s">
        <v>7</v>
      </c>
      <c r="F15" s="47">
        <f t="shared" si="2"/>
        <v>0</v>
      </c>
      <c r="G15" s="47">
        <f t="shared" si="2"/>
        <v>3336821.8388931984</v>
      </c>
      <c r="H15" s="47">
        <f t="shared" si="2"/>
        <v>200843.39399111414</v>
      </c>
      <c r="I15" s="48">
        <f t="shared" si="2"/>
        <v>604617.16417658329</v>
      </c>
    </row>
    <row r="16" spans="1:19" x14ac:dyDescent="0.25">
      <c r="C16" s="4"/>
    </row>
    <row r="18" spans="1:32" x14ac:dyDescent="0.25">
      <c r="H18" s="4"/>
      <c r="I18" s="4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20" spans="1:32" x14ac:dyDescent="0.25">
      <c r="A20" s="64"/>
    </row>
    <row r="31" spans="1:32" x14ac:dyDescent="0.25">
      <c r="C31" s="2"/>
    </row>
    <row r="45" spans="2:4" x14ac:dyDescent="0.25">
      <c r="B45" s="8"/>
      <c r="C45" s="8"/>
      <c r="D45" s="8"/>
    </row>
    <row r="49" spans="2:4" x14ac:dyDescent="0.25">
      <c r="B49" s="8"/>
      <c r="C49" s="8"/>
      <c r="D49" s="8"/>
    </row>
  </sheetData>
  <mergeCells count="2">
    <mergeCell ref="E2:I2"/>
    <mergeCell ref="B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76"/>
  <sheetViews>
    <sheetView workbookViewId="0"/>
  </sheetViews>
  <sheetFormatPr defaultRowHeight="15" x14ac:dyDescent="0.25"/>
  <cols>
    <col min="1" max="1" width="17.5703125" customWidth="1"/>
    <col min="2" max="2" width="19.7109375" customWidth="1"/>
    <col min="3" max="3" width="15.28515625" bestFit="1" customWidth="1"/>
    <col min="4" max="4" width="15.140625" customWidth="1"/>
    <col min="5" max="5" width="16.140625" customWidth="1"/>
    <col min="6" max="6" width="15" bestFit="1" customWidth="1"/>
    <col min="7" max="7" width="16" customWidth="1"/>
    <col min="8" max="8" width="15" bestFit="1" customWidth="1"/>
    <col min="9" max="11" width="16" bestFit="1" customWidth="1"/>
    <col min="12" max="12" width="17.28515625" bestFit="1" customWidth="1"/>
    <col min="13" max="13" width="17.42578125" customWidth="1"/>
    <col min="14" max="23" width="17.28515625" customWidth="1"/>
    <col min="24" max="24" width="16.42578125" customWidth="1"/>
    <col min="25" max="25" width="17.28515625" customWidth="1"/>
    <col min="26" max="26" width="16.85546875" customWidth="1"/>
    <col min="27" max="27" width="13.85546875" bestFit="1" customWidth="1"/>
    <col min="28" max="28" width="10.85546875" bestFit="1" customWidth="1"/>
    <col min="30" max="30" width="12.7109375" bestFit="1" customWidth="1"/>
  </cols>
  <sheetData>
    <row r="2" spans="1:25" x14ac:dyDescent="0.25">
      <c r="B2" s="3" t="s">
        <v>12</v>
      </c>
      <c r="I2" s="3" t="s">
        <v>44</v>
      </c>
      <c r="O2" s="3"/>
    </row>
    <row r="3" spans="1:25" x14ac:dyDescent="0.25">
      <c r="B3" s="6" t="s">
        <v>9</v>
      </c>
      <c r="C3" s="6" t="s">
        <v>15</v>
      </c>
      <c r="D3" s="6" t="s">
        <v>8</v>
      </c>
      <c r="E3" s="6" t="s">
        <v>10</v>
      </c>
      <c r="F3" s="6" t="s">
        <v>42</v>
      </c>
      <c r="G3" s="6" t="s">
        <v>11</v>
      </c>
      <c r="I3" s="144" t="s">
        <v>58</v>
      </c>
      <c r="J3" s="101"/>
      <c r="K3" s="101"/>
      <c r="L3" s="101"/>
      <c r="M3" s="101"/>
      <c r="N3" s="101"/>
      <c r="O3" s="3"/>
    </row>
    <row r="4" spans="1:25" x14ac:dyDescent="0.25">
      <c r="A4" t="s">
        <v>0</v>
      </c>
      <c r="B4" s="40">
        <f>SUM(B39:Z39)</f>
        <v>46679129.505210377</v>
      </c>
      <c r="C4" s="79">
        <f>SUM(B32:Z32)</f>
        <v>28738364848.383812</v>
      </c>
      <c r="D4" s="40">
        <f>SUM(B25:Z25)</f>
        <v>45957159.677691527</v>
      </c>
      <c r="E4" s="40">
        <f>D4-B4</f>
        <v>-721969.82751885056</v>
      </c>
      <c r="F4" s="39">
        <f>SUM(B62:Z62)</f>
        <v>-22295.25969901124</v>
      </c>
      <c r="G4" s="60">
        <f>E4+F4</f>
        <v>-744265.08721786179</v>
      </c>
      <c r="I4" s="144" t="s">
        <v>59</v>
      </c>
      <c r="J4" s="101"/>
      <c r="K4" s="101"/>
      <c r="L4" s="101"/>
      <c r="M4" s="101"/>
      <c r="N4" s="101"/>
      <c r="O4" s="3"/>
    </row>
    <row r="5" spans="1:25" x14ac:dyDescent="0.25">
      <c r="A5" t="s">
        <v>4</v>
      </c>
      <c r="B5" s="40">
        <f>SUM(B40:Z40)</f>
        <v>8264113.6347207054</v>
      </c>
      <c r="C5" s="79">
        <f>SUM(B33:Z33)</f>
        <v>7309783445.2616358</v>
      </c>
      <c r="D5" s="40">
        <f>SUM(B26:Z26)</f>
        <v>7224943.2783239614</v>
      </c>
      <c r="E5" s="40">
        <f>D5-B5</f>
        <v>-1039170.356396744</v>
      </c>
      <c r="F5" s="39">
        <f>SUM(B63:Z63)</f>
        <v>-9312.9229544837544</v>
      </c>
      <c r="G5" s="60">
        <f t="shared" ref="G5:G8" si="0">E5+F5</f>
        <v>-1048483.2793512278</v>
      </c>
      <c r="I5" s="144" t="s">
        <v>60</v>
      </c>
      <c r="J5" s="101"/>
      <c r="K5" s="101"/>
      <c r="L5" s="101"/>
      <c r="M5" s="101"/>
      <c r="N5" s="101"/>
      <c r="O5" s="3"/>
    </row>
    <row r="6" spans="1:25" x14ac:dyDescent="0.25">
      <c r="A6" t="s">
        <v>5</v>
      </c>
      <c r="B6" s="40">
        <f>SUM(B41:Z41)</f>
        <v>18877925.608220611</v>
      </c>
      <c r="C6" s="79">
        <f>SUM(B34:Z34)</f>
        <v>16605596490.196795</v>
      </c>
      <c r="D6" s="40">
        <f>SUM(B27:Z27)</f>
        <v>16604143.625621464</v>
      </c>
      <c r="E6" s="40">
        <f>D6-B6</f>
        <v>-2273781.9825991467</v>
      </c>
      <c r="F6" s="39">
        <f>SUM(B64:Z64)</f>
        <v>-20778.046219109383</v>
      </c>
      <c r="G6" s="60">
        <f t="shared" si="0"/>
        <v>-2294560.0288182562</v>
      </c>
      <c r="I6" s="144" t="s">
        <v>61</v>
      </c>
      <c r="J6" s="101"/>
      <c r="K6" s="101"/>
      <c r="L6" s="101"/>
      <c r="M6" s="101"/>
      <c r="N6" s="101"/>
      <c r="O6" s="3"/>
    </row>
    <row r="7" spans="1:25" x14ac:dyDescent="0.25">
      <c r="A7" t="s">
        <v>6</v>
      </c>
      <c r="B7" s="40">
        <f>SUM(B42:Z42)</f>
        <v>7998868.5456977226</v>
      </c>
      <c r="C7" s="79">
        <f>SUM(B35:Z35)</f>
        <v>7034734285.3437204</v>
      </c>
      <c r="D7" s="40">
        <f>SUM(B28:Z28)</f>
        <v>7063673.8192873541</v>
      </c>
      <c r="E7" s="40">
        <f>D7-B7</f>
        <v>-935194.72641036846</v>
      </c>
      <c r="F7" s="39">
        <f>SUM(B65:Z65)</f>
        <v>-8630.4091580299792</v>
      </c>
      <c r="G7" s="60">
        <f t="shared" si="0"/>
        <v>-943825.1355683984</v>
      </c>
      <c r="I7" s="144" t="s">
        <v>62</v>
      </c>
      <c r="J7" s="101"/>
      <c r="K7" s="101"/>
      <c r="L7" s="101"/>
      <c r="M7" s="101"/>
      <c r="N7" s="101"/>
      <c r="O7" s="3"/>
    </row>
    <row r="8" spans="1:25" ht="15.75" thickBot="1" x14ac:dyDescent="0.3">
      <c r="A8" t="s">
        <v>7</v>
      </c>
      <c r="B8" s="40">
        <f>SUM(B43:Z43)</f>
        <v>5248235.3177114548</v>
      </c>
      <c r="C8" s="79">
        <f>SUM(B36:Z36)</f>
        <v>4736425327.8856049</v>
      </c>
      <c r="D8" s="40">
        <f>SUM(B29:Z29)</f>
        <v>4641376.3090756899</v>
      </c>
      <c r="E8" s="40">
        <f>D8-B8</f>
        <v>-606859.00863576494</v>
      </c>
      <c r="F8" s="39">
        <f>SUM(B66:Z66)</f>
        <v>-6184.1222568688718</v>
      </c>
      <c r="G8" s="60">
        <f t="shared" si="0"/>
        <v>-613043.13089263381</v>
      </c>
      <c r="I8" s="144" t="s">
        <v>63</v>
      </c>
      <c r="J8" s="101"/>
      <c r="K8" s="101"/>
      <c r="L8" s="101"/>
      <c r="M8" s="101"/>
      <c r="N8" s="101"/>
      <c r="O8" s="3"/>
    </row>
    <row r="9" spans="1:25" ht="16.5" thickTop="1" thickBot="1" x14ac:dyDescent="0.3">
      <c r="B9" s="74">
        <f t="shared" ref="B9:G9" si="1">SUM(B4:B8)</f>
        <v>87068272.611560866</v>
      </c>
      <c r="C9" s="79">
        <f t="shared" si="1"/>
        <v>64424904397.071564</v>
      </c>
      <c r="D9" s="74">
        <f t="shared" si="1"/>
        <v>81491296.709999993</v>
      </c>
      <c r="E9" s="74">
        <f>SUM(E4:E8)</f>
        <v>-5576975.9015608747</v>
      </c>
      <c r="F9" s="39">
        <f t="shared" si="1"/>
        <v>-67200.760287503232</v>
      </c>
      <c r="G9" s="74">
        <f t="shared" si="1"/>
        <v>-5644176.6618483774</v>
      </c>
      <c r="I9" s="144" t="s">
        <v>64</v>
      </c>
      <c r="J9" s="101"/>
      <c r="K9" s="101"/>
      <c r="L9" s="101"/>
      <c r="M9" s="101"/>
      <c r="N9" s="101"/>
      <c r="O9" s="3"/>
    </row>
    <row r="10" spans="1:25" ht="16.5" thickTop="1" thickBot="1" x14ac:dyDescent="0.3">
      <c r="F10" s="36">
        <f>F9-SUM(B45:Z45)</f>
        <v>-0.56028750323457643</v>
      </c>
      <c r="I10" s="144" t="s">
        <v>84</v>
      </c>
      <c r="J10" s="101"/>
      <c r="K10" s="101"/>
      <c r="L10" s="101"/>
      <c r="M10" s="101"/>
      <c r="N10" s="101"/>
    </row>
    <row r="11" spans="1:25" ht="15.75" thickTop="1" x14ac:dyDescent="0.25">
      <c r="E11" s="4"/>
      <c r="G11" s="3"/>
    </row>
    <row r="12" spans="1:25" x14ac:dyDescent="0.25"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</row>
    <row r="13" spans="1:25" x14ac:dyDescent="0.25"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</row>
    <row r="14" spans="1:25" x14ac:dyDescent="0.25"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Q14" s="4"/>
    </row>
    <row r="15" spans="1:25" x14ac:dyDescent="0.25"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</row>
    <row r="16" spans="1:25" ht="15.75" thickBot="1" x14ac:dyDescent="0.3"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Q16" s="4"/>
      <c r="R16" s="5"/>
    </row>
    <row r="17" spans="1:33" ht="15.75" thickBot="1" x14ac:dyDescent="0.3">
      <c r="A17" t="s">
        <v>65</v>
      </c>
      <c r="B17" s="25"/>
      <c r="C17" s="26"/>
      <c r="D17" s="27" t="s">
        <v>16</v>
      </c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14" t="s">
        <v>35</v>
      </c>
      <c r="Y17" s="215"/>
      <c r="Z17" s="216"/>
    </row>
    <row r="18" spans="1:33" x14ac:dyDescent="0.25">
      <c r="B18" s="23">
        <v>41275</v>
      </c>
      <c r="C18" s="34">
        <f t="shared" ref="C18:M18" si="2">EDATE(B18,1)</f>
        <v>41306</v>
      </c>
      <c r="D18" s="34">
        <f t="shared" si="2"/>
        <v>41334</v>
      </c>
      <c r="E18" s="34">
        <f t="shared" si="2"/>
        <v>41365</v>
      </c>
      <c r="F18" s="34">
        <f t="shared" si="2"/>
        <v>41395</v>
      </c>
      <c r="G18" s="34">
        <f t="shared" si="2"/>
        <v>41426</v>
      </c>
      <c r="H18" s="34">
        <f t="shared" si="2"/>
        <v>41456</v>
      </c>
      <c r="I18" s="34">
        <f t="shared" si="2"/>
        <v>41487</v>
      </c>
      <c r="J18" s="34">
        <f t="shared" si="2"/>
        <v>41518</v>
      </c>
      <c r="K18" s="34">
        <f t="shared" si="2"/>
        <v>41548</v>
      </c>
      <c r="L18" s="34">
        <f t="shared" si="2"/>
        <v>41579</v>
      </c>
      <c r="M18" s="34">
        <f t="shared" si="2"/>
        <v>41609</v>
      </c>
      <c r="N18" s="34">
        <f t="shared" ref="N18" si="3">EDATE(M18,1)</f>
        <v>41640</v>
      </c>
      <c r="O18" s="34">
        <f t="shared" ref="O18" si="4">EDATE(N18,1)</f>
        <v>41671</v>
      </c>
      <c r="P18" s="34">
        <f t="shared" ref="P18" si="5">EDATE(O18,1)</f>
        <v>41699</v>
      </c>
      <c r="Q18" s="34">
        <f t="shared" ref="Q18" si="6">EDATE(P18,1)</f>
        <v>41730</v>
      </c>
      <c r="R18" s="34">
        <f t="shared" ref="R18" si="7">EDATE(Q18,1)</f>
        <v>41760</v>
      </c>
      <c r="S18" s="34">
        <f t="shared" ref="S18" si="8">EDATE(R18,1)</f>
        <v>41791</v>
      </c>
      <c r="T18" s="34">
        <f t="shared" ref="T18" si="9">EDATE(S18,1)</f>
        <v>41821</v>
      </c>
      <c r="U18" s="34">
        <f t="shared" ref="U18" si="10">EDATE(T18,1)</f>
        <v>41852</v>
      </c>
      <c r="V18" s="34">
        <f t="shared" ref="V18" si="11">EDATE(U18,1)</f>
        <v>41883</v>
      </c>
      <c r="W18" s="34">
        <f t="shared" ref="W18" si="12">EDATE(V18,1)</f>
        <v>41913</v>
      </c>
      <c r="X18" s="23">
        <f>EDATE(W18,1)</f>
        <v>41944</v>
      </c>
      <c r="Y18" s="34">
        <f t="shared" ref="Y18" si="13">EDATE(X18,1)</f>
        <v>41974</v>
      </c>
      <c r="Z18" s="24">
        <f>EDATE(Y18,1)</f>
        <v>42005</v>
      </c>
      <c r="AA18" s="1"/>
      <c r="AB18" s="1"/>
      <c r="AC18" s="1"/>
      <c r="AD18" s="1"/>
      <c r="AE18" s="1"/>
      <c r="AF18" s="1"/>
      <c r="AG18" s="1"/>
    </row>
    <row r="19" spans="1:33" x14ac:dyDescent="0.25">
      <c r="A19" s="101" t="s">
        <v>0</v>
      </c>
      <c r="B19" s="136">
        <v>640336.91</v>
      </c>
      <c r="C19" s="28">
        <v>605792.67000000004</v>
      </c>
      <c r="D19" s="28">
        <v>725594.4</v>
      </c>
      <c r="E19" s="28">
        <v>1367115.04</v>
      </c>
      <c r="F19" s="28">
        <v>1340454.52</v>
      </c>
      <c r="G19" s="28">
        <v>1257873.68</v>
      </c>
      <c r="H19" s="28">
        <v>1886442.46</v>
      </c>
      <c r="I19" s="28">
        <v>1893239.29</v>
      </c>
      <c r="J19" s="84">
        <v>1662824.19</v>
      </c>
      <c r="K19" s="85">
        <v>1735871.67</v>
      </c>
      <c r="L19" s="85">
        <v>1631684.65</v>
      </c>
      <c r="M19" s="85">
        <v>2380008.86</v>
      </c>
      <c r="N19" s="85">
        <v>1580368.48</v>
      </c>
      <c r="O19" s="85">
        <v>948470.21</v>
      </c>
      <c r="P19" s="85">
        <v>1909458.73</v>
      </c>
      <c r="Q19" s="85">
        <v>1679720.34</v>
      </c>
      <c r="R19" s="85">
        <v>1653932.58</v>
      </c>
      <c r="S19" s="85">
        <v>1750116.82</v>
      </c>
      <c r="T19" s="85">
        <v>2305893.67</v>
      </c>
      <c r="U19" s="85">
        <v>1706083.4</v>
      </c>
      <c r="V19" s="85">
        <v>1874106.46</v>
      </c>
      <c r="W19" s="85">
        <v>1430822.27</v>
      </c>
      <c r="X19" s="86">
        <v>1769577</v>
      </c>
      <c r="Y19" s="148">
        <v>1893248</v>
      </c>
      <c r="Z19" s="87">
        <v>1881467</v>
      </c>
      <c r="AA19" s="101"/>
    </row>
    <row r="20" spans="1:33" x14ac:dyDescent="0.25">
      <c r="A20" s="101" t="s">
        <v>1</v>
      </c>
      <c r="B20" s="136">
        <v>454317.08</v>
      </c>
      <c r="C20" s="28">
        <v>441494.74</v>
      </c>
      <c r="D20" s="28">
        <v>363891.08</v>
      </c>
      <c r="E20" s="28">
        <v>478379.47</v>
      </c>
      <c r="F20" s="28">
        <v>1014139.54</v>
      </c>
      <c r="G20" s="28">
        <v>880519.27</v>
      </c>
      <c r="H20" s="28">
        <v>685802</v>
      </c>
      <c r="I20" s="28">
        <v>941967.8</v>
      </c>
      <c r="J20" s="84">
        <v>1061098.22</v>
      </c>
      <c r="K20" s="85">
        <v>1064918.6200000001</v>
      </c>
      <c r="L20" s="85">
        <v>1187326.81</v>
      </c>
      <c r="M20" s="85">
        <v>1557118.31</v>
      </c>
      <c r="N20" s="85">
        <v>1285282.6100000001</v>
      </c>
      <c r="O20" s="85">
        <v>704898.97</v>
      </c>
      <c r="P20" s="85">
        <v>1071660.74</v>
      </c>
      <c r="Q20" s="85">
        <v>1231470.79</v>
      </c>
      <c r="R20" s="85">
        <v>1340055.01</v>
      </c>
      <c r="S20" s="85">
        <v>1462923.21</v>
      </c>
      <c r="T20" s="85">
        <v>1457191.33</v>
      </c>
      <c r="U20" s="85">
        <v>962381.44</v>
      </c>
      <c r="V20" s="85">
        <v>1685137.8</v>
      </c>
      <c r="W20" s="85">
        <v>1704041.3</v>
      </c>
      <c r="X20" s="86">
        <v>1749696</v>
      </c>
      <c r="Y20" s="148">
        <v>1490802</v>
      </c>
      <c r="Z20" s="87">
        <v>1075352</v>
      </c>
      <c r="AA20" s="101"/>
    </row>
    <row r="21" spans="1:33" x14ac:dyDescent="0.25">
      <c r="A21" s="101" t="s">
        <v>2</v>
      </c>
      <c r="B21" s="136">
        <v>235758.09</v>
      </c>
      <c r="C21" s="28">
        <v>-28991</v>
      </c>
      <c r="D21" s="28">
        <v>286168.24</v>
      </c>
      <c r="E21" s="28">
        <v>211438.67</v>
      </c>
      <c r="F21" s="28">
        <v>450933.86</v>
      </c>
      <c r="G21" s="28">
        <v>315229.05</v>
      </c>
      <c r="H21" s="28">
        <v>458117.56</v>
      </c>
      <c r="I21" s="28">
        <v>544491.86</v>
      </c>
      <c r="J21" s="84">
        <v>328255.31</v>
      </c>
      <c r="K21" s="85">
        <v>363224.71</v>
      </c>
      <c r="L21" s="85">
        <v>87690.63</v>
      </c>
      <c r="M21" s="85">
        <v>566570.68000000005</v>
      </c>
      <c r="N21" s="85">
        <v>51784.59</v>
      </c>
      <c r="O21" s="85">
        <v>89170.16</v>
      </c>
      <c r="P21" s="85">
        <v>324702.73</v>
      </c>
      <c r="Q21" s="85">
        <v>300887.17</v>
      </c>
      <c r="R21" s="85">
        <v>745939.39</v>
      </c>
      <c r="S21" s="85">
        <v>349645.84</v>
      </c>
      <c r="T21" s="85">
        <v>239961.74</v>
      </c>
      <c r="U21" s="85">
        <v>293319.15000000002</v>
      </c>
      <c r="V21" s="85">
        <v>274898.46999999997</v>
      </c>
      <c r="W21" s="85">
        <v>199271.42</v>
      </c>
      <c r="X21" s="86">
        <v>262008</v>
      </c>
      <c r="Y21" s="148">
        <v>250699</v>
      </c>
      <c r="Z21" s="87">
        <v>212018</v>
      </c>
      <c r="AA21" s="101"/>
    </row>
    <row r="22" spans="1:33" x14ac:dyDescent="0.25">
      <c r="A22" s="101" t="s">
        <v>3</v>
      </c>
      <c r="B22" s="136">
        <v>865428.28</v>
      </c>
      <c r="C22" s="28">
        <v>171869.96</v>
      </c>
      <c r="D22" s="28">
        <v>354913.49</v>
      </c>
      <c r="E22" s="28">
        <v>386342.84</v>
      </c>
      <c r="F22" s="28">
        <v>380502.59</v>
      </c>
      <c r="G22" s="28">
        <v>-16107.38</v>
      </c>
      <c r="H22" s="28">
        <v>105209.38</v>
      </c>
      <c r="I22" s="28">
        <v>27748.39</v>
      </c>
      <c r="J22" s="84">
        <v>414401.51</v>
      </c>
      <c r="K22" s="85">
        <v>127275.37</v>
      </c>
      <c r="L22" s="85">
        <v>85742.61</v>
      </c>
      <c r="M22" s="85">
        <v>451975.95</v>
      </c>
      <c r="N22" s="85">
        <v>62184.959999999999</v>
      </c>
      <c r="O22" s="85">
        <v>143949.34</v>
      </c>
      <c r="P22" s="85">
        <v>508860.08</v>
      </c>
      <c r="Q22" s="85">
        <v>268166.68</v>
      </c>
      <c r="R22" s="85">
        <v>251429.09</v>
      </c>
      <c r="S22" s="85">
        <v>666062.1</v>
      </c>
      <c r="T22" s="85">
        <v>138502.54999999999</v>
      </c>
      <c r="U22" s="85">
        <v>93177.83</v>
      </c>
      <c r="V22" s="85">
        <v>216933.59</v>
      </c>
      <c r="W22" s="85">
        <v>149469.74</v>
      </c>
      <c r="X22" s="86">
        <v>160050</v>
      </c>
      <c r="Y22" s="148">
        <v>1036911</v>
      </c>
      <c r="Z22" s="87">
        <v>164734</v>
      </c>
      <c r="AA22" s="101"/>
    </row>
    <row r="23" spans="1:33" x14ac:dyDescent="0.25">
      <c r="B23" s="82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91"/>
      <c r="O23" s="29"/>
      <c r="P23" s="29"/>
      <c r="Q23" s="29"/>
      <c r="R23" s="29"/>
      <c r="S23" s="29"/>
      <c r="T23" s="29"/>
      <c r="U23" s="29"/>
      <c r="V23" s="29"/>
      <c r="W23" s="29"/>
      <c r="X23" s="20"/>
      <c r="Y23" s="29"/>
      <c r="Z23" s="21"/>
    </row>
    <row r="24" spans="1:33" x14ac:dyDescent="0.25">
      <c r="A24" t="s">
        <v>55</v>
      </c>
      <c r="B24" s="82"/>
      <c r="C24" s="29"/>
      <c r="D24" s="30"/>
      <c r="E24" s="29"/>
      <c r="F24" s="29"/>
      <c r="G24" s="29"/>
      <c r="H24" s="29"/>
      <c r="I24" s="29"/>
      <c r="J24" s="29"/>
      <c r="K24" s="29"/>
      <c r="L24" s="117"/>
      <c r="M24" s="117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0"/>
      <c r="Y24" s="29"/>
      <c r="Z24" s="21"/>
    </row>
    <row r="25" spans="1:33" x14ac:dyDescent="0.25">
      <c r="A25" t="s">
        <v>0</v>
      </c>
      <c r="B25" s="95">
        <f>B19+((B32/SUM(B$32:B$36))*B$21)+((B32/SUM(B$32:B$36))*B$22)</f>
        <v>1182830.8068197027</v>
      </c>
      <c r="C25" s="96">
        <f t="shared" ref="C25:J25" si="14">C19+((C32/SUM(C$32:C$36))*C$21)+((C32/SUM(C$32:C$36))*C$22)</f>
        <v>673451.15918707824</v>
      </c>
      <c r="D25" s="96">
        <f t="shared" si="14"/>
        <v>1031884.8972029432</v>
      </c>
      <c r="E25" s="96">
        <f t="shared" si="14"/>
        <v>1626816.2657540797</v>
      </c>
      <c r="F25" s="96">
        <f t="shared" si="14"/>
        <v>1657638.9306104169</v>
      </c>
      <c r="G25" s="96">
        <f t="shared" si="14"/>
        <v>1376174.2199289829</v>
      </c>
      <c r="H25" s="96">
        <f t="shared" si="14"/>
        <v>2138702.9711479857</v>
      </c>
      <c r="I25" s="96">
        <f t="shared" si="14"/>
        <v>2138822.2701681196</v>
      </c>
      <c r="J25" s="96">
        <f t="shared" si="14"/>
        <v>1989535.2165768305</v>
      </c>
      <c r="K25" s="96">
        <f t="shared" ref="K25:Y25" si="15">K19+((K32/SUM(K$32:K$36))*K$21)+((K32/SUM(K$32:K$36))*K$22)</f>
        <v>1921928.5570319619</v>
      </c>
      <c r="L25" s="96">
        <f t="shared" si="15"/>
        <v>1699134.7375723612</v>
      </c>
      <c r="M25" s="96">
        <f t="shared" si="15"/>
        <v>2858289.694727309</v>
      </c>
      <c r="N25" s="96">
        <f t="shared" si="15"/>
        <v>1638791.7944975337</v>
      </c>
      <c r="O25" s="96">
        <f t="shared" si="15"/>
        <v>1068297.1374583873</v>
      </c>
      <c r="P25" s="96">
        <f t="shared" si="15"/>
        <v>2314647.3920329078</v>
      </c>
      <c r="Q25" s="96">
        <f t="shared" si="15"/>
        <v>1920182.7605450749</v>
      </c>
      <c r="R25" s="96">
        <f t="shared" si="15"/>
        <v>2038309.4572863849</v>
      </c>
      <c r="S25" s="96">
        <f t="shared" si="15"/>
        <v>2179449.8747106222</v>
      </c>
      <c r="T25" s="96">
        <f t="shared" si="15"/>
        <v>2477266.4369231663</v>
      </c>
      <c r="U25" s="96">
        <f t="shared" si="15"/>
        <v>1876057.8884449312</v>
      </c>
      <c r="V25" s="96">
        <f t="shared" si="15"/>
        <v>2092575.7097152637</v>
      </c>
      <c r="W25" s="149">
        <f>W19+((W32/SUM(W$32:W$36))*W$21)+((W32/SUM(W$32:W$36))*W$22)</f>
        <v>1560138.8602302722</v>
      </c>
      <c r="X25" s="95">
        <f t="shared" si="15"/>
        <v>1933990.0904666153</v>
      </c>
      <c r="Y25" s="149">
        <f t="shared" si="15"/>
        <v>2486142.8058243948</v>
      </c>
      <c r="Z25" s="114">
        <f t="shared" ref="Z25" si="16">Z19+((Z32/SUM(Z$32:Z$36))*Z$21)+((Z32/SUM(Z$32:Z$36))*Z$22)</f>
        <v>2076099.7428282013</v>
      </c>
    </row>
    <row r="26" spans="1:33" x14ac:dyDescent="0.25">
      <c r="A26" t="s">
        <v>4</v>
      </c>
      <c r="B26" s="95">
        <f>((B33/SUM(B$33:B$36))*B$20)+((B33/SUM(B$32:B$36))*B$21)+((B33/SUM(B$32:B$36))*B$22)</f>
        <v>218701.22353031725</v>
      </c>
      <c r="C26" s="96">
        <f t="shared" ref="C26:J29" si="17">((C33/SUM(C$33:C$36))*C$20)+((C33/SUM(C$32:C$36))*C$21)+((C33/SUM(C$32:C$36))*C$22)</f>
        <v>109353.55843061513</v>
      </c>
      <c r="D26" s="96">
        <f t="shared" si="17"/>
        <v>150660.46067254461</v>
      </c>
      <c r="E26" s="96">
        <f t="shared" si="17"/>
        <v>165743.61325093571</v>
      </c>
      <c r="F26" s="96">
        <f t="shared" si="17"/>
        <v>282238.15926398174</v>
      </c>
      <c r="G26" s="96">
        <f t="shared" si="17"/>
        <v>200725.46765268498</v>
      </c>
      <c r="H26" s="96">
        <f t="shared" si="17"/>
        <v>202221.06054023554</v>
      </c>
      <c r="I26" s="96">
        <f t="shared" si="17"/>
        <v>247783.0951496099</v>
      </c>
      <c r="J26" s="96">
        <f t="shared" si="17"/>
        <v>290557.2399642347</v>
      </c>
      <c r="K26" s="96">
        <f t="shared" ref="K26:Y26" si="18">((K33/SUM(K$33:K$36))*K$20)+((K33/SUM(K$32:K$36))*K$21)+((K33/SUM(K$32:K$36))*K$22)</f>
        <v>254816.81965584939</v>
      </c>
      <c r="L26" s="96">
        <f t="shared" si="18"/>
        <v>241890.41455800884</v>
      </c>
      <c r="M26" s="96">
        <f t="shared" si="18"/>
        <v>439538.22192422178</v>
      </c>
      <c r="N26" s="96">
        <f t="shared" si="18"/>
        <v>303499.14185924432</v>
      </c>
      <c r="O26" s="96">
        <f t="shared" si="18"/>
        <v>190370.21693946052</v>
      </c>
      <c r="P26" s="96">
        <f t="shared" si="18"/>
        <v>334294.35269502847</v>
      </c>
      <c r="Q26" s="96">
        <f t="shared" si="18"/>
        <v>317142.33751496958</v>
      </c>
      <c r="R26" s="96">
        <f t="shared" si="18"/>
        <v>379541.28378360759</v>
      </c>
      <c r="S26" s="96">
        <f t="shared" si="18"/>
        <v>407870.425084271</v>
      </c>
      <c r="T26" s="96">
        <f t="shared" si="18"/>
        <v>344585.95632689714</v>
      </c>
      <c r="U26" s="96">
        <f t="shared" si="18"/>
        <v>237847.34431834004</v>
      </c>
      <c r="V26" s="96">
        <f t="shared" si="18"/>
        <v>396665.12996191182</v>
      </c>
      <c r="W26" s="149">
        <f t="shared" si="18"/>
        <v>359389.15746117232</v>
      </c>
      <c r="X26" s="95">
        <f t="shared" si="18"/>
        <v>391023.20467836387</v>
      </c>
      <c r="Y26" s="149">
        <f t="shared" si="18"/>
        <v>468875.63818100467</v>
      </c>
      <c r="Z26" s="114">
        <f t="shared" ref="Z26" si="19">((Z33/SUM(Z$33:Z$36))*Z$20)+((Z33/SUM(Z$32:Z$36))*Z$21)+((Z33/SUM(Z$32:Z$36))*Z$22)</f>
        <v>289609.75492645148</v>
      </c>
    </row>
    <row r="27" spans="1:33" x14ac:dyDescent="0.25">
      <c r="A27" t="s">
        <v>5</v>
      </c>
      <c r="B27" s="95">
        <f>((B34/SUM(B$33:B$36))*B$20)+((B34/SUM(B$32:B$36))*B$21)+((B34/SUM(B$32:B$36))*B$22)</f>
        <v>460498.46546721482</v>
      </c>
      <c r="C27" s="96">
        <f t="shared" si="17"/>
        <v>233124.21686089033</v>
      </c>
      <c r="D27" s="96">
        <f t="shared" si="17"/>
        <v>321203.26765085687</v>
      </c>
      <c r="E27" s="96">
        <f t="shared" si="17"/>
        <v>376099.84502405778</v>
      </c>
      <c r="F27" s="96">
        <f t="shared" si="17"/>
        <v>691298.86499693571</v>
      </c>
      <c r="G27" s="96">
        <f t="shared" si="17"/>
        <v>488319.42696941958</v>
      </c>
      <c r="H27" s="96">
        <f t="shared" si="17"/>
        <v>457276.58481639356</v>
      </c>
      <c r="I27" s="96">
        <f t="shared" si="17"/>
        <v>575866.04963054252</v>
      </c>
      <c r="J27" s="96">
        <f t="shared" si="17"/>
        <v>679940.19228483376</v>
      </c>
      <c r="K27" s="96">
        <f t="shared" ref="K27:Y27" si="20">((K34/SUM(K$33:K$36))*K$20)+((K34/SUM(K$32:K$36))*K$21)+((K34/SUM(K$32:K$36))*K$22)</f>
        <v>622142.75104189571</v>
      </c>
      <c r="L27" s="96">
        <f t="shared" si="20"/>
        <v>585411.69172217778</v>
      </c>
      <c r="M27" s="96">
        <f t="shared" si="20"/>
        <v>954702.03809950047</v>
      </c>
      <c r="N27" s="96">
        <f t="shared" si="20"/>
        <v>616958.4561296975</v>
      </c>
      <c r="O27" s="96">
        <f t="shared" si="20"/>
        <v>381952.40385901119</v>
      </c>
      <c r="P27" s="96">
        <f t="shared" si="20"/>
        <v>704641.13874529453</v>
      </c>
      <c r="Q27" s="96">
        <f t="shared" si="20"/>
        <v>732396.30283903889</v>
      </c>
      <c r="R27" s="96">
        <f t="shared" si="20"/>
        <v>942035.14878152695</v>
      </c>
      <c r="S27" s="96">
        <f t="shared" si="20"/>
        <v>991529.40961601795</v>
      </c>
      <c r="T27" s="96">
        <f t="shared" si="20"/>
        <v>798082.41324313241</v>
      </c>
      <c r="U27" s="96">
        <f t="shared" si="20"/>
        <v>559363.11049524497</v>
      </c>
      <c r="V27" s="96">
        <f t="shared" si="20"/>
        <v>949457.10874680302</v>
      </c>
      <c r="W27" s="149">
        <f t="shared" si="20"/>
        <v>913153.23476326489</v>
      </c>
      <c r="X27" s="95">
        <f t="shared" si="20"/>
        <v>940756.39170616854</v>
      </c>
      <c r="Y27" s="149">
        <f t="shared" si="20"/>
        <v>1030370.6418566538</v>
      </c>
      <c r="Z27" s="114">
        <f t="shared" ref="Z27" si="21">((Z34/SUM(Z$33:Z$36))*Z$20)+((Z34/SUM(Z$32:Z$36))*Z$21)+((Z34/SUM(Z$32:Z$36))*Z$22)</f>
        <v>597564.47027489415</v>
      </c>
    </row>
    <row r="28" spans="1:33" x14ac:dyDescent="0.25">
      <c r="A28" t="s">
        <v>6</v>
      </c>
      <c r="B28" s="95">
        <f>((B35/SUM(B$33:B$36))*B$20)+((B35/SUM(B$32:B$36))*B$21)+((B35/SUM(B$32:B$36))*B$22)</f>
        <v>184598.19260187683</v>
      </c>
      <c r="C28" s="96">
        <f t="shared" si="17"/>
        <v>99287.232963136747</v>
      </c>
      <c r="D28" s="96">
        <f t="shared" si="17"/>
        <v>136844.13695851929</v>
      </c>
      <c r="E28" s="96">
        <f t="shared" si="17"/>
        <v>156595.44920564248</v>
      </c>
      <c r="F28" s="96">
        <f t="shared" si="17"/>
        <v>303223.12063806644</v>
      </c>
      <c r="G28" s="96">
        <f t="shared" si="17"/>
        <v>207938.15865219798</v>
      </c>
      <c r="H28" s="96">
        <f t="shared" si="17"/>
        <v>190989.65106572097</v>
      </c>
      <c r="I28" s="96">
        <f t="shared" si="17"/>
        <v>241742.8387510782</v>
      </c>
      <c r="J28" s="96">
        <f t="shared" si="17"/>
        <v>287297.98213486333</v>
      </c>
      <c r="K28" s="96">
        <f t="shared" ref="K28:Y28" si="22">((K35/SUM(K$33:K$36))*K$20)+((K35/SUM(K$32:K$36))*K$21)+((K35/SUM(K$32:K$36))*K$22)</f>
        <v>271710.80107959319</v>
      </c>
      <c r="L28" s="96">
        <f t="shared" si="22"/>
        <v>254908.72145887165</v>
      </c>
      <c r="M28" s="96">
        <f t="shared" si="22"/>
        <v>397308.52165398211</v>
      </c>
      <c r="N28" s="96">
        <f t="shared" si="22"/>
        <v>240914.93188050282</v>
      </c>
      <c r="O28" s="96">
        <f t="shared" si="22"/>
        <v>157837.41407360605</v>
      </c>
      <c r="P28" s="96">
        <f t="shared" si="22"/>
        <v>303146.57682593592</v>
      </c>
      <c r="Q28" s="96">
        <f t="shared" si="22"/>
        <v>331197.34549752902</v>
      </c>
      <c r="R28" s="96">
        <f t="shared" si="22"/>
        <v>407093.55714498728</v>
      </c>
      <c r="S28" s="96">
        <f t="shared" si="22"/>
        <v>420660.45975022117</v>
      </c>
      <c r="T28" s="96">
        <f t="shared" si="22"/>
        <v>333923.50975154073</v>
      </c>
      <c r="U28" s="96">
        <f t="shared" si="22"/>
        <v>246760.32768483044</v>
      </c>
      <c r="V28" s="96">
        <f t="shared" si="22"/>
        <v>388144.44771520904</v>
      </c>
      <c r="W28" s="149">
        <f t="shared" si="22"/>
        <v>413988.90348792262</v>
      </c>
      <c r="X28" s="95">
        <f t="shared" si="22"/>
        <v>415178.04679523315</v>
      </c>
      <c r="Y28" s="149">
        <f t="shared" si="22"/>
        <v>432893.08460915537</v>
      </c>
      <c r="Z28" s="114">
        <f t="shared" ref="Z28" si="23">((Z35/SUM(Z$33:Z$36))*Z$20)+((Z35/SUM(Z$32:Z$36))*Z$21)+((Z35/SUM(Z$32:Z$36))*Z$22)</f>
        <v>239490.40690713053</v>
      </c>
    </row>
    <row r="29" spans="1:33" x14ac:dyDescent="0.25">
      <c r="A29" t="s">
        <v>7</v>
      </c>
      <c r="B29" s="95">
        <f>((B36/SUM(B$33:B$36))*B$20)+((B36/SUM(B$32:B$36))*B$21)+((B36/SUM(B$32:B$36))*B$22)</f>
        <v>149211.67158088839</v>
      </c>
      <c r="C29" s="96">
        <f t="shared" si="17"/>
        <v>74950.202558279649</v>
      </c>
      <c r="D29" s="96">
        <f t="shared" si="17"/>
        <v>89974.447515136053</v>
      </c>
      <c r="E29" s="96">
        <f t="shared" si="17"/>
        <v>118020.84676528435</v>
      </c>
      <c r="F29" s="96">
        <f t="shared" si="17"/>
        <v>251631.43449059944</v>
      </c>
      <c r="G29" s="96">
        <f t="shared" si="17"/>
        <v>164357.34679671444</v>
      </c>
      <c r="H29" s="96">
        <f t="shared" si="17"/>
        <v>146381.13242966429</v>
      </c>
      <c r="I29" s="96">
        <f t="shared" si="17"/>
        <v>203233.08630065012</v>
      </c>
      <c r="J29" s="96">
        <f t="shared" si="17"/>
        <v>219248.59903923754</v>
      </c>
      <c r="K29" s="96">
        <f t="shared" ref="K29:Y29" si="24">((K36/SUM(K$33:K$36))*K$20)+((K36/SUM(K$32:K$36))*K$21)+((K36/SUM(K$32:K$36))*K$22)</f>
        <v>220691.44119069993</v>
      </c>
      <c r="L29" s="96">
        <f t="shared" si="24"/>
        <v>211099.13468858023</v>
      </c>
      <c r="M29" s="96">
        <f t="shared" si="24"/>
        <v>305835.32359498658</v>
      </c>
      <c r="N29" s="96">
        <f t="shared" si="24"/>
        <v>179456.31563302164</v>
      </c>
      <c r="O29" s="96">
        <f t="shared" si="24"/>
        <v>88031.507669534825</v>
      </c>
      <c r="P29" s="96">
        <f t="shared" si="24"/>
        <v>157952.81970083324</v>
      </c>
      <c r="Q29" s="96">
        <f t="shared" si="24"/>
        <v>179326.23360338763</v>
      </c>
      <c r="R29" s="96">
        <f t="shared" si="24"/>
        <v>224376.62300349338</v>
      </c>
      <c r="S29" s="96">
        <f t="shared" si="24"/>
        <v>229237.80083886764</v>
      </c>
      <c r="T29" s="96">
        <f t="shared" si="24"/>
        <v>187690.97375526332</v>
      </c>
      <c r="U29" s="96">
        <f t="shared" si="24"/>
        <v>134933.1490566532</v>
      </c>
      <c r="V29" s="96">
        <f t="shared" si="24"/>
        <v>224233.92386081262</v>
      </c>
      <c r="W29" s="149">
        <f t="shared" si="24"/>
        <v>236934.57405736789</v>
      </c>
      <c r="X29" s="95">
        <f t="shared" si="24"/>
        <v>260383.26635361934</v>
      </c>
      <c r="Y29" s="149">
        <f t="shared" si="24"/>
        <v>253377.82952879125</v>
      </c>
      <c r="Z29" s="114">
        <f t="shared" ref="Z29" si="25">((Z36/SUM(Z$33:Z$36))*Z$20)+((Z36/SUM(Z$32:Z$36))*Z$21)+((Z36/SUM(Z$32:Z$36))*Z$22)</f>
        <v>130806.62506332238</v>
      </c>
    </row>
    <row r="30" spans="1:33" x14ac:dyDescent="0.25">
      <c r="B30" s="82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0"/>
      <c r="Y30" s="29"/>
      <c r="Z30" s="21"/>
    </row>
    <row r="31" spans="1:33" x14ac:dyDescent="0.25">
      <c r="A31" t="s">
        <v>66</v>
      </c>
      <c r="B31" s="82"/>
      <c r="C31" s="29"/>
      <c r="D31" s="30" t="s">
        <v>17</v>
      </c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0"/>
      <c r="Y31" s="29"/>
      <c r="Z31" s="21"/>
    </row>
    <row r="32" spans="1:33" x14ac:dyDescent="0.25">
      <c r="A32" s="101" t="s">
        <v>0</v>
      </c>
      <c r="B32" s="206">
        <v>1465786917</v>
      </c>
      <c r="C32" s="126">
        <v>1258624559</v>
      </c>
      <c r="D32" s="126">
        <v>1240891627</v>
      </c>
      <c r="E32" s="126">
        <v>1035032782</v>
      </c>
      <c r="F32" s="126">
        <v>807815978</v>
      </c>
      <c r="G32" s="126">
        <v>944347001</v>
      </c>
      <c r="H32" s="126">
        <v>1271891590</v>
      </c>
      <c r="I32" s="126">
        <v>1167342435</v>
      </c>
      <c r="J32" s="126">
        <v>1279101600</v>
      </c>
      <c r="K32" s="128">
        <v>889369457</v>
      </c>
      <c r="L32" s="76">
        <v>847264579</v>
      </c>
      <c r="M32" s="76">
        <v>1279609957</v>
      </c>
      <c r="N32" s="76">
        <v>1638413028</v>
      </c>
      <c r="O32" s="76">
        <v>1541079708</v>
      </c>
      <c r="P32" s="76">
        <v>1287246250</v>
      </c>
      <c r="Q32" s="76">
        <v>925234299</v>
      </c>
      <c r="R32" s="76">
        <v>790501119</v>
      </c>
      <c r="S32" s="76">
        <v>1029996190</v>
      </c>
      <c r="T32" s="76">
        <v>1248568727</v>
      </c>
      <c r="U32" s="76">
        <v>1150716602</v>
      </c>
      <c r="V32" s="76">
        <v>1229322682</v>
      </c>
      <c r="W32" s="76">
        <v>785457896</v>
      </c>
      <c r="X32" s="77">
        <v>818050066.88097858</v>
      </c>
      <c r="Y32" s="150">
        <v>1177746656.588573</v>
      </c>
      <c r="Z32" s="78">
        <v>1628953141.9142625</v>
      </c>
      <c r="AA32" s="161"/>
      <c r="AB32" s="113"/>
      <c r="AD32" s="113"/>
    </row>
    <row r="33" spans="1:30" x14ac:dyDescent="0.25">
      <c r="A33" s="101" t="s">
        <v>4</v>
      </c>
      <c r="B33" s="206">
        <v>325901588</v>
      </c>
      <c r="C33" s="126">
        <v>296136287</v>
      </c>
      <c r="D33" s="126">
        <v>292478502</v>
      </c>
      <c r="E33" s="126">
        <v>273528114</v>
      </c>
      <c r="F33" s="126">
        <v>241856477</v>
      </c>
      <c r="G33" s="126">
        <v>272986921</v>
      </c>
      <c r="H33" s="126">
        <v>318157752</v>
      </c>
      <c r="I33" s="126">
        <v>303270886</v>
      </c>
      <c r="J33" s="126">
        <v>320343747</v>
      </c>
      <c r="K33" s="128">
        <v>270802461</v>
      </c>
      <c r="L33" s="76">
        <v>248994298</v>
      </c>
      <c r="M33" s="76">
        <v>302915000</v>
      </c>
      <c r="N33" s="76">
        <v>352594842</v>
      </c>
      <c r="O33" s="76">
        <v>339012831</v>
      </c>
      <c r="P33" s="76">
        <v>303288040</v>
      </c>
      <c r="Q33" s="76">
        <v>257023625</v>
      </c>
      <c r="R33" s="76">
        <v>244988768</v>
      </c>
      <c r="S33" s="76">
        <v>279984334</v>
      </c>
      <c r="T33" s="76">
        <v>312394516</v>
      </c>
      <c r="U33" s="76">
        <v>295738280</v>
      </c>
      <c r="V33" s="76">
        <v>311541080</v>
      </c>
      <c r="W33" s="76">
        <v>249020102</v>
      </c>
      <c r="X33" s="77">
        <v>249716047.89183649</v>
      </c>
      <c r="Y33" s="150">
        <v>296063229.76127094</v>
      </c>
      <c r="Z33" s="78">
        <v>351045716.60852921</v>
      </c>
      <c r="AA33" s="161"/>
      <c r="AB33" s="113"/>
      <c r="AD33" s="113"/>
    </row>
    <row r="34" spans="1:30" x14ac:dyDescent="0.25">
      <c r="A34" s="101" t="s">
        <v>5</v>
      </c>
      <c r="B34" s="206">
        <v>686220126</v>
      </c>
      <c r="C34" s="126">
        <v>631314984</v>
      </c>
      <c r="D34" s="126">
        <v>623554781</v>
      </c>
      <c r="E34" s="126">
        <v>620680817</v>
      </c>
      <c r="F34" s="126">
        <v>592390159</v>
      </c>
      <c r="G34" s="126">
        <v>664115114</v>
      </c>
      <c r="H34" s="126">
        <v>719440843</v>
      </c>
      <c r="I34" s="126">
        <v>704823737</v>
      </c>
      <c r="J34" s="126">
        <v>749644335</v>
      </c>
      <c r="K34" s="128">
        <v>661172164</v>
      </c>
      <c r="L34" s="76">
        <v>602604173</v>
      </c>
      <c r="M34" s="76">
        <v>657948623</v>
      </c>
      <c r="N34" s="76">
        <v>716761069</v>
      </c>
      <c r="O34" s="76">
        <v>680183948</v>
      </c>
      <c r="P34" s="76">
        <v>639284595</v>
      </c>
      <c r="Q34" s="76">
        <v>593560463</v>
      </c>
      <c r="R34" s="76">
        <v>608070954</v>
      </c>
      <c r="S34" s="76">
        <v>680639449</v>
      </c>
      <c r="T34" s="76">
        <v>723525044</v>
      </c>
      <c r="U34" s="76">
        <v>695509486</v>
      </c>
      <c r="V34" s="76">
        <v>745704300</v>
      </c>
      <c r="W34" s="76">
        <v>632722237</v>
      </c>
      <c r="X34" s="77">
        <v>600787793.03924918</v>
      </c>
      <c r="Y34" s="150">
        <v>650609319.90992332</v>
      </c>
      <c r="Z34" s="78">
        <v>724327976.24762189</v>
      </c>
      <c r="AA34" s="161"/>
      <c r="AB34" s="113"/>
      <c r="AD34" s="113"/>
    </row>
    <row r="35" spans="1:30" x14ac:dyDescent="0.25">
      <c r="A35" s="101" t="s">
        <v>6</v>
      </c>
      <c r="B35" s="206">
        <v>275082339</v>
      </c>
      <c r="C35" s="126">
        <v>268876047</v>
      </c>
      <c r="D35" s="126">
        <v>265656749</v>
      </c>
      <c r="E35" s="126">
        <v>258430820</v>
      </c>
      <c r="F35" s="126">
        <v>259838981</v>
      </c>
      <c r="G35" s="126">
        <v>282796191</v>
      </c>
      <c r="H35" s="126">
        <v>300487189</v>
      </c>
      <c r="I35" s="126">
        <v>295877993</v>
      </c>
      <c r="J35" s="126">
        <v>316750366</v>
      </c>
      <c r="K35" s="128">
        <v>288756267</v>
      </c>
      <c r="L35" s="76">
        <v>262394929</v>
      </c>
      <c r="M35" s="76">
        <v>273811707</v>
      </c>
      <c r="N35" s="76">
        <v>279886664</v>
      </c>
      <c r="O35" s="76">
        <v>281078151</v>
      </c>
      <c r="P35" s="76">
        <v>275029268</v>
      </c>
      <c r="Q35" s="76">
        <v>268414312</v>
      </c>
      <c r="R35" s="76">
        <v>262773388</v>
      </c>
      <c r="S35" s="76">
        <v>288764106</v>
      </c>
      <c r="T35" s="76">
        <v>302728162</v>
      </c>
      <c r="U35" s="76">
        <v>306820642</v>
      </c>
      <c r="V35" s="76">
        <v>304848930</v>
      </c>
      <c r="W35" s="76">
        <v>286852168</v>
      </c>
      <c r="X35" s="77">
        <v>265141863.13427815</v>
      </c>
      <c r="Y35" s="150">
        <v>273342682.65230143</v>
      </c>
      <c r="Z35" s="78">
        <v>290294370.55714023</v>
      </c>
      <c r="AA35" s="161"/>
      <c r="AB35" s="113"/>
      <c r="AD35" s="113"/>
    </row>
    <row r="36" spans="1:30" x14ac:dyDescent="0.25">
      <c r="A36" s="101" t="s">
        <v>7</v>
      </c>
      <c r="B36" s="206">
        <v>222350474</v>
      </c>
      <c r="C36" s="126">
        <v>202969844</v>
      </c>
      <c r="D36" s="126">
        <v>174668201</v>
      </c>
      <c r="E36" s="126">
        <v>194770821</v>
      </c>
      <c r="F36" s="126">
        <v>215628859</v>
      </c>
      <c r="G36" s="126">
        <v>223526225</v>
      </c>
      <c r="H36" s="126">
        <v>230303866</v>
      </c>
      <c r="I36" s="126">
        <v>248744484</v>
      </c>
      <c r="J36" s="126">
        <v>241724893</v>
      </c>
      <c r="K36" s="128">
        <v>234536266</v>
      </c>
      <c r="L36" s="76">
        <v>217298734</v>
      </c>
      <c r="M36" s="76">
        <v>210771447</v>
      </c>
      <c r="N36" s="76">
        <v>208486162</v>
      </c>
      <c r="O36" s="76">
        <v>156767225</v>
      </c>
      <c r="P36" s="76">
        <v>143302454</v>
      </c>
      <c r="Q36" s="76">
        <v>145332468</v>
      </c>
      <c r="R36" s="76">
        <v>144832077</v>
      </c>
      <c r="S36" s="76">
        <v>157361233</v>
      </c>
      <c r="T36" s="76">
        <v>170156763</v>
      </c>
      <c r="U36" s="76">
        <v>167775249</v>
      </c>
      <c r="V36" s="76">
        <v>176113486</v>
      </c>
      <c r="W36" s="76">
        <v>164171541</v>
      </c>
      <c r="X36" s="77">
        <v>166286500.22056103</v>
      </c>
      <c r="Y36" s="150">
        <v>159990949.52174836</v>
      </c>
      <c r="Z36" s="78">
        <v>158555106.14329511</v>
      </c>
      <c r="AA36" s="161"/>
      <c r="AB36" s="113"/>
      <c r="AD36" s="113"/>
    </row>
    <row r="37" spans="1:30" x14ac:dyDescent="0.25">
      <c r="B37" s="82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0"/>
      <c r="Y37" s="29"/>
      <c r="Z37" s="21"/>
    </row>
    <row r="38" spans="1:30" x14ac:dyDescent="0.25">
      <c r="A38" t="s">
        <v>67</v>
      </c>
      <c r="B38" s="82"/>
      <c r="C38" s="29"/>
      <c r="D38" s="30" t="s">
        <v>16</v>
      </c>
      <c r="E38" s="29"/>
      <c r="F38" s="29"/>
      <c r="G38" s="29"/>
      <c r="H38" s="29"/>
      <c r="I38" s="29"/>
      <c r="J38" s="29"/>
      <c r="K38" s="29"/>
      <c r="L38" s="29"/>
      <c r="M38" s="29"/>
      <c r="N38" s="91"/>
      <c r="O38" s="29"/>
      <c r="P38" s="29"/>
      <c r="Q38" s="29"/>
      <c r="R38" s="29"/>
      <c r="S38" s="29"/>
      <c r="T38" s="29"/>
      <c r="U38" s="29"/>
      <c r="V38" s="29"/>
      <c r="W38" s="29"/>
      <c r="X38" s="20"/>
      <c r="Y38" s="29"/>
      <c r="Z38" s="21"/>
      <c r="AA38" s="3" t="s">
        <v>96</v>
      </c>
      <c r="AB38" s="101"/>
    </row>
    <row r="39" spans="1:30" x14ac:dyDescent="0.25">
      <c r="A39" s="101" t="str">
        <f>A32</f>
        <v>RES</v>
      </c>
      <c r="B39" s="136">
        <v>1107718.26</v>
      </c>
      <c r="C39" s="122">
        <v>2380405.9</v>
      </c>
      <c r="D39" s="122">
        <v>2356565.5</v>
      </c>
      <c r="E39" s="122">
        <v>1966252.23</v>
      </c>
      <c r="F39" s="122">
        <v>1534586.76</v>
      </c>
      <c r="G39" s="122">
        <v>1794220.79</v>
      </c>
      <c r="H39" s="122">
        <v>2416344.7400000002</v>
      </c>
      <c r="I39" s="122">
        <v>2217668.92</v>
      </c>
      <c r="J39" s="122">
        <v>2430216.25</v>
      </c>
      <c r="K39" s="123">
        <v>1689802.53</v>
      </c>
      <c r="L39" s="123">
        <v>1609769.97</v>
      </c>
      <c r="M39" s="123">
        <v>2431206.77</v>
      </c>
      <c r="N39" s="123">
        <v>3044849.46</v>
      </c>
      <c r="O39" s="123">
        <v>2230405.09</v>
      </c>
      <c r="P39" s="123">
        <v>1862851.87</v>
      </c>
      <c r="Q39" s="123">
        <v>1338973.0900000001</v>
      </c>
      <c r="R39" s="123">
        <v>1144195.04</v>
      </c>
      <c r="S39" s="123">
        <v>1490607.79</v>
      </c>
      <c r="T39" s="123">
        <v>1806740.8</v>
      </c>
      <c r="U39" s="123">
        <v>1665154.39</v>
      </c>
      <c r="V39" s="123">
        <v>1778880.4</v>
      </c>
      <c r="W39" s="123">
        <v>1136699.8999999999</v>
      </c>
      <c r="X39" s="95">
        <f t="shared" ref="X39:Y39" si="26">X32*$AA39</f>
        <v>1183718.4467767759</v>
      </c>
      <c r="Y39" s="149">
        <f t="shared" si="26"/>
        <v>1704199.4120836649</v>
      </c>
      <c r="Z39" s="114">
        <f>Z32*$AA39</f>
        <v>2357095.1963499379</v>
      </c>
      <c r="AA39" s="115">
        <v>1.4469999999999999E-3</v>
      </c>
      <c r="AB39" s="101"/>
    </row>
    <row r="40" spans="1:30" x14ac:dyDescent="0.25">
      <c r="A40" s="101" t="str">
        <f t="shared" ref="A40:A43" si="27">A33</f>
        <v>SGS</v>
      </c>
      <c r="B40" s="136">
        <v>176763.5</v>
      </c>
      <c r="C40" s="122">
        <v>413162.14</v>
      </c>
      <c r="D40" s="122">
        <v>409279.32</v>
      </c>
      <c r="E40" s="122">
        <v>383011.01</v>
      </c>
      <c r="F40" s="122">
        <v>338501.79</v>
      </c>
      <c r="G40" s="122">
        <v>382263.59</v>
      </c>
      <c r="H40" s="122">
        <v>445771.36</v>
      </c>
      <c r="I40" s="122">
        <v>424587.09</v>
      </c>
      <c r="J40" s="122">
        <v>448775.32</v>
      </c>
      <c r="K40" s="123">
        <v>378895.44</v>
      </c>
      <c r="L40" s="123">
        <v>348301.35</v>
      </c>
      <c r="M40" s="123">
        <v>423743.49</v>
      </c>
      <c r="N40" s="123">
        <v>479839.49</v>
      </c>
      <c r="O40" s="123">
        <v>311953.64</v>
      </c>
      <c r="P40" s="123">
        <v>279047.90999999997</v>
      </c>
      <c r="Q40" s="123">
        <v>236596.04</v>
      </c>
      <c r="R40" s="123">
        <v>225457.33</v>
      </c>
      <c r="S40" s="123">
        <v>257574.43</v>
      </c>
      <c r="T40" s="123">
        <v>287416.02</v>
      </c>
      <c r="U40" s="123">
        <v>272268.46999999997</v>
      </c>
      <c r="V40" s="123">
        <v>286665.2</v>
      </c>
      <c r="W40" s="123">
        <v>229160.71</v>
      </c>
      <c r="X40" s="95">
        <f t="shared" ref="X40:Z40" si="28">X33*$AA40</f>
        <v>229738.76406048957</v>
      </c>
      <c r="Y40" s="149">
        <f t="shared" si="28"/>
        <v>272378.17138036928</v>
      </c>
      <c r="Z40" s="114">
        <f t="shared" si="28"/>
        <v>322962.0592798469</v>
      </c>
      <c r="AA40" s="115">
        <v>9.2000000000000003E-4</v>
      </c>
      <c r="AB40" s="101"/>
    </row>
    <row r="41" spans="1:30" x14ac:dyDescent="0.25">
      <c r="A41" s="101" t="str">
        <f t="shared" si="27"/>
        <v>LGS</v>
      </c>
      <c r="B41" s="136">
        <v>346914.24</v>
      </c>
      <c r="C41" s="122">
        <v>878081.19</v>
      </c>
      <c r="D41" s="122">
        <v>872674.48</v>
      </c>
      <c r="E41" s="122">
        <v>867208.47</v>
      </c>
      <c r="F41" s="122">
        <v>829232.74</v>
      </c>
      <c r="G41" s="122">
        <v>930044.46</v>
      </c>
      <c r="H41" s="122">
        <v>1007202.71</v>
      </c>
      <c r="I41" s="122">
        <v>986634.58</v>
      </c>
      <c r="J41" s="122">
        <v>1049361.68</v>
      </c>
      <c r="K41" s="123">
        <v>925531.64</v>
      </c>
      <c r="L41" s="123">
        <v>840413.16</v>
      </c>
      <c r="M41" s="123">
        <v>921008.11</v>
      </c>
      <c r="N41" s="123">
        <v>980504.73</v>
      </c>
      <c r="O41" s="123">
        <v>638225.65</v>
      </c>
      <c r="P41" s="123">
        <v>596176.12</v>
      </c>
      <c r="Q41" s="123">
        <v>553536.92000000004</v>
      </c>
      <c r="R41" s="123">
        <v>567096.05000000005</v>
      </c>
      <c r="S41" s="123">
        <v>634633.59</v>
      </c>
      <c r="T41" s="123">
        <v>674676.81</v>
      </c>
      <c r="U41" s="123">
        <v>650087.44999999995</v>
      </c>
      <c r="V41" s="123">
        <v>695339.29</v>
      </c>
      <c r="W41" s="123">
        <v>589990.03</v>
      </c>
      <c r="X41" s="95">
        <f t="shared" ref="X41:Z41" si="29">X34*$AA41</f>
        <v>560535.01090561948</v>
      </c>
      <c r="Y41" s="149">
        <f t="shared" si="29"/>
        <v>607018.49547595845</v>
      </c>
      <c r="Z41" s="114">
        <f t="shared" si="29"/>
        <v>675798.00183903123</v>
      </c>
      <c r="AA41" s="115">
        <v>9.3300000000000002E-4</v>
      </c>
      <c r="AB41" s="101"/>
    </row>
    <row r="42" spans="1:30" x14ac:dyDescent="0.25">
      <c r="A42" s="101" t="str">
        <f t="shared" si="27"/>
        <v>SPS</v>
      </c>
      <c r="B42" s="136">
        <v>111929.55</v>
      </c>
      <c r="C42" s="122">
        <v>367450.68</v>
      </c>
      <c r="D42" s="122">
        <v>371919.28</v>
      </c>
      <c r="E42" s="122">
        <v>361803.21</v>
      </c>
      <c r="F42" s="122">
        <v>363774.61</v>
      </c>
      <c r="G42" s="122">
        <v>395914.62</v>
      </c>
      <c r="H42" s="122">
        <v>420682.15</v>
      </c>
      <c r="I42" s="122">
        <v>414229.21</v>
      </c>
      <c r="J42" s="122">
        <v>443450.42</v>
      </c>
      <c r="K42" s="123">
        <v>404258.7</v>
      </c>
      <c r="L42" s="123">
        <v>367352.94</v>
      </c>
      <c r="M42" s="123">
        <v>383336.4</v>
      </c>
      <c r="N42" s="123">
        <v>387055.86</v>
      </c>
      <c r="O42" s="123">
        <v>281373.17</v>
      </c>
      <c r="P42" s="123">
        <v>256969.51</v>
      </c>
      <c r="Q42" s="123">
        <v>251235.75</v>
      </c>
      <c r="R42" s="123">
        <v>245955.65</v>
      </c>
      <c r="S42" s="123">
        <v>270283.28000000003</v>
      </c>
      <c r="T42" s="123">
        <v>283353.57</v>
      </c>
      <c r="U42" s="123">
        <v>286970.59000000003</v>
      </c>
      <c r="V42" s="123">
        <v>285338.65000000002</v>
      </c>
      <c r="W42" s="123">
        <v>268493.68</v>
      </c>
      <c r="X42" s="95">
        <f t="shared" ref="X42:Z42" si="30">X35*$AA42</f>
        <v>248172.78389368433</v>
      </c>
      <c r="Y42" s="149">
        <f t="shared" si="30"/>
        <v>255848.75096255413</v>
      </c>
      <c r="Z42" s="114">
        <f t="shared" si="30"/>
        <v>271715.53084148327</v>
      </c>
      <c r="AA42" s="115">
        <v>9.3599999999999998E-4</v>
      </c>
      <c r="AB42" s="101"/>
    </row>
    <row r="43" spans="1:30" x14ac:dyDescent="0.25">
      <c r="A43" s="101" t="str">
        <f t="shared" si="27"/>
        <v>LPS</v>
      </c>
      <c r="B43" s="136">
        <v>41788.94</v>
      </c>
      <c r="C43" s="122">
        <v>285047.94</v>
      </c>
      <c r="D43" s="122">
        <v>253563.47</v>
      </c>
      <c r="E43" s="122">
        <v>281056.7</v>
      </c>
      <c r="F43" s="122">
        <v>312400.05</v>
      </c>
      <c r="G43" s="122">
        <v>321763.07</v>
      </c>
      <c r="H43" s="122">
        <v>331321.96999999997</v>
      </c>
      <c r="I43" s="122">
        <v>358377.12</v>
      </c>
      <c r="J43" s="122">
        <v>273390.28000000003</v>
      </c>
      <c r="K43" s="123">
        <v>328350.77</v>
      </c>
      <c r="L43" s="123">
        <v>304218.23</v>
      </c>
      <c r="M43" s="123">
        <v>298776.55</v>
      </c>
      <c r="N43" s="123">
        <v>283191.44</v>
      </c>
      <c r="O43" s="123">
        <v>156101.65</v>
      </c>
      <c r="P43" s="123">
        <v>115931.68</v>
      </c>
      <c r="Q43" s="123">
        <v>117573.95</v>
      </c>
      <c r="R43" s="123">
        <v>117169.12</v>
      </c>
      <c r="S43" s="123">
        <v>127305.31</v>
      </c>
      <c r="T43" s="123">
        <v>137656.84</v>
      </c>
      <c r="U43" s="123">
        <v>135730.12</v>
      </c>
      <c r="V43" s="123">
        <v>142475.79999999999</v>
      </c>
      <c r="W43" s="123">
        <v>132814.78</v>
      </c>
      <c r="X43" s="95">
        <f t="shared" ref="X43:Z43" si="31">X36*$AA43</f>
        <v>134525.77867843388</v>
      </c>
      <c r="Y43" s="149">
        <f t="shared" si="31"/>
        <v>129432.67816309443</v>
      </c>
      <c r="Z43" s="114">
        <f t="shared" si="31"/>
        <v>128271.08086992575</v>
      </c>
      <c r="AA43" s="115">
        <v>8.0900000000000004E-4</v>
      </c>
      <c r="AB43" s="101"/>
    </row>
    <row r="44" spans="1:30" x14ac:dyDescent="0.25">
      <c r="A44" s="101"/>
      <c r="B44" s="82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121"/>
      <c r="Y44" s="31"/>
      <c r="Z44" s="21"/>
    </row>
    <row r="45" spans="1:30" ht="15.75" thickBot="1" x14ac:dyDescent="0.3">
      <c r="A45" s="101" t="s">
        <v>68</v>
      </c>
      <c r="B45" s="138">
        <v>451.8</v>
      </c>
      <c r="C45" s="124">
        <v>-3539.64</v>
      </c>
      <c r="D45" s="124">
        <v>-2786.78</v>
      </c>
      <c r="E45" s="124">
        <v>-8344.27</v>
      </c>
      <c r="F45" s="124">
        <v>-4809.13</v>
      </c>
      <c r="G45" s="124">
        <v>14362.8</v>
      </c>
      <c r="H45" s="124">
        <v>-575.25</v>
      </c>
      <c r="I45" s="124">
        <v>-4466.7700000000004</v>
      </c>
      <c r="J45" s="124">
        <v>-4966.68</v>
      </c>
      <c r="K45" s="125">
        <v>-3641.2</v>
      </c>
      <c r="L45" s="65">
        <v>-3294</v>
      </c>
      <c r="M45" s="65">
        <v>-4489.34</v>
      </c>
      <c r="N45" s="65">
        <v>-6850.11</v>
      </c>
      <c r="O45" s="65">
        <v>-6269.88</v>
      </c>
      <c r="P45" s="65">
        <v>-4461.57</v>
      </c>
      <c r="Q45" s="65">
        <v>-3933.08</v>
      </c>
      <c r="R45" s="65">
        <v>-3219.69</v>
      </c>
      <c r="S45" s="65">
        <v>-2935.88</v>
      </c>
      <c r="T45" s="65">
        <v>-2619.09</v>
      </c>
      <c r="U45" s="65">
        <v>-2726.19</v>
      </c>
      <c r="V45" s="65">
        <v>-2121.98</v>
      </c>
      <c r="W45" s="140">
        <v>-1929.38</v>
      </c>
      <c r="X45" s="157">
        <v>-1570.27</v>
      </c>
      <c r="Y45" s="158">
        <v>-1184.27</v>
      </c>
      <c r="Z45" s="159">
        <v>-1280.3499999999999</v>
      </c>
      <c r="AA45" s="101"/>
    </row>
    <row r="46" spans="1:30" x14ac:dyDescent="0.25">
      <c r="B46" s="162"/>
      <c r="C46" s="176"/>
      <c r="D46" s="176"/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176"/>
      <c r="P46" s="176"/>
      <c r="Q46" s="176"/>
      <c r="R46" s="176"/>
      <c r="S46" s="176"/>
      <c r="T46" s="176"/>
      <c r="U46" s="176"/>
      <c r="V46" s="176"/>
      <c r="W46" s="177"/>
      <c r="X46" s="164"/>
      <c r="Y46" s="165"/>
      <c r="Z46" s="166"/>
    </row>
    <row r="47" spans="1:30" x14ac:dyDescent="0.25">
      <c r="A47" t="s">
        <v>56</v>
      </c>
      <c r="B47" s="82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1"/>
      <c r="X47" s="20"/>
      <c r="Y47" s="29"/>
      <c r="Z47" s="21"/>
    </row>
    <row r="48" spans="1:30" x14ac:dyDescent="0.25">
      <c r="A48" t="s">
        <v>0</v>
      </c>
      <c r="B48" s="95">
        <f>B25-B39</f>
        <v>75112.546819702722</v>
      </c>
      <c r="C48" s="96">
        <f>C25-C39</f>
        <v>-1706954.7408129217</v>
      </c>
      <c r="D48" s="96">
        <f t="shared" ref="D48:J48" si="32">D25-D39</f>
        <v>-1324680.6027970568</v>
      </c>
      <c r="E48" s="96">
        <f t="shared" si="32"/>
        <v>-339435.9642459203</v>
      </c>
      <c r="F48" s="96">
        <f t="shared" si="32"/>
        <v>123052.17061041691</v>
      </c>
      <c r="G48" s="96">
        <f t="shared" si="32"/>
        <v>-418046.57007101714</v>
      </c>
      <c r="H48" s="96">
        <f t="shared" si="32"/>
        <v>-277641.76885201456</v>
      </c>
      <c r="I48" s="96">
        <f t="shared" si="32"/>
        <v>-78846.64983188035</v>
      </c>
      <c r="J48" s="96">
        <f t="shared" si="32"/>
        <v>-440681.03342316952</v>
      </c>
      <c r="K48" s="96">
        <f t="shared" ref="K48:Y48" si="33">K25-K39</f>
        <v>232126.02703196183</v>
      </c>
      <c r="L48" s="96">
        <f t="shared" si="33"/>
        <v>89364.767572361277</v>
      </c>
      <c r="M48" s="96">
        <f t="shared" si="33"/>
        <v>427082.92472730903</v>
      </c>
      <c r="N48" s="96">
        <f t="shared" si="33"/>
        <v>-1406057.6655024663</v>
      </c>
      <c r="O48" s="96">
        <f t="shared" si="33"/>
        <v>-1162107.9525416126</v>
      </c>
      <c r="P48" s="96">
        <f t="shared" si="33"/>
        <v>451795.5220329077</v>
      </c>
      <c r="Q48" s="96">
        <f t="shared" si="33"/>
        <v>581209.67054507486</v>
      </c>
      <c r="R48" s="96">
        <f t="shared" si="33"/>
        <v>894114.41728638485</v>
      </c>
      <c r="S48" s="96">
        <f t="shared" si="33"/>
        <v>688842.08471062221</v>
      </c>
      <c r="T48" s="96">
        <f t="shared" si="33"/>
        <v>670525.63692316622</v>
      </c>
      <c r="U48" s="96">
        <f t="shared" si="33"/>
        <v>210903.49844493135</v>
      </c>
      <c r="V48" s="96">
        <f t="shared" si="33"/>
        <v>313695.30971526378</v>
      </c>
      <c r="W48" s="114">
        <f t="shared" si="33"/>
        <v>423438.96023027226</v>
      </c>
      <c r="X48" s="95">
        <f t="shared" si="33"/>
        <v>750271.6436898394</v>
      </c>
      <c r="Y48" s="96">
        <f t="shared" si="33"/>
        <v>781943.39374072989</v>
      </c>
      <c r="Z48" s="114">
        <f t="shared" ref="Z48" si="34">Z25-Z39</f>
        <v>-280995.45352173666</v>
      </c>
    </row>
    <row r="49" spans="1:26" x14ac:dyDescent="0.25">
      <c r="A49" t="s">
        <v>4</v>
      </c>
      <c r="B49" s="95">
        <f t="shared" ref="B49:J52" si="35">B26-B40</f>
        <v>41937.723530317249</v>
      </c>
      <c r="C49" s="96">
        <f t="shared" si="35"/>
        <v>-303808.5815693849</v>
      </c>
      <c r="D49" s="96">
        <f t="shared" si="35"/>
        <v>-258618.8593274554</v>
      </c>
      <c r="E49" s="96">
        <f t="shared" si="35"/>
        <v>-217267.3967490643</v>
      </c>
      <c r="F49" s="96">
        <f t="shared" si="35"/>
        <v>-56263.63073601824</v>
      </c>
      <c r="G49" s="96">
        <f t="shared" si="35"/>
        <v>-181538.12234731505</v>
      </c>
      <c r="H49" s="96">
        <f t="shared" si="35"/>
        <v>-243550.29945976444</v>
      </c>
      <c r="I49" s="96">
        <f t="shared" si="35"/>
        <v>-176803.99485039013</v>
      </c>
      <c r="J49" s="96">
        <f t="shared" si="35"/>
        <v>-158218.08003576531</v>
      </c>
      <c r="K49" s="96">
        <f t="shared" ref="K49:Y49" si="36">K26-K40</f>
        <v>-124078.62034415061</v>
      </c>
      <c r="L49" s="96">
        <f t="shared" si="36"/>
        <v>-106410.93544199114</v>
      </c>
      <c r="M49" s="96">
        <f t="shared" si="36"/>
        <v>15794.731924221793</v>
      </c>
      <c r="N49" s="96">
        <f t="shared" si="36"/>
        <v>-176340.34814075567</v>
      </c>
      <c r="O49" s="96">
        <f t="shared" si="36"/>
        <v>-121583.4230605395</v>
      </c>
      <c r="P49" s="96">
        <f t="shared" si="36"/>
        <v>55246.442695028498</v>
      </c>
      <c r="Q49" s="96">
        <f t="shared" si="36"/>
        <v>80546.29751496957</v>
      </c>
      <c r="R49" s="96">
        <f t="shared" si="36"/>
        <v>154083.95378360761</v>
      </c>
      <c r="S49" s="96">
        <f t="shared" si="36"/>
        <v>150295.99508427101</v>
      </c>
      <c r="T49" s="96">
        <f t="shared" si="36"/>
        <v>57169.936326897121</v>
      </c>
      <c r="U49" s="96">
        <f t="shared" si="36"/>
        <v>-34421.125681659934</v>
      </c>
      <c r="V49" s="96">
        <f t="shared" si="36"/>
        <v>109999.92996191181</v>
      </c>
      <c r="W49" s="114">
        <f t="shared" si="36"/>
        <v>130228.44746117233</v>
      </c>
      <c r="X49" s="95">
        <f t="shared" si="36"/>
        <v>161284.44061787429</v>
      </c>
      <c r="Y49" s="96">
        <f t="shared" si="36"/>
        <v>196497.46680063539</v>
      </c>
      <c r="Z49" s="114">
        <f t="shared" ref="Z49" si="37">Z26-Z40</f>
        <v>-33352.304353395419</v>
      </c>
    </row>
    <row r="50" spans="1:26" x14ac:dyDescent="0.25">
      <c r="A50" t="s">
        <v>5</v>
      </c>
      <c r="B50" s="95">
        <f t="shared" si="35"/>
        <v>113584.22546721483</v>
      </c>
      <c r="C50" s="96">
        <f t="shared" si="35"/>
        <v>-644956.97313910956</v>
      </c>
      <c r="D50" s="96">
        <f t="shared" si="35"/>
        <v>-551471.21234914311</v>
      </c>
      <c r="E50" s="96">
        <f t="shared" si="35"/>
        <v>-491108.62497594219</v>
      </c>
      <c r="F50" s="96">
        <f t="shared" si="35"/>
        <v>-137933.87500306428</v>
      </c>
      <c r="G50" s="96">
        <f t="shared" si="35"/>
        <v>-441725.03303058038</v>
      </c>
      <c r="H50" s="96">
        <f t="shared" si="35"/>
        <v>-549926.1251836064</v>
      </c>
      <c r="I50" s="96">
        <f t="shared" si="35"/>
        <v>-410768.53036945744</v>
      </c>
      <c r="J50" s="96">
        <f t="shared" si="35"/>
        <v>-369421.48771516618</v>
      </c>
      <c r="K50" s="96">
        <f t="shared" ref="K50:Y50" si="38">K27-K41</f>
        <v>-303388.8889581043</v>
      </c>
      <c r="L50" s="96">
        <f t="shared" si="38"/>
        <v>-255001.46827782225</v>
      </c>
      <c r="M50" s="96">
        <f t="shared" si="38"/>
        <v>33693.928099500481</v>
      </c>
      <c r="N50" s="96">
        <f t="shared" si="38"/>
        <v>-363546.27387030248</v>
      </c>
      <c r="O50" s="96">
        <f t="shared" si="38"/>
        <v>-256273.24614098883</v>
      </c>
      <c r="P50" s="96">
        <f t="shared" si="38"/>
        <v>108465.01874529454</v>
      </c>
      <c r="Q50" s="96">
        <f t="shared" si="38"/>
        <v>178859.38283903885</v>
      </c>
      <c r="R50" s="96">
        <f t="shared" si="38"/>
        <v>374939.0987815269</v>
      </c>
      <c r="S50" s="96">
        <f t="shared" si="38"/>
        <v>356895.81961601798</v>
      </c>
      <c r="T50" s="96">
        <f t="shared" si="38"/>
        <v>123405.60324313235</v>
      </c>
      <c r="U50" s="96">
        <f t="shared" si="38"/>
        <v>-90724.339504754986</v>
      </c>
      <c r="V50" s="96">
        <f t="shared" si="38"/>
        <v>254117.81874680298</v>
      </c>
      <c r="W50" s="114">
        <f t="shared" si="38"/>
        <v>323163.20476326486</v>
      </c>
      <c r="X50" s="95">
        <f t="shared" si="38"/>
        <v>380221.38080054906</v>
      </c>
      <c r="Y50" s="96">
        <f t="shared" si="38"/>
        <v>423352.1463806954</v>
      </c>
      <c r="Z50" s="114">
        <f t="shared" ref="Z50" si="39">Z27-Z41</f>
        <v>-78233.531564137083</v>
      </c>
    </row>
    <row r="51" spans="1:26" x14ac:dyDescent="0.25">
      <c r="A51" t="s">
        <v>6</v>
      </c>
      <c r="B51" s="95">
        <f t="shared" si="35"/>
        <v>72668.642601876825</v>
      </c>
      <c r="C51" s="96">
        <f t="shared" si="35"/>
        <v>-268163.44703686325</v>
      </c>
      <c r="D51" s="96">
        <f t="shared" si="35"/>
        <v>-235075.14304148074</v>
      </c>
      <c r="E51" s="96">
        <f t="shared" si="35"/>
        <v>-205207.76079435754</v>
      </c>
      <c r="F51" s="96">
        <f t="shared" si="35"/>
        <v>-60551.489361933549</v>
      </c>
      <c r="G51" s="96">
        <f t="shared" si="35"/>
        <v>-187976.46134780202</v>
      </c>
      <c r="H51" s="96">
        <f t="shared" si="35"/>
        <v>-229692.49893427905</v>
      </c>
      <c r="I51" s="96">
        <f t="shared" si="35"/>
        <v>-172486.37124892182</v>
      </c>
      <c r="J51" s="96">
        <f t="shared" si="35"/>
        <v>-156152.43786513666</v>
      </c>
      <c r="K51" s="96">
        <f t="shared" ref="K51:Y51" si="40">K28-K42</f>
        <v>-132547.89892040682</v>
      </c>
      <c r="L51" s="96">
        <f t="shared" si="40"/>
        <v>-112444.21854112836</v>
      </c>
      <c r="M51" s="96">
        <f t="shared" si="40"/>
        <v>13972.121653982089</v>
      </c>
      <c r="N51" s="96">
        <f t="shared" si="40"/>
        <v>-146140.92811949717</v>
      </c>
      <c r="O51" s="96">
        <f t="shared" si="40"/>
        <v>-123535.75592639393</v>
      </c>
      <c r="P51" s="96">
        <f t="shared" si="40"/>
        <v>46177.066825935908</v>
      </c>
      <c r="Q51" s="96">
        <f t="shared" si="40"/>
        <v>79961.595497529022</v>
      </c>
      <c r="R51" s="96">
        <f t="shared" si="40"/>
        <v>161137.90714498729</v>
      </c>
      <c r="S51" s="96">
        <f t="shared" si="40"/>
        <v>150377.17975022114</v>
      </c>
      <c r="T51" s="96">
        <f t="shared" si="40"/>
        <v>50569.939751540718</v>
      </c>
      <c r="U51" s="96">
        <f t="shared" si="40"/>
        <v>-40210.262315169588</v>
      </c>
      <c r="V51" s="96">
        <f t="shared" si="40"/>
        <v>102805.79771520902</v>
      </c>
      <c r="W51" s="114">
        <f t="shared" si="40"/>
        <v>145495.22348792263</v>
      </c>
      <c r="X51" s="95">
        <f t="shared" si="40"/>
        <v>167005.26290154882</v>
      </c>
      <c r="Y51" s="96">
        <f t="shared" si="40"/>
        <v>177044.33364660124</v>
      </c>
      <c r="Z51" s="114">
        <f t="shared" ref="Z51" si="41">Z28-Z42</f>
        <v>-32225.123934352741</v>
      </c>
    </row>
    <row r="52" spans="1:26" x14ac:dyDescent="0.25">
      <c r="A52" t="s">
        <v>7</v>
      </c>
      <c r="B52" s="95">
        <f t="shared" si="35"/>
        <v>107422.73158088839</v>
      </c>
      <c r="C52" s="96">
        <f t="shared" si="35"/>
        <v>-210097.73744172035</v>
      </c>
      <c r="D52" s="96">
        <f t="shared" si="35"/>
        <v>-163589.02248486393</v>
      </c>
      <c r="E52" s="96">
        <f t="shared" si="35"/>
        <v>-163035.85323471564</v>
      </c>
      <c r="F52" s="96">
        <f t="shared" si="35"/>
        <v>-60768.615509400552</v>
      </c>
      <c r="G52" s="96">
        <f t="shared" si="35"/>
        <v>-157405.72320328557</v>
      </c>
      <c r="H52" s="96">
        <f t="shared" si="35"/>
        <v>-184940.83757033569</v>
      </c>
      <c r="I52" s="96">
        <f t="shared" si="35"/>
        <v>-155144.03369934988</v>
      </c>
      <c r="J52" s="96">
        <f t="shared" si="35"/>
        <v>-54141.680960762489</v>
      </c>
      <c r="K52" s="96">
        <f t="shared" ref="K52:Y52" si="42">K29-K43</f>
        <v>-107659.32880930009</v>
      </c>
      <c r="L52" s="96">
        <f t="shared" si="42"/>
        <v>-93119.095311419747</v>
      </c>
      <c r="M52" s="96">
        <f t="shared" si="42"/>
        <v>7058.7735949865892</v>
      </c>
      <c r="N52" s="96">
        <f t="shared" si="42"/>
        <v>-103735.12436697836</v>
      </c>
      <c r="O52" s="96">
        <f t="shared" si="42"/>
        <v>-68070.142330465169</v>
      </c>
      <c r="P52" s="96">
        <f t="shared" si="42"/>
        <v>42021.139700833242</v>
      </c>
      <c r="Q52" s="96">
        <f t="shared" si="42"/>
        <v>61752.283603387637</v>
      </c>
      <c r="R52" s="96">
        <f t="shared" si="42"/>
        <v>107207.50300349339</v>
      </c>
      <c r="S52" s="96">
        <f t="shared" si="42"/>
        <v>101932.49083886764</v>
      </c>
      <c r="T52" s="96">
        <f t="shared" si="42"/>
        <v>50034.133755263319</v>
      </c>
      <c r="U52" s="96">
        <f t="shared" si="42"/>
        <v>-796.97094334679423</v>
      </c>
      <c r="V52" s="96">
        <f t="shared" si="42"/>
        <v>81758.12386081263</v>
      </c>
      <c r="W52" s="114">
        <f t="shared" si="42"/>
        <v>104119.79405736789</v>
      </c>
      <c r="X52" s="95">
        <f t="shared" si="42"/>
        <v>125857.48767518546</v>
      </c>
      <c r="Y52" s="96">
        <f t="shared" si="42"/>
        <v>123945.15136569682</v>
      </c>
      <c r="Z52" s="114">
        <f t="shared" ref="Z52" si="43">Z29-Z43</f>
        <v>2535.5441933966358</v>
      </c>
    </row>
    <row r="53" spans="1:26" x14ac:dyDescent="0.25">
      <c r="B53" s="82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1"/>
      <c r="X53" s="20"/>
      <c r="Y53" s="29"/>
      <c r="Z53" s="21"/>
    </row>
    <row r="54" spans="1:26" x14ac:dyDescent="0.25">
      <c r="A54" t="s">
        <v>57</v>
      </c>
      <c r="B54" s="82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1"/>
      <c r="X54" s="20"/>
      <c r="Y54" s="29"/>
      <c r="Z54" s="21"/>
    </row>
    <row r="55" spans="1:26" x14ac:dyDescent="0.25">
      <c r="A55" t="s">
        <v>0</v>
      </c>
      <c r="B55" s="95">
        <f>B48</f>
        <v>75112.546819702722</v>
      </c>
      <c r="C55" s="96">
        <f>B55+C48+B62</f>
        <v>-1631791.9130910337</v>
      </c>
      <c r="D55" s="96">
        <f t="shared" ref="D55:J55" si="44">C55+D48+C62</f>
        <v>-2956472.5158880902</v>
      </c>
      <c r="E55" s="96">
        <f t="shared" si="44"/>
        <v>-3296130.2155727018</v>
      </c>
      <c r="F55" s="96">
        <f t="shared" si="44"/>
        <v>-3173347.3442944479</v>
      </c>
      <c r="G55" s="96">
        <f t="shared" si="44"/>
        <v>-3591631.9154162868</v>
      </c>
      <c r="H55" s="96">
        <f t="shared" si="44"/>
        <v>-3870790.9661779422</v>
      </c>
      <c r="I55" s="96">
        <f t="shared" si="44"/>
        <v>-3949863.4121495164</v>
      </c>
      <c r="J55" s="96">
        <f t="shared" si="44"/>
        <v>-4392190.221994414</v>
      </c>
      <c r="K55" s="96">
        <f t="shared" ref="K55:Y55" si="45">J55+K48+J62</f>
        <v>-4161894.2742216163</v>
      </c>
      <c r="L55" s="96">
        <f t="shared" si="45"/>
        <v>-4073755.5278692907</v>
      </c>
      <c r="M55" s="96">
        <f t="shared" si="45"/>
        <v>-3647717.4976713061</v>
      </c>
      <c r="N55" s="96">
        <f t="shared" si="45"/>
        <v>-5055101.4124606345</v>
      </c>
      <c r="O55" s="96">
        <f t="shared" si="45"/>
        <v>-6219589.6563917473</v>
      </c>
      <c r="P55" s="96">
        <f t="shared" si="45"/>
        <v>-5770188.5571677489</v>
      </c>
      <c r="Q55" s="96">
        <f>P55+Q48+P62</f>
        <v>-5190630.3386301873</v>
      </c>
      <c r="R55" s="96">
        <f t="shared" si="45"/>
        <v>-4297913.1741480827</v>
      </c>
      <c r="S55" s="96">
        <f t="shared" si="45"/>
        <v>-3610141.860780885</v>
      </c>
      <c r="T55" s="96">
        <f t="shared" si="45"/>
        <v>-2940539.619925966</v>
      </c>
      <c r="U55" s="96">
        <f t="shared" si="45"/>
        <v>-2730367.5488556456</v>
      </c>
      <c r="V55" s="96">
        <f t="shared" si="45"/>
        <v>-2417382.0004600133</v>
      </c>
      <c r="W55" s="114">
        <f t="shared" si="45"/>
        <v>-1994475.8412950675</v>
      </c>
      <c r="X55" s="95">
        <f t="shared" si="45"/>
        <v>-1244656.7358633019</v>
      </c>
      <c r="Y55" s="96">
        <f t="shared" si="45"/>
        <v>-462995.74954986968</v>
      </c>
      <c r="Z55" s="114">
        <f>Y55+Z48+Y62</f>
        <v>-744096.25487803027</v>
      </c>
    </row>
    <row r="56" spans="1:26" x14ac:dyDescent="0.25">
      <c r="A56" t="s">
        <v>4</v>
      </c>
      <c r="B56" s="95">
        <f t="shared" ref="B56:B59" si="46">B49</f>
        <v>41937.723530317249</v>
      </c>
      <c r="C56" s="96">
        <f t="shared" ref="C56:J59" si="47">B56+C49+B63</f>
        <v>-261842.78461240354</v>
      </c>
      <c r="D56" s="96">
        <f t="shared" si="47"/>
        <v>-520461.64393985894</v>
      </c>
      <c r="E56" s="96">
        <f t="shared" si="47"/>
        <v>-737768.07531221875</v>
      </c>
      <c r="F56" s="96">
        <f t="shared" si="47"/>
        <v>-794091.98292960343</v>
      </c>
      <c r="G56" s="96">
        <f t="shared" si="47"/>
        <v>-975689.66217563825</v>
      </c>
      <c r="H56" s="96">
        <f t="shared" si="47"/>
        <v>-1219652.140920114</v>
      </c>
      <c r="I56" s="96">
        <f t="shared" si="47"/>
        <v>-1396527.2821453912</v>
      </c>
      <c r="J56" s="96">
        <f t="shared" si="47"/>
        <v>-1555327.248548717</v>
      </c>
      <c r="K56" s="96">
        <f t="shared" ref="K56:Z56" si="48">J56+K49+J63</f>
        <v>-1680053.9219130962</v>
      </c>
      <c r="L56" s="96">
        <f t="shared" si="48"/>
        <v>-1786959.7718395393</v>
      </c>
      <c r="M56" s="96">
        <f t="shared" si="48"/>
        <v>-1771623.3846728622</v>
      </c>
      <c r="N56" s="96">
        <f t="shared" si="48"/>
        <v>-1948607.8655492286</v>
      </c>
      <c r="O56" s="96">
        <f t="shared" si="48"/>
        <v>-2071108.8279715793</v>
      </c>
      <c r="P56" s="96">
        <f t="shared" si="48"/>
        <v>-2016659.7224790675</v>
      </c>
      <c r="Q56" s="96">
        <f t="shared" si="48"/>
        <v>-1936690.6013794204</v>
      </c>
      <c r="R56" s="96">
        <f t="shared" si="48"/>
        <v>-1783127.9804970715</v>
      </c>
      <c r="S56" s="96">
        <f t="shared" si="48"/>
        <v>-1633276.2294600415</v>
      </c>
      <c r="T56" s="96">
        <f t="shared" si="48"/>
        <v>-1576524.0498049886</v>
      </c>
      <c r="U56" s="96">
        <f t="shared" si="48"/>
        <v>-1611337.318765027</v>
      </c>
      <c r="V56" s="96">
        <f t="shared" si="48"/>
        <v>-1501756.2572819092</v>
      </c>
      <c r="W56" s="114">
        <f t="shared" si="48"/>
        <v>-1371858.8031571596</v>
      </c>
      <c r="X56" s="95">
        <f t="shared" si="48"/>
        <v>-1210885.6315856434</v>
      </c>
      <c r="Y56" s="96">
        <f t="shared" si="48"/>
        <v>-1014662.909689458</v>
      </c>
      <c r="Z56" s="114">
        <f t="shared" si="48"/>
        <v>-1048245.4368292998</v>
      </c>
    </row>
    <row r="57" spans="1:26" x14ac:dyDescent="0.25">
      <c r="A57" t="s">
        <v>5</v>
      </c>
      <c r="B57" s="95">
        <f t="shared" si="46"/>
        <v>113584.22546721483</v>
      </c>
      <c r="C57" s="96">
        <f t="shared" si="47"/>
        <v>-531296.71353948524</v>
      </c>
      <c r="D57" s="96">
        <f t="shared" si="47"/>
        <v>-1082767.9258886282</v>
      </c>
      <c r="E57" s="96">
        <f t="shared" si="47"/>
        <v>-1573957.758459012</v>
      </c>
      <c r="F57" s="96">
        <f t="shared" si="47"/>
        <v>-1712020.2284342053</v>
      </c>
      <c r="G57" s="96">
        <f t="shared" si="47"/>
        <v>-2153873.6629819185</v>
      </c>
      <c r="H57" s="96">
        <f t="shared" si="47"/>
        <v>-2704709.6902995571</v>
      </c>
      <c r="I57" s="96">
        <f t="shared" si="47"/>
        <v>-3115635.9954009484</v>
      </c>
      <c r="J57" s="96">
        <f t="shared" si="47"/>
        <v>-3486355.664780865</v>
      </c>
      <c r="K57" s="96">
        <f t="shared" ref="K57:Z57" si="49">J57+K50+J64</f>
        <v>-3791197.2019326282</v>
      </c>
      <c r="L57" s="96">
        <f t="shared" si="49"/>
        <v>-4047315.4905601889</v>
      </c>
      <c r="M57" s="96">
        <f t="shared" si="49"/>
        <v>-4014659.6752746766</v>
      </c>
      <c r="N57" s="96">
        <f t="shared" si="49"/>
        <v>-4379665.6124919141</v>
      </c>
      <c r="O57" s="96">
        <f t="shared" si="49"/>
        <v>-4638001.1081301356</v>
      </c>
      <c r="P57" s="96">
        <f t="shared" si="49"/>
        <v>-4531321.6309164492</v>
      </c>
      <c r="Q57" s="96">
        <f t="shared" si="49"/>
        <v>-4353759.1312086852</v>
      </c>
      <c r="R57" s="96">
        <f t="shared" si="49"/>
        <v>-3979992.0099632903</v>
      </c>
      <c r="S57" s="96">
        <f t="shared" si="49"/>
        <v>-3624087.7556066546</v>
      </c>
      <c r="T57" s="96">
        <f t="shared" si="49"/>
        <v>-3501609.1154895048</v>
      </c>
      <c r="U57" s="96">
        <f t="shared" si="49"/>
        <v>-3593204.4423276391</v>
      </c>
      <c r="V57" s="96">
        <f t="shared" si="49"/>
        <v>-3340020.6800699565</v>
      </c>
      <c r="W57" s="114">
        <f t="shared" si="49"/>
        <v>-3017593.6297813319</v>
      </c>
      <c r="X57" s="95">
        <f t="shared" si="49"/>
        <v>-2638056.9284020737</v>
      </c>
      <c r="Y57" s="127">
        <f t="shared" si="49"/>
        <v>-2215303.3461465286</v>
      </c>
      <c r="Z57" s="167">
        <f t="shared" si="49"/>
        <v>-2294039.5208094758</v>
      </c>
    </row>
    <row r="58" spans="1:26" x14ac:dyDescent="0.25">
      <c r="A58" t="s">
        <v>6</v>
      </c>
      <c r="B58" s="95">
        <f t="shared" si="46"/>
        <v>72668.642601876825</v>
      </c>
      <c r="C58" s="96">
        <f t="shared" si="47"/>
        <v>-195446.15950061393</v>
      </c>
      <c r="D58" s="96">
        <f t="shared" si="47"/>
        <v>-430521.30254209467</v>
      </c>
      <c r="E58" s="96">
        <f t="shared" si="47"/>
        <v>-635761.35243414284</v>
      </c>
      <c r="F58" s="96">
        <f t="shared" si="47"/>
        <v>-696364.78455817257</v>
      </c>
      <c r="G58" s="96">
        <f t="shared" si="47"/>
        <v>-884393.47326481657</v>
      </c>
      <c r="H58" s="96">
        <f t="shared" si="47"/>
        <v>-1114459.5834848818</v>
      </c>
      <c r="I58" s="96">
        <f t="shared" si="47"/>
        <v>-1287010.9648761735</v>
      </c>
      <c r="J58" s="96">
        <f t="shared" si="47"/>
        <v>-1443699.6573100085</v>
      </c>
      <c r="K58" s="96">
        <f t="shared" ref="K58:Z58" si="50">J58+K51+J65</f>
        <v>-1576849.0977542945</v>
      </c>
      <c r="L58" s="96">
        <f t="shared" si="50"/>
        <v>-1689757.8284447622</v>
      </c>
      <c r="M58" s="96">
        <f t="shared" si="50"/>
        <v>-1676219.1198168555</v>
      </c>
      <c r="N58" s="96">
        <f t="shared" si="50"/>
        <v>-1822969.4932713327</v>
      </c>
      <c r="O58" s="96">
        <f t="shared" si="50"/>
        <v>-1947363.6293238821</v>
      </c>
      <c r="P58" s="96">
        <f t="shared" si="50"/>
        <v>-1901936.2601707664</v>
      </c>
      <c r="Q58" s="96">
        <f t="shared" si="50"/>
        <v>-1822519.0067556326</v>
      </c>
      <c r="R58" s="96">
        <f t="shared" si="50"/>
        <v>-1661871.6989457763</v>
      </c>
      <c r="S58" s="96">
        <f t="shared" si="50"/>
        <v>-1511908.5537559513</v>
      </c>
      <c r="T58" s="96">
        <f t="shared" si="50"/>
        <v>-1461725.3274544426</v>
      </c>
      <c r="U58" s="96">
        <f t="shared" si="50"/>
        <v>-1502299.1781094589</v>
      </c>
      <c r="V58" s="96">
        <f t="shared" si="50"/>
        <v>-1399883.9043175154</v>
      </c>
      <c r="W58" s="114">
        <f t="shared" si="50"/>
        <v>-1254697.2210749539</v>
      </c>
      <c r="X58" s="95">
        <f t="shared" si="50"/>
        <v>-1087976.6437449621</v>
      </c>
      <c r="Y58" s="96">
        <f t="shared" si="50"/>
        <v>-911179.16746559052</v>
      </c>
      <c r="Z58" s="114">
        <f t="shared" si="50"/>
        <v>-943611.03415646136</v>
      </c>
    </row>
    <row r="59" spans="1:26" x14ac:dyDescent="0.25">
      <c r="A59" t="s">
        <v>7</v>
      </c>
      <c r="B59" s="95">
        <f t="shared" si="46"/>
        <v>107422.73158088839</v>
      </c>
      <c r="C59" s="96">
        <f t="shared" si="47"/>
        <v>-102603.09627864123</v>
      </c>
      <c r="D59" s="96">
        <f t="shared" si="47"/>
        <v>-266192.11876350513</v>
      </c>
      <c r="E59" s="96">
        <f t="shared" si="47"/>
        <v>-429247.93640712806</v>
      </c>
      <c r="F59" s="96">
        <f t="shared" si="47"/>
        <v>-490051.62218834629</v>
      </c>
      <c r="G59" s="96">
        <f t="shared" si="47"/>
        <v>-647494.099263296</v>
      </c>
      <c r="H59" s="96">
        <f t="shared" si="47"/>
        <v>-832708.47017628711</v>
      </c>
      <c r="I59" s="96">
        <f t="shared" si="47"/>
        <v>-987901.0785363972</v>
      </c>
      <c r="J59" s="96">
        <f t="shared" si="47"/>
        <v>-1042454.3849465498</v>
      </c>
      <c r="K59" s="96">
        <f t="shared" ref="K59:Z59" si="51">J59+K52+J66</f>
        <v>-1150548.0697495774</v>
      </c>
      <c r="L59" s="96">
        <f t="shared" si="51"/>
        <v>-1244006.0963877542</v>
      </c>
      <c r="M59" s="96">
        <f t="shared" si="51"/>
        <v>-1237266.4030997888</v>
      </c>
      <c r="N59" s="96">
        <f t="shared" si="51"/>
        <v>-1341451.3769098276</v>
      </c>
      <c r="O59" s="96">
        <f t="shared" si="51"/>
        <v>-1410153.167332262</v>
      </c>
      <c r="P59" s="96">
        <f t="shared" si="51"/>
        <v>-1368674.9095729161</v>
      </c>
      <c r="Q59" s="96">
        <f t="shared" si="51"/>
        <v>-1307314.3464314602</v>
      </c>
      <c r="R59" s="96">
        <f t="shared" si="51"/>
        <v>-1200458.7561085969</v>
      </c>
      <c r="S59" s="96">
        <f t="shared" si="51"/>
        <v>-1098825.3445630793</v>
      </c>
      <c r="T59" s="96">
        <f t="shared" si="51"/>
        <v>-1049072.2665230727</v>
      </c>
      <c r="U59" s="96">
        <f t="shared" si="51"/>
        <v>-1050130.1828277677</v>
      </c>
      <c r="V59" s="96">
        <f t="shared" si="51"/>
        <v>-968645.0411830896</v>
      </c>
      <c r="W59" s="114">
        <f t="shared" si="51"/>
        <v>-864738.7405288195</v>
      </c>
      <c r="X59" s="95">
        <f t="shared" si="51"/>
        <v>-739077.45847078192</v>
      </c>
      <c r="Y59" s="96">
        <f t="shared" si="51"/>
        <v>-615300.00070092268</v>
      </c>
      <c r="Z59" s="114">
        <f t="shared" si="51"/>
        <v>-612904.06551393517</v>
      </c>
    </row>
    <row r="60" spans="1:26" x14ac:dyDescent="0.25">
      <c r="B60" s="82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1"/>
      <c r="X60" s="20"/>
      <c r="Y60" s="29"/>
      <c r="Z60" s="21"/>
    </row>
    <row r="61" spans="1:26" x14ac:dyDescent="0.25">
      <c r="A61" t="s">
        <v>42</v>
      </c>
      <c r="B61" s="163">
        <f>0.803289%/12</f>
        <v>6.6940750000000007E-4</v>
      </c>
      <c r="C61" s="143">
        <f>0%/12</f>
        <v>0</v>
      </c>
      <c r="D61" s="143">
        <f>0.09%/12</f>
        <v>7.4999999999999993E-5</v>
      </c>
      <c r="E61" s="143">
        <f>0.098042%/12</f>
        <v>8.1701666666666678E-5</v>
      </c>
      <c r="F61" s="143">
        <f>0.09%/12</f>
        <v>7.4999999999999993E-5</v>
      </c>
      <c r="G61" s="143">
        <f>0.506939%/12</f>
        <v>4.2244916666666667E-4</v>
      </c>
      <c r="H61" s="143">
        <f t="shared" ref="H61" si="52">0.07%/12</f>
        <v>5.833333333333334E-5</v>
      </c>
      <c r="I61" s="143">
        <f>0.5%/12</f>
        <v>4.1666666666666669E-4</v>
      </c>
      <c r="J61" s="143">
        <f>0.5%/12</f>
        <v>4.1666666666666669E-4</v>
      </c>
      <c r="K61" s="143">
        <f>0.353499%/12</f>
        <v>2.945825E-4</v>
      </c>
      <c r="L61" s="143">
        <f>0.307793%/12</f>
        <v>2.5649416666666665E-4</v>
      </c>
      <c r="M61" s="97">
        <f>0.4363%/12</f>
        <v>3.6358333333333338E-4</v>
      </c>
      <c r="N61" s="97">
        <f>0.565043%/12</f>
        <v>4.7086916666666664E-4</v>
      </c>
      <c r="O61" s="97">
        <f>0.461977%/12</f>
        <v>3.8498083333333337E-4</v>
      </c>
      <c r="P61" s="97">
        <f>0.343445%/12</f>
        <v>2.8620416666666666E-4</v>
      </c>
      <c r="Q61" s="97">
        <f>0.323025%/12</f>
        <v>2.691875E-4</v>
      </c>
      <c r="R61" s="97">
        <f>0.298965%/12</f>
        <v>2.4913749999999998E-4</v>
      </c>
      <c r="S61" s="97">
        <f>0.306934%/12</f>
        <v>2.5577833333333334E-4</v>
      </c>
      <c r="T61" s="97">
        <f>0.298487%/12</f>
        <v>2.4873916666666668E-4</v>
      </c>
      <c r="U61" s="97">
        <f>0.311941%/12</f>
        <v>2.5995083333333339E-4</v>
      </c>
      <c r="V61" s="97">
        <f>0.264485%/12</f>
        <v>2.2040416666666669E-4</v>
      </c>
      <c r="W61" s="169">
        <f>0.272275%/12</f>
        <v>2.2689583333333332E-4</v>
      </c>
      <c r="X61" s="168">
        <f>W61</f>
        <v>2.2689583333333332E-4</v>
      </c>
      <c r="Y61" s="97">
        <f>X61</f>
        <v>2.2689583333333332E-4</v>
      </c>
      <c r="Z61" s="169">
        <f>Y61</f>
        <v>2.2689583333333332E-4</v>
      </c>
    </row>
    <row r="62" spans="1:26" x14ac:dyDescent="0.25">
      <c r="A62" t="s">
        <v>0</v>
      </c>
      <c r="B62" s="95">
        <f>B55*B$61</f>
        <v>50.280902185210152</v>
      </c>
      <c r="C62" s="96">
        <f t="shared" ref="C62:J62" si="53">C55*C$61</f>
        <v>0</v>
      </c>
      <c r="D62" s="96">
        <f t="shared" si="53"/>
        <v>-221.73543869160676</v>
      </c>
      <c r="E62" s="96">
        <f t="shared" si="53"/>
        <v>-269.29933216264908</v>
      </c>
      <c r="F62" s="96">
        <f t="shared" si="53"/>
        <v>-238.00105082208358</v>
      </c>
      <c r="G62" s="96">
        <f t="shared" si="53"/>
        <v>-1517.2819096410142</v>
      </c>
      <c r="H62" s="96">
        <f t="shared" si="53"/>
        <v>-225.79613969371331</v>
      </c>
      <c r="I62" s="96">
        <f t="shared" si="53"/>
        <v>-1645.7764217289653</v>
      </c>
      <c r="J62" s="96">
        <f t="shared" si="53"/>
        <v>-1830.0792591643392</v>
      </c>
      <c r="K62" s="96">
        <f t="shared" ref="K62:Y62" si="54">K55*K$61</f>
        <v>-1226.0212200358892</v>
      </c>
      <c r="L62" s="127">
        <f t="shared" si="54"/>
        <v>-1044.8945293245604</v>
      </c>
      <c r="M62" s="127">
        <f t="shared" si="54"/>
        <v>-1326.2492868616591</v>
      </c>
      <c r="N62" s="127">
        <f t="shared" si="54"/>
        <v>-2380.2913895008282</v>
      </c>
      <c r="O62" s="127">
        <f t="shared" si="54"/>
        <v>-2394.4228089090752</v>
      </c>
      <c r="P62" s="127">
        <f t="shared" si="54"/>
        <v>-1651.4520075137311</v>
      </c>
      <c r="Q62" s="127">
        <f t="shared" si="54"/>
        <v>-1397.2528042800136</v>
      </c>
      <c r="R62" s="127">
        <f t="shared" si="54"/>
        <v>-1070.7713434243178</v>
      </c>
      <c r="S62" s="127">
        <f t="shared" si="54"/>
        <v>-923.3960682474335</v>
      </c>
      <c r="T62" s="127">
        <f t="shared" si="54"/>
        <v>-731.42737461070158</v>
      </c>
      <c r="U62" s="127">
        <f t="shared" si="54"/>
        <v>-709.76131963131593</v>
      </c>
      <c r="V62" s="127">
        <f t="shared" si="54"/>
        <v>-532.80106532638888</v>
      </c>
      <c r="W62" s="167">
        <f t="shared" si="54"/>
        <v>-452.53825807384538</v>
      </c>
      <c r="X62" s="95">
        <f t="shared" si="54"/>
        <v>-282.40742729765043</v>
      </c>
      <c r="Y62" s="96">
        <f t="shared" si="54"/>
        <v>-105.05180642390897</v>
      </c>
      <c r="Z62" s="114">
        <f t="shared" ref="Z62" si="55">Z55*Z$61</f>
        <v>-168.83233983076306</v>
      </c>
    </row>
    <row r="63" spans="1:26" x14ac:dyDescent="0.25">
      <c r="A63" t="s">
        <v>4</v>
      </c>
      <c r="B63" s="95">
        <f t="shared" ref="B63:J66" si="56">B56*B$61</f>
        <v>28.073426664120849</v>
      </c>
      <c r="C63" s="96">
        <f t="shared" si="56"/>
        <v>0</v>
      </c>
      <c r="D63" s="96">
        <f t="shared" si="56"/>
        <v>-39.034623295489418</v>
      </c>
      <c r="E63" s="96">
        <f t="shared" si="56"/>
        <v>-60.27688136646713</v>
      </c>
      <c r="F63" s="96">
        <f t="shared" si="56"/>
        <v>-59.556898719720252</v>
      </c>
      <c r="G63" s="96">
        <f t="shared" si="56"/>
        <v>-412.17928471137992</v>
      </c>
      <c r="H63" s="96">
        <f t="shared" si="56"/>
        <v>-71.146374887006658</v>
      </c>
      <c r="I63" s="96">
        <f t="shared" si="56"/>
        <v>-581.88636756057974</v>
      </c>
      <c r="J63" s="96">
        <f t="shared" si="56"/>
        <v>-648.05302022863214</v>
      </c>
      <c r="K63" s="96">
        <f t="shared" ref="K63:Y63" si="57">K56*K$61</f>
        <v>-494.91448445196465</v>
      </c>
      <c r="L63" s="127">
        <f t="shared" si="57"/>
        <v>-458.34475754483941</v>
      </c>
      <c r="M63" s="127">
        <f t="shared" si="57"/>
        <v>-644.13273561064159</v>
      </c>
      <c r="N63" s="127">
        <f t="shared" si="57"/>
        <v>-917.53936181127722</v>
      </c>
      <c r="O63" s="127">
        <f t="shared" si="57"/>
        <v>-797.33720251652198</v>
      </c>
      <c r="P63" s="127">
        <f t="shared" si="57"/>
        <v>-577.1764153223528</v>
      </c>
      <c r="Q63" s="127">
        <f t="shared" si="57"/>
        <v>-521.33290125882274</v>
      </c>
      <c r="R63" s="127">
        <f t="shared" si="57"/>
        <v>-444.24404724108911</v>
      </c>
      <c r="S63" s="127">
        <f t="shared" si="57"/>
        <v>-417.75667184424032</v>
      </c>
      <c r="T63" s="127">
        <f t="shared" si="57"/>
        <v>-392.14327837845138</v>
      </c>
      <c r="U63" s="127">
        <f t="shared" si="57"/>
        <v>-418.86847879406781</v>
      </c>
      <c r="V63" s="127">
        <f t="shared" si="57"/>
        <v>-330.99333642267152</v>
      </c>
      <c r="W63" s="167">
        <f t="shared" si="57"/>
        <v>-311.26904635801299</v>
      </c>
      <c r="X63" s="95">
        <f t="shared" si="57"/>
        <v>-274.74490444998418</v>
      </c>
      <c r="Y63" s="96">
        <f t="shared" si="57"/>
        <v>-230.22278644641429</v>
      </c>
      <c r="Z63" s="114">
        <f t="shared" ref="Z63" si="58">Z56*Z$61</f>
        <v>-237.84252192724799</v>
      </c>
    </row>
    <row r="64" spans="1:26" x14ac:dyDescent="0.25">
      <c r="A64" t="s">
        <v>5</v>
      </c>
      <c r="B64" s="95">
        <f t="shared" si="56"/>
        <v>76.034132409444624</v>
      </c>
      <c r="C64" s="96">
        <f t="shared" si="56"/>
        <v>0</v>
      </c>
      <c r="D64" s="96">
        <f t="shared" si="56"/>
        <v>-81.207594441647117</v>
      </c>
      <c r="E64" s="96">
        <f t="shared" si="56"/>
        <v>-128.59497212903207</v>
      </c>
      <c r="F64" s="96">
        <f t="shared" si="56"/>
        <v>-128.40151713256537</v>
      </c>
      <c r="G64" s="96">
        <f t="shared" si="56"/>
        <v>-909.90213403199232</v>
      </c>
      <c r="H64" s="96">
        <f t="shared" si="56"/>
        <v>-157.77473193414085</v>
      </c>
      <c r="I64" s="96">
        <f t="shared" si="56"/>
        <v>-1298.1816647503952</v>
      </c>
      <c r="J64" s="96">
        <f t="shared" si="56"/>
        <v>-1452.6481936586938</v>
      </c>
      <c r="K64" s="96">
        <f t="shared" ref="K64:Y64" si="59">K57*K$61</f>
        <v>-1116.8203497383183</v>
      </c>
      <c r="L64" s="127">
        <f t="shared" si="59"/>
        <v>-1038.1128139883267</v>
      </c>
      <c r="M64" s="127">
        <f t="shared" si="59"/>
        <v>-1459.6633469352846</v>
      </c>
      <c r="N64" s="127">
        <f>N57*N$61</f>
        <v>-2062.2494972327236</v>
      </c>
      <c r="O64" s="127">
        <f>O57*O$61</f>
        <v>-1785.5415316088631</v>
      </c>
      <c r="P64" s="127">
        <f t="shared" si="59"/>
        <v>-1296.8831312750833</v>
      </c>
      <c r="Q64" s="127">
        <f t="shared" si="59"/>
        <v>-1171.9775361322379</v>
      </c>
      <c r="R64" s="127">
        <f t="shared" si="59"/>
        <v>-991.5652593822291</v>
      </c>
      <c r="S64" s="127">
        <f t="shared" si="59"/>
        <v>-926.96312598281077</v>
      </c>
      <c r="T64" s="127">
        <f t="shared" si="59"/>
        <v>-870.98733337926319</v>
      </c>
      <c r="U64" s="127">
        <f t="shared" si="59"/>
        <v>-934.0564891201052</v>
      </c>
      <c r="V64" s="127">
        <f t="shared" si="59"/>
        <v>-736.15447464025215</v>
      </c>
      <c r="W64" s="167">
        <f t="shared" si="59"/>
        <v>-684.67942129059338</v>
      </c>
      <c r="X64" s="95">
        <f t="shared" si="59"/>
        <v>-598.56412515056218</v>
      </c>
      <c r="Y64" s="96">
        <f t="shared" si="59"/>
        <v>-502.64309881003834</v>
      </c>
      <c r="Z64" s="114">
        <f t="shared" ref="Z64" si="60">Z57*Z$61</f>
        <v>-520.50800877366669</v>
      </c>
    </row>
    <row r="65" spans="1:26" x14ac:dyDescent="0.25">
      <c r="A65" t="s">
        <v>6</v>
      </c>
      <c r="B65" s="95">
        <f t="shared" si="56"/>
        <v>48.644934372515863</v>
      </c>
      <c r="C65" s="96">
        <f t="shared" si="56"/>
        <v>0</v>
      </c>
      <c r="D65" s="96">
        <f t="shared" si="56"/>
        <v>-32.289097690657094</v>
      </c>
      <c r="E65" s="96">
        <f t="shared" si="56"/>
        <v>-51.942762096123531</v>
      </c>
      <c r="F65" s="96">
        <f t="shared" si="56"/>
        <v>-52.227358841862937</v>
      </c>
      <c r="G65" s="96">
        <f t="shared" si="56"/>
        <v>-373.61128578616069</v>
      </c>
      <c r="H65" s="96">
        <f t="shared" si="56"/>
        <v>-65.010142369951438</v>
      </c>
      <c r="I65" s="96">
        <f t="shared" si="56"/>
        <v>-536.25456869840571</v>
      </c>
      <c r="J65" s="96">
        <f t="shared" si="56"/>
        <v>-601.54152387917031</v>
      </c>
      <c r="K65" s="96">
        <f t="shared" ref="K65:Y65" si="61">K58*K$61</f>
        <v>-464.51214933920448</v>
      </c>
      <c r="L65" s="127">
        <f t="shared" si="61"/>
        <v>-433.41302607541553</v>
      </c>
      <c r="M65" s="127">
        <f t="shared" si="61"/>
        <v>-609.44533498007843</v>
      </c>
      <c r="N65" s="127">
        <f t="shared" si="61"/>
        <v>-858.380126155428</v>
      </c>
      <c r="O65" s="127">
        <f t="shared" si="61"/>
        <v>-749.69767282013265</v>
      </c>
      <c r="P65" s="127">
        <f t="shared" si="61"/>
        <v>-544.34208239529073</v>
      </c>
      <c r="Q65" s="127">
        <f t="shared" si="61"/>
        <v>-490.59933513103186</v>
      </c>
      <c r="R65" s="127">
        <f t="shared" si="61"/>
        <v>-414.0345603961033</v>
      </c>
      <c r="S65" s="127">
        <f t="shared" si="61"/>
        <v>-386.71345003210763</v>
      </c>
      <c r="T65" s="127">
        <f t="shared" si="61"/>
        <v>-363.58833984657855</v>
      </c>
      <c r="U65" s="127">
        <f t="shared" si="61"/>
        <v>-390.5239232655357</v>
      </c>
      <c r="V65" s="127">
        <f t="shared" si="61"/>
        <v>-308.54024536118175</v>
      </c>
      <c r="W65" s="167">
        <f t="shared" si="61"/>
        <v>-284.68557155681918</v>
      </c>
      <c r="X65" s="95">
        <f t="shared" si="61"/>
        <v>-246.85736722971626</v>
      </c>
      <c r="Y65" s="96">
        <f t="shared" si="61"/>
        <v>-206.74275651807804</v>
      </c>
      <c r="Z65" s="114">
        <f t="shared" ref="Z65" si="62">Z58*Z$61</f>
        <v>-214.10141193745875</v>
      </c>
    </row>
    <row r="66" spans="1:26" ht="15.75" thickBot="1" x14ac:dyDescent="0.3">
      <c r="A66" t="s">
        <v>7</v>
      </c>
      <c r="B66" s="95">
        <f t="shared" si="56"/>
        <v>71.909582190733545</v>
      </c>
      <c r="C66" s="96">
        <f t="shared" si="56"/>
        <v>0</v>
      </c>
      <c r="D66" s="96">
        <f t="shared" si="56"/>
        <v>-19.964408907262882</v>
      </c>
      <c r="E66" s="96">
        <f t="shared" si="56"/>
        <v>-35.070271817689715</v>
      </c>
      <c r="F66" s="96">
        <f t="shared" si="56"/>
        <v>-36.753871664125967</v>
      </c>
      <c r="G66" s="96">
        <f t="shared" si="56"/>
        <v>-273.53334265536336</v>
      </c>
      <c r="H66" s="96">
        <f t="shared" si="56"/>
        <v>-48.574660760283422</v>
      </c>
      <c r="I66" s="96">
        <f t="shared" si="56"/>
        <v>-411.6254493901655</v>
      </c>
      <c r="J66" s="96">
        <f t="shared" si="56"/>
        <v>-434.35599372772913</v>
      </c>
      <c r="K66" s="96">
        <f t="shared" ref="K66:Y66" si="63">K59*K$61</f>
        <v>-338.93132675700491</v>
      </c>
      <c r="L66" s="127">
        <f t="shared" si="63"/>
        <v>-319.08030702123</v>
      </c>
      <c r="M66" s="127">
        <f t="shared" si="63"/>
        <v>-449.84944306036493</v>
      </c>
      <c r="N66" s="127">
        <f t="shared" si="63"/>
        <v>-631.64809196938302</v>
      </c>
      <c r="O66" s="127">
        <f t="shared" si="63"/>
        <v>-542.88194148721368</v>
      </c>
      <c r="P66" s="127">
        <f t="shared" si="63"/>
        <v>-391.7204619318918</v>
      </c>
      <c r="Q66" s="127">
        <f t="shared" si="63"/>
        <v>-351.91268063001871</v>
      </c>
      <c r="R66" s="127">
        <f t="shared" si="63"/>
        <v>-299.07929335000551</v>
      </c>
      <c r="S66" s="127">
        <f t="shared" si="63"/>
        <v>-281.05571525677016</v>
      </c>
      <c r="T66" s="127">
        <f t="shared" si="63"/>
        <v>-260.94536134806037</v>
      </c>
      <c r="U66" s="127">
        <f t="shared" si="63"/>
        <v>-272.98221613456394</v>
      </c>
      <c r="V66" s="127">
        <f t="shared" si="63"/>
        <v>-213.49340309775789</v>
      </c>
      <c r="W66" s="167">
        <f t="shared" si="63"/>
        <v>-196.20561714790358</v>
      </c>
      <c r="X66" s="95">
        <f t="shared" si="63"/>
        <v>-167.6935958376101</v>
      </c>
      <c r="Y66" s="96">
        <f t="shared" si="63"/>
        <v>-139.60900640903643</v>
      </c>
      <c r="Z66" s="114">
        <f t="shared" ref="Z66" si="64">Z59*Z$61</f>
        <v>-139.06537869817225</v>
      </c>
    </row>
    <row r="67" spans="1:26" ht="16.5" thickTop="1" thickBot="1" x14ac:dyDescent="0.3">
      <c r="A67" s="133" t="s">
        <v>87</v>
      </c>
      <c r="B67" s="178">
        <f>SUM(B62:B66)+SUM(B55:B59)-B70</f>
        <v>0</v>
      </c>
      <c r="C67" s="179">
        <f t="shared" ref="C67:J67" si="65">SUM(C62:C66)+SUM(C55:C59)-C70</f>
        <v>0</v>
      </c>
      <c r="D67" s="179">
        <f t="shared" si="65"/>
        <v>0</v>
      </c>
      <c r="E67" s="179">
        <f t="shared" si="65"/>
        <v>0</v>
      </c>
      <c r="F67" s="179">
        <f t="shared" si="65"/>
        <v>0</v>
      </c>
      <c r="G67" s="179">
        <f t="shared" si="65"/>
        <v>0</v>
      </c>
      <c r="H67" s="179">
        <f>SUM(H62:H66)+SUM(H55:H59)-H70</f>
        <v>0</v>
      </c>
      <c r="I67" s="179">
        <f t="shared" si="65"/>
        <v>0</v>
      </c>
      <c r="J67" s="179">
        <f t="shared" si="65"/>
        <v>0</v>
      </c>
      <c r="K67" s="179">
        <f t="shared" ref="K67" si="66">SUM(K62:K66)+SUM(K55:K59)-K70</f>
        <v>0</v>
      </c>
      <c r="L67" s="171">
        <f t="shared" ref="L67" si="67">SUM(L62:L66)+SUM(L55:L59)-L70</f>
        <v>0</v>
      </c>
      <c r="M67" s="171">
        <f t="shared" ref="M67" si="68">SUM(M62:M66)+SUM(M55:M59)-M70</f>
        <v>0</v>
      </c>
      <c r="N67" s="171">
        <f t="shared" ref="N67" si="69">SUM(N62:N66)+SUM(N55:N59)-N70</f>
        <v>0</v>
      </c>
      <c r="O67" s="171">
        <f>SUM(O62:O66)+SUM(O55:O59)-O70</f>
        <v>0</v>
      </c>
      <c r="P67" s="171">
        <f t="shared" ref="P67" si="70">SUM(P62:P66)+SUM(P55:P59)-P70</f>
        <v>0</v>
      </c>
      <c r="Q67" s="171">
        <f>SUM(Q62:Q66)+SUM(Q55:Q59)-Q70</f>
        <v>0</v>
      </c>
      <c r="R67" s="171">
        <f t="shared" ref="R67" si="71">SUM(R62:R66)+SUM(R55:R59)-R70</f>
        <v>0</v>
      </c>
      <c r="S67" s="171">
        <f t="shared" ref="S67" si="72">SUM(S62:S66)+SUM(S55:S59)-S70</f>
        <v>0</v>
      </c>
      <c r="T67" s="171">
        <f t="shared" ref="T67" si="73">SUM(T62:T66)+SUM(T55:T59)-T70</f>
        <v>0</v>
      </c>
      <c r="U67" s="171">
        <f t="shared" ref="U67" si="74">SUM(U62:U66)+SUM(U55:U59)-U70</f>
        <v>0</v>
      </c>
      <c r="V67" s="171">
        <f t="shared" ref="V67" si="75">SUM(V62:V66)+SUM(V55:V59)-V70</f>
        <v>0</v>
      </c>
      <c r="W67" s="172">
        <f t="shared" ref="W67" si="76">SUM(W62:W66)+SUM(W55:W59)-W70</f>
        <v>0</v>
      </c>
      <c r="X67" s="170">
        <f t="shared" ref="X67" si="77">SUM(X62:X66)+SUM(X55:X59)-X70</f>
        <v>0</v>
      </c>
      <c r="Y67" s="171">
        <f t="shared" ref="Y67:Z67" si="78">SUM(Y62:Y66)+SUM(Y55:Y59)-Y70</f>
        <v>0</v>
      </c>
      <c r="Z67" s="172">
        <f t="shared" si="78"/>
        <v>0</v>
      </c>
    </row>
    <row r="68" spans="1:26" ht="16.5" thickTop="1" thickBot="1" x14ac:dyDescent="0.3">
      <c r="A68" s="133" t="s">
        <v>88</v>
      </c>
      <c r="B68" s="178">
        <f>SUM(B62:B66)-B45</f>
        <v>-176.85702217797495</v>
      </c>
      <c r="C68" s="179">
        <f>SUM(C62:C66)-C45</f>
        <v>3539.64</v>
      </c>
      <c r="D68" s="179">
        <f t="shared" ref="D68:J68" si="79">SUM(D62:D66)-D45</f>
        <v>2392.5488369733366</v>
      </c>
      <c r="E68" s="179">
        <f t="shared" si="79"/>
        <v>7799.0857804280386</v>
      </c>
      <c r="F68" s="179">
        <f t="shared" si="79"/>
        <v>4294.1893028196419</v>
      </c>
      <c r="G68" s="179">
        <f>SUM(G62:G66)-G45</f>
        <v>-17849.307956825909</v>
      </c>
      <c r="H68" s="179">
        <f t="shared" si="79"/>
        <v>6.9479503549043784</v>
      </c>
      <c r="I68" s="179">
        <f t="shared" si="79"/>
        <v>-6.9544721285110427</v>
      </c>
      <c r="J68" s="179">
        <f t="shared" si="79"/>
        <v>2.0093414350412786E-3</v>
      </c>
      <c r="K68" s="179">
        <f t="shared" ref="K68:Y68" si="80">SUM(K62:K66)-K45</f>
        <v>4.6967761818450526E-4</v>
      </c>
      <c r="L68" s="171">
        <f t="shared" si="80"/>
        <v>0.15456604562814391</v>
      </c>
      <c r="M68" s="171">
        <f t="shared" si="80"/>
        <v>-1.4744802865607198E-4</v>
      </c>
      <c r="N68" s="171">
        <f t="shared" si="80"/>
        <v>1.5333303590523428E-3</v>
      </c>
      <c r="O68" s="171">
        <f t="shared" si="80"/>
        <v>-1.1573418059924734E-3</v>
      </c>
      <c r="P68" s="171">
        <f t="shared" si="80"/>
        <v>-4.0984383504110156E-3</v>
      </c>
      <c r="Q68" s="171">
        <f>SUM(Q62:Q66)-Q45</f>
        <v>4.7425678753825196E-3</v>
      </c>
      <c r="R68" s="171">
        <f t="shared" si="80"/>
        <v>-4.5037937447887089E-3</v>
      </c>
      <c r="S68" s="171">
        <f t="shared" si="80"/>
        <v>-5.0313633623773057E-3</v>
      </c>
      <c r="T68" s="171">
        <f t="shared" si="80"/>
        <v>-1.6875630549293419E-3</v>
      </c>
      <c r="U68" s="171">
        <f t="shared" si="80"/>
        <v>-2.4269455884677882E-3</v>
      </c>
      <c r="V68" s="171">
        <f t="shared" si="80"/>
        <v>-2.5248482520510152E-3</v>
      </c>
      <c r="W68" s="172">
        <f t="shared" si="80"/>
        <v>2.0855728253081907E-3</v>
      </c>
      <c r="X68" s="170">
        <f t="shared" si="80"/>
        <v>2.5800344767503702E-3</v>
      </c>
      <c r="Y68" s="171">
        <f t="shared" si="80"/>
        <v>5.4539252391805348E-4</v>
      </c>
      <c r="Z68" s="172">
        <f t="shared" ref="Z68" si="81">SUM(Z62:Z66)-Z45</f>
        <v>3.388326911135664E-4</v>
      </c>
    </row>
    <row r="69" spans="1:26" ht="15.75" thickTop="1" x14ac:dyDescent="0.25">
      <c r="B69" s="82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1"/>
      <c r="X69" s="20"/>
      <c r="Y69" s="29"/>
      <c r="Z69" s="21"/>
    </row>
    <row r="70" spans="1:26" x14ac:dyDescent="0.25">
      <c r="A70" t="s">
        <v>47</v>
      </c>
      <c r="B70" s="95">
        <f>(SUM(B19:B22)-SUM(B39:B43))+SUM(B62:B66)+A72</f>
        <v>411000.81297782238</v>
      </c>
      <c r="C70" s="96">
        <f>(SUM(C19:C22)-SUM(C39:C43))+SUM(C62:C66)+B70</f>
        <v>-2722980.6670221779</v>
      </c>
      <c r="D70" s="96">
        <f t="shared" ref="D70:Z70" si="82">(SUM(D19:D22)-SUM(D39:D43))+SUM(D62:D66)+C70</f>
        <v>-5256809.7381852046</v>
      </c>
      <c r="E70" s="96">
        <f t="shared" si="82"/>
        <v>-6673410.5224047769</v>
      </c>
      <c r="F70" s="96">
        <f t="shared" si="82"/>
        <v>-6866390.9031019574</v>
      </c>
      <c r="G70" s="96">
        <f t="shared" si="82"/>
        <v>-8256569.3210587827</v>
      </c>
      <c r="H70" s="96">
        <f>(SUM(H19:H22)-SUM(H39:H43))+SUM(H62:H66)+G70</f>
        <v>-9742889.1531084273</v>
      </c>
      <c r="I70" s="96">
        <f t="shared" si="82"/>
        <v>-10741412.457580555</v>
      </c>
      <c r="J70" s="96">
        <f t="shared" si="82"/>
        <v>-11924993.855571214</v>
      </c>
      <c r="K70" s="96">
        <f t="shared" si="82"/>
        <v>-12364183.765101537</v>
      </c>
      <c r="L70" s="96">
        <f t="shared" si="82"/>
        <v>-12845088.560535492</v>
      </c>
      <c r="M70" s="96">
        <f t="shared" si="82"/>
        <v>-12351975.420682941</v>
      </c>
      <c r="N70" s="96">
        <f t="shared" si="82"/>
        <v>-14554645.86914961</v>
      </c>
      <c r="O70" s="96">
        <f t="shared" si="82"/>
        <v>-16292486.270306952</v>
      </c>
      <c r="P70" s="96">
        <f t="shared" si="82"/>
        <v>-15593242.654405391</v>
      </c>
      <c r="Q70" s="96">
        <f t="shared" si="82"/>
        <v>-14614846.499662824</v>
      </c>
      <c r="R70" s="96">
        <f t="shared" si="82"/>
        <v>-12926583.314166619</v>
      </c>
      <c r="S70" s="96">
        <f t="shared" si="82"/>
        <v>-11481175.629197981</v>
      </c>
      <c r="T70" s="96">
        <f t="shared" si="82"/>
        <v>-10532089.470885543</v>
      </c>
      <c r="U70" s="96">
        <f t="shared" si="82"/>
        <v>-10490064.863312488</v>
      </c>
      <c r="V70" s="96">
        <f t="shared" si="82"/>
        <v>-9629809.8658373374</v>
      </c>
      <c r="W70" s="114">
        <f t="shared" si="82"/>
        <v>-8505293.6137517635</v>
      </c>
      <c r="X70" s="95">
        <f t="shared" si="82"/>
        <v>-6922223.6654867325</v>
      </c>
      <c r="Y70" s="96">
        <f t="shared" si="82"/>
        <v>-5220625.4430069812</v>
      </c>
      <c r="Z70" s="114">
        <f t="shared" si="82"/>
        <v>-5644176.6618483737</v>
      </c>
    </row>
    <row r="71" spans="1:26" x14ac:dyDescent="0.25">
      <c r="A71" t="s">
        <v>48</v>
      </c>
      <c r="B71" s="82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1"/>
      <c r="X71" s="20"/>
      <c r="Y71" s="29"/>
      <c r="Z71" s="21"/>
    </row>
    <row r="72" spans="1:26" ht="15.75" thickBot="1" x14ac:dyDescent="0.3">
      <c r="A72" s="49">
        <v>0</v>
      </c>
      <c r="B72" s="173"/>
      <c r="C72" s="180"/>
      <c r="D72" s="180"/>
      <c r="E72" s="180"/>
      <c r="F72" s="180"/>
      <c r="G72" s="180"/>
      <c r="H72" s="180"/>
      <c r="I72" s="180"/>
      <c r="J72" s="180"/>
      <c r="K72" s="180"/>
      <c r="L72" s="180"/>
      <c r="M72" s="180"/>
      <c r="N72" s="174"/>
      <c r="O72" s="174"/>
      <c r="P72" s="174"/>
      <c r="Q72" s="174"/>
      <c r="R72" s="174"/>
      <c r="S72" s="174"/>
      <c r="T72" s="174"/>
      <c r="U72" s="174"/>
      <c r="V72" s="174"/>
      <c r="W72" s="181"/>
      <c r="X72" s="173"/>
      <c r="Y72" s="174"/>
      <c r="Z72" s="175"/>
    </row>
    <row r="73" spans="1:26" x14ac:dyDescent="0.25">
      <c r="B73" s="94"/>
    </row>
    <row r="76" spans="1:26" x14ac:dyDescent="0.25">
      <c r="C76" s="8"/>
      <c r="D76" s="8"/>
      <c r="E76" s="8"/>
      <c r="F76" s="8"/>
      <c r="G76" s="8"/>
      <c r="H76" s="8"/>
    </row>
  </sheetData>
  <mergeCells count="1">
    <mergeCell ref="X17:Z1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7"/>
  <sheetViews>
    <sheetView workbookViewId="0"/>
  </sheetViews>
  <sheetFormatPr defaultRowHeight="15" x14ac:dyDescent="0.25"/>
  <cols>
    <col min="1" max="1" width="17.5703125" customWidth="1"/>
    <col min="2" max="2" width="19.28515625" customWidth="1"/>
    <col min="3" max="3" width="15.140625" customWidth="1"/>
    <col min="4" max="4" width="16.140625" customWidth="1"/>
    <col min="5" max="5" width="14.28515625" bestFit="1" customWidth="1"/>
    <col min="6" max="6" width="15.5703125" customWidth="1"/>
    <col min="7" max="7" width="17" bestFit="1" customWidth="1"/>
    <col min="8" max="8" width="14.28515625" bestFit="1" customWidth="1"/>
    <col min="9" max="9" width="15.85546875" customWidth="1"/>
    <col min="10" max="10" width="13.85546875" bestFit="1" customWidth="1"/>
  </cols>
  <sheetData>
    <row r="1" spans="1:12" ht="16.5" thickTop="1" thickBot="1" x14ac:dyDescent="0.3">
      <c r="A1" s="9" t="s">
        <v>53</v>
      </c>
      <c r="D1" s="101"/>
      <c r="E1" s="198" t="s">
        <v>71</v>
      </c>
      <c r="F1" s="67">
        <v>661175</v>
      </c>
      <c r="G1" s="68">
        <v>384161.51217829372</v>
      </c>
      <c r="H1" s="69">
        <v>19857</v>
      </c>
      <c r="I1" s="88">
        <f>SUM(F1:H1)</f>
        <v>1065193.5121782937</v>
      </c>
    </row>
    <row r="2" spans="1:12" ht="16.5" thickTop="1" thickBot="1" x14ac:dyDescent="0.3">
      <c r="B2" s="213" t="s">
        <v>19</v>
      </c>
      <c r="C2" s="213"/>
      <c r="E2" s="66" t="s">
        <v>38</v>
      </c>
      <c r="F2" s="70">
        <f>F1/SUM($F$1:$H$1)</f>
        <v>0.62070881247475296</v>
      </c>
      <c r="G2" s="71">
        <f t="shared" ref="G2:H2" si="0">G1/SUM($F$1:$H$1)</f>
        <v>0.36064950432592591</v>
      </c>
      <c r="H2" s="72">
        <f t="shared" si="0"/>
        <v>1.8641683199321163E-2</v>
      </c>
      <c r="K2" s="3" t="s">
        <v>101</v>
      </c>
      <c r="L2" s="101"/>
    </row>
    <row r="3" spans="1:12" x14ac:dyDescent="0.25">
      <c r="B3" s="199" t="s">
        <v>100</v>
      </c>
      <c r="C3" s="6" t="s">
        <v>41</v>
      </c>
      <c r="E3" s="25"/>
      <c r="F3" s="50" t="s">
        <v>0</v>
      </c>
      <c r="G3" s="50" t="s">
        <v>1</v>
      </c>
      <c r="H3" s="51" t="s">
        <v>2</v>
      </c>
      <c r="I3" s="6"/>
      <c r="K3" s="144" t="s">
        <v>49</v>
      </c>
      <c r="L3" s="101"/>
    </row>
    <row r="4" spans="1:12" x14ac:dyDescent="0.25">
      <c r="A4" s="37" t="s">
        <v>69</v>
      </c>
      <c r="B4" s="58">
        <v>182215</v>
      </c>
      <c r="C4" s="60">
        <f>SUM(F11:I11)</f>
        <v>33418362.891407426</v>
      </c>
      <c r="D4" s="4"/>
      <c r="E4" s="41"/>
      <c r="F4" s="73">
        <v>1</v>
      </c>
      <c r="G4" s="73">
        <v>0</v>
      </c>
      <c r="H4" s="44">
        <f>B4/SUM($B$4:$B$8)</f>
        <v>0.52909953047008151</v>
      </c>
      <c r="I4" s="5"/>
      <c r="K4" s="144" t="s">
        <v>102</v>
      </c>
      <c r="L4" s="101"/>
    </row>
    <row r="5" spans="1:12" x14ac:dyDescent="0.25">
      <c r="A5" s="37" t="s">
        <v>4</v>
      </c>
      <c r="B5" s="59">
        <f>$B$12*TDR!AB30</f>
        <v>19183.574892338907</v>
      </c>
      <c r="C5" s="60">
        <f>SUM(F12:I12)</f>
        <v>2315974.3532019993</v>
      </c>
      <c r="E5" s="41"/>
      <c r="F5" s="73">
        <v>0</v>
      </c>
      <c r="G5" s="43">
        <f>B5/SUM($B$5:$B$8)</f>
        <v>0.11829153548293729</v>
      </c>
      <c r="H5" s="44">
        <f t="shared" ref="H5:H8" si="1">B5/SUM($B$4:$B$8)</f>
        <v>5.5703539600330164E-2</v>
      </c>
      <c r="I5" s="5"/>
      <c r="K5" s="3" t="s">
        <v>94</v>
      </c>
    </row>
    <row r="6" spans="1:12" x14ac:dyDescent="0.25">
      <c r="A6" s="37" t="s">
        <v>5</v>
      </c>
      <c r="B6" s="59">
        <f>$B$12*TDR!AB31</f>
        <v>92755.33559512168</v>
      </c>
      <c r="C6" s="60">
        <f>SUM(F13:I13)</f>
        <v>11198068.116424732</v>
      </c>
      <c r="D6" s="4"/>
      <c r="E6" s="41"/>
      <c r="F6" s="73">
        <v>0</v>
      </c>
      <c r="G6" s="43">
        <f t="shared" ref="G6:G8" si="2">B6/SUM($B$5:$B$8)</f>
        <v>0.57195653747331032</v>
      </c>
      <c r="H6" s="44">
        <f t="shared" si="1"/>
        <v>0.26933460204688814</v>
      </c>
      <c r="K6" s="3"/>
    </row>
    <row r="7" spans="1:12" x14ac:dyDescent="0.25">
      <c r="A7" s="37" t="s">
        <v>6</v>
      </c>
      <c r="B7" s="59">
        <f>$B$12*TDR!AB32</f>
        <v>29396.71942966745</v>
      </c>
      <c r="C7" s="60">
        <f>SUM(F14:I14)</f>
        <v>3548976.0719506848</v>
      </c>
      <c r="D7" s="4"/>
      <c r="E7" s="41"/>
      <c r="F7" s="73">
        <v>0</v>
      </c>
      <c r="G7" s="43">
        <f t="shared" si="2"/>
        <v>0.1812687728440634</v>
      </c>
      <c r="H7" s="44">
        <f t="shared" si="1"/>
        <v>8.5359550243381557E-2</v>
      </c>
      <c r="K7" s="3"/>
    </row>
    <row r="8" spans="1:12" ht="15.75" thickBot="1" x14ac:dyDescent="0.3">
      <c r="A8" s="37" t="s">
        <v>7</v>
      </c>
      <c r="B8" s="59">
        <f>$B$12*TDR!AB33</f>
        <v>20836.370082871967</v>
      </c>
      <c r="C8" s="60">
        <f>SUM(F15:I15)</f>
        <v>2515511.2640151577</v>
      </c>
      <c r="D8" s="4"/>
      <c r="E8" s="41"/>
      <c r="F8" s="73">
        <v>0</v>
      </c>
      <c r="G8" s="43">
        <f t="shared" si="2"/>
        <v>0.128483154199689</v>
      </c>
      <c r="H8" s="44">
        <f t="shared" si="1"/>
        <v>6.0502777639318453E-2</v>
      </c>
    </row>
    <row r="9" spans="1:12" ht="16.5" thickTop="1" thickBot="1" x14ac:dyDescent="0.3">
      <c r="A9" s="37" t="s">
        <v>14</v>
      </c>
      <c r="B9" s="59">
        <f>SUM(B4:B8)</f>
        <v>344387.00000000006</v>
      </c>
      <c r="C9" s="40">
        <f>SUM(C4:C8)</f>
        <v>52996892.696999997</v>
      </c>
      <c r="D9" s="4"/>
      <c r="E9" s="53" t="s">
        <v>43</v>
      </c>
      <c r="F9" s="36">
        <f>1-SUM(F4:F8)</f>
        <v>0</v>
      </c>
      <c r="G9" s="36">
        <f t="shared" ref="G9:H9" si="3">1-SUM(G4:G8)</f>
        <v>0</v>
      </c>
      <c r="H9" s="52">
        <f t="shared" si="3"/>
        <v>0</v>
      </c>
      <c r="I9" s="6" t="s">
        <v>95</v>
      </c>
    </row>
    <row r="10" spans="1:12" ht="16.5" thickTop="1" thickBot="1" x14ac:dyDescent="0.3">
      <c r="B10" s="57"/>
      <c r="C10" s="36">
        <f>C9-E30</f>
        <v>52996892.696999997</v>
      </c>
      <c r="D10" s="4"/>
      <c r="E10" s="56" t="s">
        <v>14</v>
      </c>
      <c r="F10" s="47">
        <f>F2*$I$10</f>
        <v>32895638.330806777</v>
      </c>
      <c r="G10" s="47">
        <f>G2*$I$10</f>
        <v>19113303.081987333</v>
      </c>
      <c r="H10" s="48">
        <f>H2*$I$10</f>
        <v>987951.28420589131</v>
      </c>
      <c r="I10" s="84">
        <f>58885436.33*0.9</f>
        <v>52996892.696999997</v>
      </c>
    </row>
    <row r="11" spans="1:12" ht="15.75" thickTop="1" x14ac:dyDescent="0.25">
      <c r="D11" s="4"/>
      <c r="E11" s="41" t="s">
        <v>0</v>
      </c>
      <c r="F11" s="54">
        <f>F4*F10</f>
        <v>32895638.330806777</v>
      </c>
      <c r="G11" s="54">
        <f>G4*G$9</f>
        <v>0</v>
      </c>
      <c r="H11" s="55">
        <f>H4*H$10</f>
        <v>522724.56060065114</v>
      </c>
    </row>
    <row r="12" spans="1:12" x14ac:dyDescent="0.25">
      <c r="A12" s="89" t="s">
        <v>70</v>
      </c>
      <c r="B12" s="58">
        <v>162172</v>
      </c>
      <c r="D12" s="4"/>
      <c r="E12" s="41" t="s">
        <v>4</v>
      </c>
      <c r="F12" s="45">
        <f t="shared" ref="F12:F15" si="4">F5*F11</f>
        <v>0</v>
      </c>
      <c r="G12" s="45">
        <f>G$10*G5</f>
        <v>2260941.9697190393</v>
      </c>
      <c r="H12" s="46">
        <f>H5*H$10</f>
        <v>55032.383482959907</v>
      </c>
      <c r="I12" s="146"/>
      <c r="J12" s="135"/>
    </row>
    <row r="13" spans="1:12" x14ac:dyDescent="0.25">
      <c r="D13" s="4"/>
      <c r="E13" s="41" t="s">
        <v>5</v>
      </c>
      <c r="F13" s="45">
        <f t="shared" si="4"/>
        <v>0</v>
      </c>
      <c r="G13" s="45">
        <f t="shared" ref="G13:G15" si="5">G$10*G6</f>
        <v>10931978.650451425</v>
      </c>
      <c r="H13" s="46">
        <f t="shared" ref="H13:H15" si="6">H6*H$10</f>
        <v>266089.46597330581</v>
      </c>
      <c r="I13" s="4"/>
    </row>
    <row r="14" spans="1:12" x14ac:dyDescent="0.25">
      <c r="D14" s="4"/>
      <c r="E14" s="41" t="s">
        <v>6</v>
      </c>
      <c r="F14" s="45">
        <f t="shared" si="4"/>
        <v>0</v>
      </c>
      <c r="G14" s="45">
        <f t="shared" si="5"/>
        <v>3464644.9946684986</v>
      </c>
      <c r="H14" s="46">
        <f t="shared" si="6"/>
        <v>84331.077282186117</v>
      </c>
      <c r="I14" s="4"/>
    </row>
    <row r="15" spans="1:12" ht="15.75" thickBot="1" x14ac:dyDescent="0.3">
      <c r="D15" s="4"/>
      <c r="E15" s="42" t="s">
        <v>7</v>
      </c>
      <c r="F15" s="47">
        <f t="shared" si="4"/>
        <v>0</v>
      </c>
      <c r="G15" s="47">
        <f t="shared" si="5"/>
        <v>2455737.4671483696</v>
      </c>
      <c r="H15" s="48">
        <f t="shared" si="6"/>
        <v>59773.796866788151</v>
      </c>
      <c r="I15" s="4"/>
    </row>
    <row r="16" spans="1:12" x14ac:dyDescent="0.25">
      <c r="F16" s="38"/>
      <c r="G16" s="38"/>
      <c r="H16" s="38"/>
    </row>
    <row r="18" spans="10:32" x14ac:dyDescent="0.25"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27" spans="10:32" x14ac:dyDescent="0.25">
      <c r="J27" s="160"/>
    </row>
    <row r="53" spans="2:4" x14ac:dyDescent="0.25">
      <c r="B53" s="8"/>
      <c r="C53" s="8"/>
      <c r="D53" s="8"/>
    </row>
    <row r="57" spans="2:4" x14ac:dyDescent="0.25">
      <c r="B57" s="8"/>
      <c r="C57" s="8"/>
      <c r="D57" s="8"/>
    </row>
  </sheetData>
  <mergeCells count="1">
    <mergeCell ref="B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83"/>
  <sheetViews>
    <sheetView zoomScaleNormal="100" workbookViewId="0"/>
  </sheetViews>
  <sheetFormatPr defaultRowHeight="15" x14ac:dyDescent="0.25"/>
  <cols>
    <col min="1" max="1" width="17.5703125" customWidth="1"/>
    <col min="2" max="2" width="15.140625" customWidth="1"/>
    <col min="3" max="3" width="14.5703125" customWidth="1"/>
    <col min="4" max="4" width="15.140625" customWidth="1"/>
    <col min="5" max="5" width="16.140625" customWidth="1"/>
    <col min="6" max="6" width="14.28515625" bestFit="1" customWidth="1"/>
    <col min="7" max="7" width="16" customWidth="1"/>
    <col min="8" max="9" width="14.28515625" bestFit="1" customWidth="1"/>
    <col min="10" max="10" width="15.5703125" customWidth="1"/>
    <col min="11" max="11" width="14" customWidth="1"/>
    <col min="12" max="12" width="17" bestFit="1" customWidth="1"/>
    <col min="13" max="27" width="17.28515625" customWidth="1"/>
  </cols>
  <sheetData>
    <row r="2" spans="1:25" x14ac:dyDescent="0.25">
      <c r="B2" s="3" t="s">
        <v>40</v>
      </c>
      <c r="I2" s="3" t="s">
        <v>44</v>
      </c>
    </row>
    <row r="3" spans="1:25" x14ac:dyDescent="0.25">
      <c r="B3" s="6" t="s">
        <v>9</v>
      </c>
      <c r="C3" s="6" t="s">
        <v>97</v>
      </c>
      <c r="D3" s="6" t="s">
        <v>36</v>
      </c>
      <c r="E3" s="6" t="s">
        <v>10</v>
      </c>
      <c r="F3" s="6" t="s">
        <v>42</v>
      </c>
      <c r="G3" s="6" t="s">
        <v>39</v>
      </c>
      <c r="I3" s="144" t="s">
        <v>72</v>
      </c>
      <c r="J3" s="101"/>
      <c r="K3" s="101"/>
      <c r="L3" s="101"/>
      <c r="N3" s="6"/>
    </row>
    <row r="4" spans="1:25" x14ac:dyDescent="0.25">
      <c r="A4" s="37" t="s">
        <v>0</v>
      </c>
      <c r="B4" s="40">
        <f>SUM(B22:Z22)</f>
        <v>47591040.267402224</v>
      </c>
      <c r="C4" s="79">
        <f>SUM(B29:Z29)</f>
        <v>498816.00563006208</v>
      </c>
      <c r="D4" s="40">
        <f>SUM(B40:Z40)</f>
        <v>58619306.121386863</v>
      </c>
      <c r="E4" s="40">
        <f>D4-B4</f>
        <v>11028265.853984639</v>
      </c>
      <c r="F4" s="40">
        <f>SUM(B64:Z64)</f>
        <v>227.72598725526814</v>
      </c>
      <c r="G4" s="60">
        <f>E4+F4</f>
        <v>11028493.579971895</v>
      </c>
      <c r="I4" s="144" t="s">
        <v>73</v>
      </c>
      <c r="J4" s="101"/>
      <c r="K4" s="101"/>
      <c r="L4" s="101"/>
    </row>
    <row r="5" spans="1:25" x14ac:dyDescent="0.25">
      <c r="A5" s="37" t="s">
        <v>4</v>
      </c>
      <c r="B5" s="40">
        <f>SUM(B23:Z23)</f>
        <v>4358954.1690607946</v>
      </c>
      <c r="C5" s="79">
        <f>SUM(B30:Z30)</f>
        <v>26150.000000000102</v>
      </c>
      <c r="D5" s="40">
        <f>SUM(B41:Z41)</f>
        <v>4070599.993722145</v>
      </c>
      <c r="E5" s="40">
        <f t="shared" ref="E5:E8" si="0">D5-B5</f>
        <v>-288354.17533864966</v>
      </c>
      <c r="F5" s="40">
        <f>SUM(B65:Z65)</f>
        <v>33158.557034332684</v>
      </c>
      <c r="G5" s="60">
        <f t="shared" ref="G5:G8" si="1">E5+F5</f>
        <v>-255195.61830431697</v>
      </c>
      <c r="I5" s="144" t="s">
        <v>98</v>
      </c>
      <c r="J5" s="101"/>
      <c r="K5" s="101"/>
      <c r="L5" s="101"/>
    </row>
    <row r="6" spans="1:25" x14ac:dyDescent="0.25">
      <c r="A6" s="37" t="s">
        <v>5</v>
      </c>
      <c r="B6" s="40">
        <f>SUM(B24:Z24)</f>
        <v>17229596.203354187</v>
      </c>
      <c r="C6" s="79">
        <f>SUM(B31:Z31)</f>
        <v>126439.0000000001</v>
      </c>
      <c r="D6" s="40">
        <f>SUM(B42:Z42)</f>
        <v>19567615.830944214</v>
      </c>
      <c r="E6" s="40">
        <f t="shared" si="0"/>
        <v>2338019.6275900267</v>
      </c>
      <c r="F6" s="40">
        <f>SUM(B66:Z66)</f>
        <v>40260.795253257143</v>
      </c>
      <c r="G6" s="60">
        <f t="shared" si="1"/>
        <v>2378280.422843284</v>
      </c>
      <c r="I6" s="144" t="s">
        <v>74</v>
      </c>
      <c r="J6" s="101"/>
      <c r="K6" s="101"/>
      <c r="L6" s="101"/>
    </row>
    <row r="7" spans="1:25" x14ac:dyDescent="0.25">
      <c r="A7" s="37" t="s">
        <v>6</v>
      </c>
      <c r="B7" s="40">
        <f>SUM(B25:Z25)</f>
        <v>6435786.0420656241</v>
      </c>
      <c r="C7" s="79">
        <f>SUM(B32:Z32)</f>
        <v>40072.000000000102</v>
      </c>
      <c r="D7" s="40">
        <f>SUM(B43:Z43)</f>
        <v>6260781.5538832713</v>
      </c>
      <c r="E7" s="40">
        <f t="shared" si="0"/>
        <v>-175004.48818235286</v>
      </c>
      <c r="F7" s="40">
        <f>SUM(B67:Z67)</f>
        <v>-23525.525953440265</v>
      </c>
      <c r="G7" s="60">
        <f t="shared" si="1"/>
        <v>-198530.01413579311</v>
      </c>
      <c r="I7" s="144" t="s">
        <v>75</v>
      </c>
      <c r="J7" s="101"/>
      <c r="K7" s="101"/>
      <c r="L7" s="101"/>
    </row>
    <row r="8" spans="1:25" ht="15.75" thickBot="1" x14ac:dyDescent="0.3">
      <c r="A8" s="37" t="s">
        <v>7</v>
      </c>
      <c r="B8" s="40">
        <f>SUM(B26:Z26)</f>
        <v>3510338.3245146456</v>
      </c>
      <c r="C8" s="79">
        <f>SUM(B33:Z33)</f>
        <v>28403.000000000102</v>
      </c>
      <c r="D8" s="40">
        <f>SUM(B44:Z44)</f>
        <v>4047835.130063503</v>
      </c>
      <c r="E8" s="40">
        <f t="shared" si="0"/>
        <v>537496.80554885743</v>
      </c>
      <c r="F8" s="40">
        <f>SUM(B68:Z68)</f>
        <v>-35267.468216791938</v>
      </c>
      <c r="G8" s="60">
        <f t="shared" si="1"/>
        <v>502229.33733206551</v>
      </c>
      <c r="I8" s="3" t="s">
        <v>76</v>
      </c>
    </row>
    <row r="9" spans="1:25" ht="16.5" thickTop="1" thickBot="1" x14ac:dyDescent="0.3">
      <c r="B9" s="74">
        <f t="shared" ref="B9:G9" si="2">SUM(B4:B8)</f>
        <v>79125715.006397471</v>
      </c>
      <c r="C9" s="79">
        <f t="shared" si="2"/>
        <v>719880.00563006254</v>
      </c>
      <c r="D9" s="74">
        <f t="shared" si="2"/>
        <v>92566138.629999995</v>
      </c>
      <c r="E9" s="74">
        <f t="shared" si="2"/>
        <v>13440423.623602521</v>
      </c>
      <c r="F9" s="40">
        <f t="shared" si="2"/>
        <v>14854.084104612884</v>
      </c>
      <c r="G9" s="74">
        <f t="shared" si="2"/>
        <v>13455277.707707133</v>
      </c>
      <c r="I9" s="3" t="s">
        <v>99</v>
      </c>
      <c r="O9" s="5"/>
    </row>
    <row r="10" spans="1:25" ht="16.5" thickTop="1" thickBot="1" x14ac:dyDescent="0.3">
      <c r="F10" s="36">
        <f>F9-SUM(B47:Z47)</f>
        <v>4.1046128571906593E-3</v>
      </c>
      <c r="I10" s="144" t="s">
        <v>84</v>
      </c>
      <c r="J10" s="101"/>
      <c r="K10" s="101"/>
      <c r="L10" s="101"/>
    </row>
    <row r="11" spans="1:25" ht="15.75" thickTop="1" x14ac:dyDescent="0.25">
      <c r="E11" s="4"/>
      <c r="F11" s="4"/>
    </row>
    <row r="12" spans="1:25" x14ac:dyDescent="0.25"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</row>
    <row r="13" spans="1:25" x14ac:dyDescent="0.25"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</row>
    <row r="14" spans="1:25" x14ac:dyDescent="0.25"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</row>
    <row r="15" spans="1:25" x14ac:dyDescent="0.25"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</row>
    <row r="16" spans="1:25" ht="15.75" thickBot="1" x14ac:dyDescent="0.3"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</row>
    <row r="17" spans="1:37" ht="15.75" thickBot="1" x14ac:dyDescent="0.3">
      <c r="B17" s="153"/>
      <c r="C17" s="154"/>
      <c r="D17" s="155" t="s">
        <v>86</v>
      </c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6"/>
      <c r="X17" s="214" t="s">
        <v>35</v>
      </c>
      <c r="Y17" s="215"/>
      <c r="Z17" s="216"/>
    </row>
    <row r="18" spans="1:37" x14ac:dyDescent="0.25">
      <c r="A18" t="s">
        <v>77</v>
      </c>
      <c r="B18" s="23">
        <v>41275</v>
      </c>
      <c r="C18" s="34">
        <f t="shared" ref="C18:K18" si="3">EDATE(B18,1)</f>
        <v>41306</v>
      </c>
      <c r="D18" s="34">
        <f t="shared" si="3"/>
        <v>41334</v>
      </c>
      <c r="E18" s="34">
        <f t="shared" si="3"/>
        <v>41365</v>
      </c>
      <c r="F18" s="34">
        <f t="shared" si="3"/>
        <v>41395</v>
      </c>
      <c r="G18" s="34">
        <f t="shared" si="3"/>
        <v>41426</v>
      </c>
      <c r="H18" s="34">
        <f t="shared" si="3"/>
        <v>41456</v>
      </c>
      <c r="I18" s="34">
        <f t="shared" si="3"/>
        <v>41487</v>
      </c>
      <c r="J18" s="34">
        <f t="shared" si="3"/>
        <v>41518</v>
      </c>
      <c r="K18" s="34">
        <f t="shared" si="3"/>
        <v>41548</v>
      </c>
      <c r="L18" s="34">
        <f t="shared" ref="L18" si="4">EDATE(K18,1)</f>
        <v>41579</v>
      </c>
      <c r="M18" s="34">
        <f t="shared" ref="M18" si="5">EDATE(L18,1)</f>
        <v>41609</v>
      </c>
      <c r="N18" s="34">
        <f t="shared" ref="N18" si="6">EDATE(M18,1)</f>
        <v>41640</v>
      </c>
      <c r="O18" s="34">
        <f t="shared" ref="O18" si="7">EDATE(N18,1)</f>
        <v>41671</v>
      </c>
      <c r="P18" s="34">
        <f t="shared" ref="P18" si="8">EDATE(O18,1)</f>
        <v>41699</v>
      </c>
      <c r="Q18" s="34">
        <f t="shared" ref="Q18" si="9">EDATE(P18,1)</f>
        <v>41730</v>
      </c>
      <c r="R18" s="34">
        <f t="shared" ref="R18" si="10">EDATE(Q18,1)</f>
        <v>41760</v>
      </c>
      <c r="S18" s="34">
        <f t="shared" ref="S18" si="11">EDATE(R18,1)</f>
        <v>41791</v>
      </c>
      <c r="T18" s="34">
        <f t="shared" ref="T18" si="12">EDATE(S18,1)</f>
        <v>41821</v>
      </c>
      <c r="U18" s="34">
        <f t="shared" ref="U18" si="13">EDATE(T18,1)</f>
        <v>41852</v>
      </c>
      <c r="V18" s="34">
        <f t="shared" ref="V18" si="14">EDATE(U18,1)</f>
        <v>41883</v>
      </c>
      <c r="W18" s="34">
        <f t="shared" ref="W18" si="15">EDATE(V18,1)</f>
        <v>41913</v>
      </c>
      <c r="X18" s="23">
        <f t="shared" ref="X18:Z18" si="16">EDATE(W18,1)</f>
        <v>41944</v>
      </c>
      <c r="Y18" s="34">
        <f t="shared" ref="Y18" si="17">EDATE(X18,1)</f>
        <v>41974</v>
      </c>
      <c r="Z18" s="24">
        <f t="shared" si="16"/>
        <v>42005</v>
      </c>
      <c r="AB18" s="1"/>
      <c r="AC18" s="1"/>
      <c r="AD18" s="1"/>
      <c r="AE18" s="1"/>
      <c r="AF18" s="1"/>
      <c r="AG18" s="1"/>
      <c r="AH18" s="1"/>
      <c r="AI18" s="1"/>
      <c r="AJ18" s="1"/>
      <c r="AK18" s="1"/>
    </row>
    <row r="19" spans="1:37" x14ac:dyDescent="0.25">
      <c r="A19" t="s">
        <v>14</v>
      </c>
      <c r="B19" s="136">
        <v>-317741.14</v>
      </c>
      <c r="C19" s="137">
        <v>1019567.37</v>
      </c>
      <c r="D19" s="137">
        <v>1178656.3799999999</v>
      </c>
      <c r="E19" s="137">
        <v>1462879.64</v>
      </c>
      <c r="F19" s="137">
        <v>3433939.67</v>
      </c>
      <c r="G19" s="137">
        <v>2346012.9</v>
      </c>
      <c r="H19" s="137">
        <v>3687760.97</v>
      </c>
      <c r="I19" s="137">
        <v>2735167.93</v>
      </c>
      <c r="J19" s="84">
        <v>4479801.6900000004</v>
      </c>
      <c r="K19" s="84">
        <v>7082385.5</v>
      </c>
      <c r="L19" s="84">
        <v>4938505.47</v>
      </c>
      <c r="M19" s="84">
        <v>5095234.7</v>
      </c>
      <c r="N19" s="84">
        <v>2389801.65</v>
      </c>
      <c r="O19" s="84">
        <v>3574073.61</v>
      </c>
      <c r="P19" s="84">
        <v>3199891.14</v>
      </c>
      <c r="Q19" s="84">
        <v>3729139.92</v>
      </c>
      <c r="R19" s="84">
        <v>4264770.67</v>
      </c>
      <c r="S19" s="84">
        <v>4565038.71</v>
      </c>
      <c r="T19" s="84">
        <v>4816229.07</v>
      </c>
      <c r="U19" s="84">
        <v>5892743.0199999996</v>
      </c>
      <c r="V19" s="84">
        <v>4527945.4000000004</v>
      </c>
      <c r="W19" s="85">
        <v>4170502.86</v>
      </c>
      <c r="X19" s="80">
        <v>4945250.29</v>
      </c>
      <c r="Y19" s="151">
        <v>5184640.91</v>
      </c>
      <c r="Z19" s="81">
        <v>4163940.3</v>
      </c>
      <c r="AA19" s="101"/>
    </row>
    <row r="20" spans="1:37" x14ac:dyDescent="0.25">
      <c r="B20" s="20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82"/>
      <c r="Y20" s="91"/>
      <c r="Z20" s="21"/>
    </row>
    <row r="21" spans="1:37" x14ac:dyDescent="0.25">
      <c r="A21" t="s">
        <v>78</v>
      </c>
      <c r="B21" s="20"/>
      <c r="C21" s="29"/>
      <c r="D21" s="30" t="s">
        <v>16</v>
      </c>
      <c r="E21" s="29"/>
      <c r="F21" s="29"/>
      <c r="G21" s="29"/>
      <c r="H21" s="29"/>
      <c r="I21" s="29"/>
      <c r="J21" s="29"/>
      <c r="K21" s="29"/>
      <c r="L21" s="29"/>
      <c r="M21" s="29"/>
      <c r="N21" s="91"/>
      <c r="O21" s="29"/>
      <c r="P21" s="29"/>
      <c r="Q21" s="29"/>
      <c r="R21" s="29"/>
      <c r="S21" s="29"/>
      <c r="T21" s="29"/>
      <c r="U21" s="29"/>
      <c r="V21" s="29"/>
      <c r="W21" s="29"/>
      <c r="X21" s="82"/>
      <c r="Y21" s="91"/>
      <c r="Z21" s="21"/>
      <c r="AA21" s="3" t="s">
        <v>81</v>
      </c>
    </row>
    <row r="22" spans="1:37" x14ac:dyDescent="0.25">
      <c r="A22" t="s">
        <v>0</v>
      </c>
      <c r="B22" s="136">
        <v>816215.33</v>
      </c>
      <c r="C22" s="137">
        <v>1754106.03</v>
      </c>
      <c r="D22" s="137">
        <v>1736547.72</v>
      </c>
      <c r="E22" s="137">
        <v>1448951.69</v>
      </c>
      <c r="F22" s="137">
        <v>1130882.8600000001</v>
      </c>
      <c r="G22" s="137">
        <v>1322188.51</v>
      </c>
      <c r="H22" s="137">
        <v>1780601.04</v>
      </c>
      <c r="I22" s="137">
        <v>1634214.86</v>
      </c>
      <c r="J22" s="137">
        <v>1790818.91</v>
      </c>
      <c r="K22" s="137">
        <v>1245252.4099999999</v>
      </c>
      <c r="L22" s="137">
        <v>1186284.1200000001</v>
      </c>
      <c r="M22" s="137">
        <v>1791546.15</v>
      </c>
      <c r="N22" s="137">
        <v>2387799.9900000002</v>
      </c>
      <c r="O22" s="137">
        <v>3120050.2</v>
      </c>
      <c r="P22" s="137">
        <v>2606540.6</v>
      </c>
      <c r="Q22" s="137">
        <v>1873553.01</v>
      </c>
      <c r="R22" s="137">
        <v>1600693.42</v>
      </c>
      <c r="S22" s="137">
        <v>2085677.23</v>
      </c>
      <c r="T22" s="137">
        <v>2528428.0699999998</v>
      </c>
      <c r="U22" s="137">
        <v>2330344.02</v>
      </c>
      <c r="V22" s="137">
        <v>2489463.16</v>
      </c>
      <c r="W22" s="123">
        <v>1590762.46</v>
      </c>
      <c r="X22" s="80">
        <f>PCR!X32*TDR!$AA22</f>
        <v>1656551.3854339814</v>
      </c>
      <c r="Y22" s="151">
        <f>PCR!Y32*TDR!$AA22</f>
        <v>2384936.97959186</v>
      </c>
      <c r="Z22" s="81">
        <f>PCR!Z32*TDR!$AA22</f>
        <v>3298630.1123763816</v>
      </c>
      <c r="AA22" s="115">
        <v>2.0249999999999999E-3</v>
      </c>
      <c r="AB22" s="182"/>
    </row>
    <row r="23" spans="1:37" x14ac:dyDescent="0.25">
      <c r="A23" t="s">
        <v>4</v>
      </c>
      <c r="B23" s="136">
        <v>25218.97</v>
      </c>
      <c r="C23" s="137">
        <v>58999.11</v>
      </c>
      <c r="D23" s="137">
        <v>58441.97</v>
      </c>
      <c r="E23" s="137">
        <v>54691.28</v>
      </c>
      <c r="F23" s="137">
        <v>48331.37</v>
      </c>
      <c r="G23" s="137">
        <v>54583.05</v>
      </c>
      <c r="H23" s="137">
        <v>63696.88</v>
      </c>
      <c r="I23" s="137">
        <v>60628.78</v>
      </c>
      <c r="J23" s="137">
        <v>64083.38</v>
      </c>
      <c r="K23" s="137">
        <v>54100.39</v>
      </c>
      <c r="L23" s="137">
        <v>49728.07</v>
      </c>
      <c r="M23" s="137">
        <v>60510.37</v>
      </c>
      <c r="N23" s="137">
        <v>94584.45</v>
      </c>
      <c r="O23" s="137">
        <v>350769.76</v>
      </c>
      <c r="P23" s="137">
        <v>313677.5</v>
      </c>
      <c r="Q23" s="137">
        <v>265733.78000000003</v>
      </c>
      <c r="R23" s="137">
        <v>253559.23</v>
      </c>
      <c r="S23" s="137">
        <v>289888.46000000002</v>
      </c>
      <c r="T23" s="137">
        <v>323303.31</v>
      </c>
      <c r="U23" s="137">
        <v>306030.25</v>
      </c>
      <c r="V23" s="137">
        <v>322433.43</v>
      </c>
      <c r="W23" s="123">
        <v>257746.51</v>
      </c>
      <c r="X23" s="80">
        <f>PCR!X33*TDR!$AA23</f>
        <v>258456.10956805074</v>
      </c>
      <c r="Y23" s="151">
        <f>PCR!Y33*TDR!$AA23</f>
        <v>306425.44280291541</v>
      </c>
      <c r="Z23" s="81">
        <f>PCR!Z33*TDR!$AA23</f>
        <v>363332.31668982771</v>
      </c>
      <c r="AA23" s="115">
        <v>1.0349999999999999E-3</v>
      </c>
      <c r="AB23" s="182"/>
    </row>
    <row r="24" spans="1:37" x14ac:dyDescent="0.25">
      <c r="A24" t="s">
        <v>5</v>
      </c>
      <c r="B24" s="136">
        <v>173455.69</v>
      </c>
      <c r="C24" s="137">
        <v>439040.55</v>
      </c>
      <c r="D24" s="137">
        <v>436337.21</v>
      </c>
      <c r="E24" s="137">
        <v>433604.83</v>
      </c>
      <c r="F24" s="137">
        <v>414616.35</v>
      </c>
      <c r="G24" s="137">
        <v>465022.2</v>
      </c>
      <c r="H24" s="137">
        <v>503684.97</v>
      </c>
      <c r="I24" s="137">
        <v>493318.13</v>
      </c>
      <c r="J24" s="137">
        <v>524681.42000000004</v>
      </c>
      <c r="K24" s="137">
        <v>462766.7</v>
      </c>
      <c r="L24" s="137">
        <v>420207.97</v>
      </c>
      <c r="M24" s="137">
        <v>460503.55</v>
      </c>
      <c r="N24" s="137">
        <v>535350.63</v>
      </c>
      <c r="O24" s="137">
        <v>972808.34</v>
      </c>
      <c r="P24" s="137">
        <v>919496.39</v>
      </c>
      <c r="Q24" s="137">
        <v>853750.54</v>
      </c>
      <c r="R24" s="137">
        <v>875453.68</v>
      </c>
      <c r="S24" s="137">
        <v>978819.32</v>
      </c>
      <c r="T24" s="137">
        <v>1040883.85</v>
      </c>
      <c r="U24" s="137">
        <v>1000278.3</v>
      </c>
      <c r="V24" s="137">
        <v>1072482.3899999999</v>
      </c>
      <c r="W24" s="123">
        <v>909964.79</v>
      </c>
      <c r="X24" s="80">
        <f>PCR!X34*TDR!$AA24</f>
        <v>864533.63418347959</v>
      </c>
      <c r="Y24" s="151">
        <f>PCR!Y34*TDR!$AA24</f>
        <v>936226.8113503796</v>
      </c>
      <c r="Z24" s="81">
        <f>PCR!Z34*TDR!$AA24</f>
        <v>1042307.9578203278</v>
      </c>
      <c r="AA24" s="115">
        <v>1.439E-3</v>
      </c>
      <c r="AB24" s="182"/>
    </row>
    <row r="25" spans="1:37" x14ac:dyDescent="0.25">
      <c r="A25" t="s">
        <v>6</v>
      </c>
      <c r="B25" s="136">
        <v>63959.55</v>
      </c>
      <c r="C25" s="137">
        <v>209971.93</v>
      </c>
      <c r="D25" s="137">
        <v>212525.23</v>
      </c>
      <c r="E25" s="137">
        <v>206744.69</v>
      </c>
      <c r="F25" s="137">
        <v>207871.2</v>
      </c>
      <c r="G25" s="137">
        <v>226236.95</v>
      </c>
      <c r="H25" s="137">
        <v>240389.75</v>
      </c>
      <c r="I25" s="137">
        <v>236702.41</v>
      </c>
      <c r="J25" s="137">
        <v>253400.3</v>
      </c>
      <c r="K25" s="137">
        <v>231004.99</v>
      </c>
      <c r="L25" s="137">
        <v>209915.92</v>
      </c>
      <c r="M25" s="137">
        <v>219049.36</v>
      </c>
      <c r="N25" s="137">
        <v>226869.33</v>
      </c>
      <c r="O25" s="137">
        <v>294222.69</v>
      </c>
      <c r="P25" s="137">
        <v>299240.03000000003</v>
      </c>
      <c r="Q25" s="137">
        <v>291766.42</v>
      </c>
      <c r="R25" s="137">
        <v>285634.98</v>
      </c>
      <c r="S25" s="137">
        <v>313886.65000000002</v>
      </c>
      <c r="T25" s="137">
        <v>329065.55</v>
      </c>
      <c r="U25" s="137">
        <v>333266.32</v>
      </c>
      <c r="V25" s="137">
        <v>331370.82</v>
      </c>
      <c r="W25" s="123">
        <v>311808.28999999998</v>
      </c>
      <c r="X25" s="80">
        <f>PCR!X35*TDR!$AA25</f>
        <v>288209.20522696036</v>
      </c>
      <c r="Y25" s="151">
        <f>PCR!Y35*TDR!$AA25</f>
        <v>297123.49604305165</v>
      </c>
      <c r="Z25" s="81">
        <f>PCR!Z35*TDR!$AA25</f>
        <v>315549.98079561145</v>
      </c>
      <c r="AA25" s="115">
        <v>1.0870000000000001E-3</v>
      </c>
      <c r="AB25" s="182"/>
    </row>
    <row r="26" spans="1:37" ht="15.75" thickBot="1" x14ac:dyDescent="0.3">
      <c r="A26" t="s">
        <v>7</v>
      </c>
      <c r="B26" s="32">
        <v>20894.32</v>
      </c>
      <c r="C26" s="33">
        <v>142523.31</v>
      </c>
      <c r="D26" s="33">
        <v>126781.73</v>
      </c>
      <c r="E26" s="33">
        <v>140528.35999999999</v>
      </c>
      <c r="F26" s="33">
        <v>156200.07</v>
      </c>
      <c r="G26" s="33">
        <v>160881.56</v>
      </c>
      <c r="H26" s="33">
        <v>165661.03</v>
      </c>
      <c r="I26" s="33">
        <v>179188.55</v>
      </c>
      <c r="J26" s="33">
        <v>136695.16</v>
      </c>
      <c r="K26" s="33">
        <v>164175.37</v>
      </c>
      <c r="L26" s="33">
        <v>152109.13</v>
      </c>
      <c r="M26" s="33">
        <v>149388.26</v>
      </c>
      <c r="N26" s="33">
        <v>141595.72</v>
      </c>
      <c r="O26" s="33">
        <v>119779.98</v>
      </c>
      <c r="P26" s="33">
        <v>126965.97</v>
      </c>
      <c r="Q26" s="33">
        <v>128764.57</v>
      </c>
      <c r="R26" s="33">
        <v>128321.25</v>
      </c>
      <c r="S26" s="33">
        <v>139422.01</v>
      </c>
      <c r="T26" s="33">
        <v>150758.9</v>
      </c>
      <c r="U26" s="33">
        <v>148648.9</v>
      </c>
      <c r="V26" s="33">
        <v>156036.54</v>
      </c>
      <c r="W26" s="185">
        <v>145455.99</v>
      </c>
      <c r="X26" s="80">
        <f>PCR!X36*TDR!$AA26</f>
        <v>147329.83919541707</v>
      </c>
      <c r="Y26" s="151">
        <f>PCR!Y36*TDR!$AA26</f>
        <v>141751.98127626904</v>
      </c>
      <c r="Z26" s="81">
        <f>PCR!Z36*TDR!$AA26</f>
        <v>140479.82404295946</v>
      </c>
      <c r="AA26" s="115">
        <v>8.8599999999999996E-4</v>
      </c>
      <c r="AB26" s="182"/>
    </row>
    <row r="27" spans="1:37" x14ac:dyDescent="0.25">
      <c r="B27" s="22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121"/>
      <c r="Y27" s="31"/>
      <c r="Z27" s="21"/>
      <c r="AB27" s="4"/>
    </row>
    <row r="28" spans="1:37" x14ac:dyDescent="0.25">
      <c r="A28" t="s">
        <v>79</v>
      </c>
      <c r="B28" s="22"/>
      <c r="C28" s="31"/>
      <c r="D28" s="130" t="s">
        <v>85</v>
      </c>
      <c r="E28" s="31"/>
      <c r="F28" s="31"/>
      <c r="G28" s="31"/>
      <c r="H28" s="31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1"/>
      <c r="Y28" s="110"/>
      <c r="Z28" s="112"/>
      <c r="AA28" s="7"/>
      <c r="AB28" s="4"/>
    </row>
    <row r="29" spans="1:37" x14ac:dyDescent="0.25">
      <c r="A29" t="s">
        <v>0</v>
      </c>
      <c r="B29" s="75">
        <v>2164</v>
      </c>
      <c r="C29" s="126">
        <v>12213</v>
      </c>
      <c r="D29" s="126">
        <v>13512</v>
      </c>
      <c r="E29" s="126">
        <v>15178</v>
      </c>
      <c r="F29" s="126">
        <v>26012</v>
      </c>
      <c r="G29" s="126">
        <v>16914</v>
      </c>
      <c r="H29" s="126">
        <v>32347</v>
      </c>
      <c r="I29" s="126">
        <v>21505</v>
      </c>
      <c r="J29" s="126">
        <v>26250</v>
      </c>
      <c r="K29" s="126">
        <v>37505</v>
      </c>
      <c r="L29" s="126">
        <v>34203</v>
      </c>
      <c r="M29" s="126">
        <v>24950</v>
      </c>
      <c r="N29" s="126">
        <v>17244</v>
      </c>
      <c r="O29" s="126">
        <v>17238</v>
      </c>
      <c r="P29" s="126">
        <v>19817</v>
      </c>
      <c r="Q29" s="126">
        <v>17599</v>
      </c>
      <c r="R29" s="126">
        <v>18528</v>
      </c>
      <c r="S29" s="126">
        <v>20519</v>
      </c>
      <c r="T29" s="126">
        <v>19785</v>
      </c>
      <c r="U29" s="126">
        <v>19205</v>
      </c>
      <c r="V29" s="126">
        <v>17387</v>
      </c>
      <c r="W29" s="128">
        <v>15713</v>
      </c>
      <c r="X29" s="200">
        <v>19030.460662080757</v>
      </c>
      <c r="Y29" s="201">
        <v>19734.628936545105</v>
      </c>
      <c r="Z29" s="202">
        <v>14262.916031436251</v>
      </c>
      <c r="AA29" s="187">
        <f>SUM(B29:Z29)</f>
        <v>498816.00563006208</v>
      </c>
      <c r="AB29" s="4"/>
      <c r="AD29" s="113"/>
    </row>
    <row r="30" spans="1:37" x14ac:dyDescent="0.25">
      <c r="A30" t="s">
        <v>4</v>
      </c>
      <c r="B30" s="75">
        <v>1E-10</v>
      </c>
      <c r="C30" s="126">
        <v>37</v>
      </c>
      <c r="D30" s="126">
        <v>145</v>
      </c>
      <c r="E30" s="126">
        <v>463</v>
      </c>
      <c r="F30" s="126">
        <v>433</v>
      </c>
      <c r="G30" s="126">
        <v>421</v>
      </c>
      <c r="H30" s="126">
        <v>443</v>
      </c>
      <c r="I30" s="126">
        <v>2284</v>
      </c>
      <c r="J30" s="126">
        <v>474</v>
      </c>
      <c r="K30" s="126">
        <v>1722</v>
      </c>
      <c r="L30" s="126">
        <v>620</v>
      </c>
      <c r="M30" s="126">
        <v>1367</v>
      </c>
      <c r="N30" s="126">
        <v>749</v>
      </c>
      <c r="O30" s="126">
        <v>1057</v>
      </c>
      <c r="P30" s="126">
        <v>1682</v>
      </c>
      <c r="Q30" s="126">
        <v>572</v>
      </c>
      <c r="R30" s="126">
        <v>2094</v>
      </c>
      <c r="S30" s="126">
        <v>765</v>
      </c>
      <c r="T30" s="126">
        <v>854</v>
      </c>
      <c r="U30" s="126">
        <v>1560</v>
      </c>
      <c r="V30" s="126">
        <v>1854</v>
      </c>
      <c r="W30" s="128">
        <v>2315</v>
      </c>
      <c r="X30" s="200">
        <v>1545</v>
      </c>
      <c r="Y30" s="201">
        <v>1667</v>
      </c>
      <c r="Z30" s="202">
        <v>1027</v>
      </c>
      <c r="AA30" s="187">
        <f>SUM(B30:Z30)</f>
        <v>26150.000000000102</v>
      </c>
      <c r="AB30" s="90">
        <f>AA30/SUM($AA$30:$AA$33)</f>
        <v>0.1182915354829373</v>
      </c>
      <c r="AG30" s="113"/>
    </row>
    <row r="31" spans="1:37" x14ac:dyDescent="0.25">
      <c r="A31" t="s">
        <v>5</v>
      </c>
      <c r="B31" s="75">
        <f>B30</f>
        <v>1E-10</v>
      </c>
      <c r="C31" s="126">
        <v>335</v>
      </c>
      <c r="D31" s="126">
        <v>197</v>
      </c>
      <c r="E31" s="126">
        <v>1632</v>
      </c>
      <c r="F31" s="126">
        <v>5551</v>
      </c>
      <c r="G31" s="126">
        <v>2311</v>
      </c>
      <c r="H31" s="126">
        <v>730</v>
      </c>
      <c r="I31" s="126">
        <v>2519</v>
      </c>
      <c r="J31" s="126">
        <v>3100</v>
      </c>
      <c r="K31" s="126">
        <v>9632</v>
      </c>
      <c r="L31" s="126">
        <v>8290</v>
      </c>
      <c r="M31" s="126">
        <v>8682</v>
      </c>
      <c r="N31" s="126">
        <v>2907</v>
      </c>
      <c r="O31" s="126">
        <v>4819</v>
      </c>
      <c r="P31" s="126">
        <v>4120</v>
      </c>
      <c r="Q31" s="126">
        <v>1774</v>
      </c>
      <c r="R31" s="126">
        <v>8095</v>
      </c>
      <c r="S31" s="126">
        <v>6700</v>
      </c>
      <c r="T31" s="126">
        <v>7355</v>
      </c>
      <c r="U31" s="126">
        <v>9983</v>
      </c>
      <c r="V31" s="126">
        <v>6572</v>
      </c>
      <c r="W31" s="128">
        <v>9649</v>
      </c>
      <c r="X31" s="200">
        <v>7831</v>
      </c>
      <c r="Y31" s="201">
        <v>8450</v>
      </c>
      <c r="Z31" s="202">
        <v>5205</v>
      </c>
      <c r="AA31" s="187">
        <f t="shared" ref="AA31:AA33" si="18">SUM(B31:Z31)</f>
        <v>126439.0000000001</v>
      </c>
      <c r="AB31" s="90">
        <f>AA31/SUM($AA$30:$AA$33)</f>
        <v>0.57195653747331032</v>
      </c>
    </row>
    <row r="32" spans="1:37" x14ac:dyDescent="0.25">
      <c r="A32" t="s">
        <v>6</v>
      </c>
      <c r="B32" s="75">
        <f>B31</f>
        <v>1E-10</v>
      </c>
      <c r="C32" s="126">
        <v>13</v>
      </c>
      <c r="D32" s="126">
        <v>53</v>
      </c>
      <c r="E32" s="126">
        <v>241</v>
      </c>
      <c r="F32" s="126">
        <v>289</v>
      </c>
      <c r="G32" s="126">
        <v>1690</v>
      </c>
      <c r="H32" s="126">
        <v>1335</v>
      </c>
      <c r="I32" s="126">
        <v>1611</v>
      </c>
      <c r="J32" s="126">
        <v>1242</v>
      </c>
      <c r="K32" s="126">
        <v>2864</v>
      </c>
      <c r="L32" s="126">
        <v>494</v>
      </c>
      <c r="M32" s="126">
        <v>4372</v>
      </c>
      <c r="N32" s="126">
        <v>223</v>
      </c>
      <c r="O32" s="126">
        <v>1963</v>
      </c>
      <c r="P32" s="126">
        <v>1166</v>
      </c>
      <c r="Q32" s="126">
        <v>243</v>
      </c>
      <c r="R32" s="126">
        <v>2864</v>
      </c>
      <c r="S32" s="126">
        <v>4336</v>
      </c>
      <c r="T32" s="126">
        <v>1628</v>
      </c>
      <c r="U32" s="126">
        <v>1253</v>
      </c>
      <c r="V32" s="126">
        <v>4353</v>
      </c>
      <c r="W32" s="128">
        <v>672</v>
      </c>
      <c r="X32" s="200">
        <v>2612</v>
      </c>
      <c r="Y32" s="201">
        <v>2819</v>
      </c>
      <c r="Z32" s="202">
        <v>1736</v>
      </c>
      <c r="AA32" s="187">
        <f t="shared" si="18"/>
        <v>40072.000000000102</v>
      </c>
      <c r="AB32" s="90">
        <f>AA32/SUM($AA$30:$AA$33)</f>
        <v>0.1812687728440634</v>
      </c>
    </row>
    <row r="33" spans="1:28" x14ac:dyDescent="0.25">
      <c r="A33" t="s">
        <v>7</v>
      </c>
      <c r="B33" s="75">
        <f>B32</f>
        <v>1E-10</v>
      </c>
      <c r="C33" s="126"/>
      <c r="D33" s="126">
        <v>106</v>
      </c>
      <c r="E33" s="126">
        <v>9</v>
      </c>
      <c r="F33" s="126">
        <v>240</v>
      </c>
      <c r="G33" s="126">
        <v>79</v>
      </c>
      <c r="H33" s="126">
        <v>21</v>
      </c>
      <c r="I33" s="126">
        <v>350</v>
      </c>
      <c r="J33" s="126">
        <v>4536</v>
      </c>
      <c r="K33" s="126">
        <v>217</v>
      </c>
      <c r="L33" s="126">
        <v>361</v>
      </c>
      <c r="M33" s="126">
        <v>2178</v>
      </c>
      <c r="N33" s="126">
        <v>432</v>
      </c>
      <c r="O33" s="126">
        <v>1190</v>
      </c>
      <c r="P33" s="126">
        <v>1355</v>
      </c>
      <c r="Q33" s="126">
        <v>8658</v>
      </c>
      <c r="R33" s="126">
        <v>459</v>
      </c>
      <c r="S33" s="126">
        <v>585</v>
      </c>
      <c r="T33" s="126">
        <v>695</v>
      </c>
      <c r="U33" s="126">
        <v>904</v>
      </c>
      <c r="V33" s="126">
        <v>731</v>
      </c>
      <c r="W33" s="128">
        <v>827</v>
      </c>
      <c r="X33" s="200">
        <v>1629</v>
      </c>
      <c r="Y33" s="201">
        <v>1758</v>
      </c>
      <c r="Z33" s="202">
        <v>1083</v>
      </c>
      <c r="AA33" s="187">
        <f t="shared" si="18"/>
        <v>28403.000000000102</v>
      </c>
      <c r="AB33" s="90">
        <f>AA33/SUM($AA$30:$AA$33)</f>
        <v>0.128483154199689</v>
      </c>
    </row>
    <row r="34" spans="1:28" x14ac:dyDescent="0.25">
      <c r="B34" s="22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121"/>
      <c r="Y34" s="31"/>
      <c r="Z34" s="21"/>
      <c r="AA34" s="7"/>
      <c r="AB34" s="4"/>
    </row>
    <row r="35" spans="1:28" x14ac:dyDescent="0.25">
      <c r="A35" t="s">
        <v>36</v>
      </c>
      <c r="B35" s="98"/>
      <c r="C35" s="99"/>
      <c r="D35" s="99"/>
      <c r="E35" s="99"/>
      <c r="F35" s="99"/>
      <c r="G35" s="99"/>
      <c r="H35" s="99"/>
      <c r="I35" s="100"/>
      <c r="J35" s="99"/>
      <c r="K35" s="99"/>
      <c r="L35" s="99"/>
      <c r="M35" s="99"/>
      <c r="N35" s="99"/>
      <c r="O35" s="31"/>
      <c r="P35" s="31"/>
      <c r="Q35" s="31"/>
      <c r="R35" s="31"/>
      <c r="S35" s="31"/>
      <c r="T35" s="31"/>
      <c r="U35" s="31"/>
      <c r="V35" s="31"/>
      <c r="W35" s="31"/>
      <c r="X35" s="121"/>
      <c r="Y35" s="31"/>
      <c r="Z35" s="21"/>
      <c r="AA35" s="102" t="s">
        <v>37</v>
      </c>
      <c r="AB35" s="103"/>
    </row>
    <row r="36" spans="1:28" ht="15.75" thickBot="1" x14ac:dyDescent="0.3">
      <c r="A36" t="s">
        <v>0</v>
      </c>
      <c r="B36" s="95">
        <f>$AB36*B$19</f>
        <v>-197224.72568377425</v>
      </c>
      <c r="C36" s="40">
        <f t="shared" ref="B36:K38" si="19">$AB36*C$19</f>
        <v>632854.45147070708</v>
      </c>
      <c r="D36" s="40">
        <f t="shared" si="19"/>
        <v>731602.40194559109</v>
      </c>
      <c r="E36" s="40">
        <f t="shared" si="19"/>
        <v>908022.28413789405</v>
      </c>
      <c r="F36" s="40">
        <f t="shared" si="19"/>
        <v>2131476.6146756448</v>
      </c>
      <c r="G36" s="40">
        <f t="shared" si="19"/>
        <v>1456190.8812094512</v>
      </c>
      <c r="H36" s="40">
        <f t="shared" si="19"/>
        <v>2289025.732379443</v>
      </c>
      <c r="I36" s="40">
        <f t="shared" si="19"/>
        <v>1697742.8377493282</v>
      </c>
      <c r="J36" s="40">
        <f t="shared" si="19"/>
        <v>2780652.3871222916</v>
      </c>
      <c r="K36" s="40">
        <f t="shared" si="19"/>
        <v>4396099.093193409</v>
      </c>
      <c r="L36" s="40">
        <f t="shared" ref="L36:Z38" si="20">$AB36*L$19</f>
        <v>3065373.8656837717</v>
      </c>
      <c r="M36" s="40">
        <f t="shared" si="20"/>
        <v>3162657.0799171543</v>
      </c>
      <c r="N36" s="40">
        <f t="shared" si="20"/>
        <v>1483370.9442217052</v>
      </c>
      <c r="O36" s="40">
        <f t="shared" si="20"/>
        <v>2218458.9861604534</v>
      </c>
      <c r="P36" s="40">
        <f t="shared" si="20"/>
        <v>1986200.6295578836</v>
      </c>
      <c r="Q36" s="40">
        <f t="shared" si="20"/>
        <v>2314710.011295395</v>
      </c>
      <c r="R36" s="40">
        <f t="shared" si="20"/>
        <v>2647180.7380528566</v>
      </c>
      <c r="S36" s="40">
        <f t="shared" si="20"/>
        <v>2833559.7565853782</v>
      </c>
      <c r="T36" s="40">
        <f t="shared" si="20"/>
        <v>2989475.826646084</v>
      </c>
      <c r="U36" s="40">
        <f t="shared" si="20"/>
        <v>3657677.5221630894</v>
      </c>
      <c r="V36" s="40">
        <f t="shared" si="20"/>
        <v>2810535.6121845203</v>
      </c>
      <c r="W36" s="149">
        <f t="shared" si="20"/>
        <v>2588667.8776531606</v>
      </c>
      <c r="X36" s="95">
        <f t="shared" si="20"/>
        <v>3069560.4348963276</v>
      </c>
      <c r="Y36" s="149">
        <f t="shared" si="20"/>
        <v>3218152.3023541225</v>
      </c>
      <c r="Z36" s="147">
        <f t="shared" si="20"/>
        <v>2584594.4388287663</v>
      </c>
      <c r="AA36" s="104">
        <f>PTD!F1</f>
        <v>661175</v>
      </c>
      <c r="AB36" s="105">
        <f>AA36/SUM(AA$36:AA$38)</f>
        <v>0.62070881247475296</v>
      </c>
    </row>
    <row r="37" spans="1:28" ht="16.5" thickTop="1" thickBot="1" x14ac:dyDescent="0.3">
      <c r="A37" t="s">
        <v>1</v>
      </c>
      <c r="B37" s="95">
        <f t="shared" si="19"/>
        <v>-114593.18464495463</v>
      </c>
      <c r="C37" s="40">
        <f t="shared" si="19"/>
        <v>367706.46661738789</v>
      </c>
      <c r="D37" s="40">
        <f t="shared" si="19"/>
        <v>425081.83921759011</v>
      </c>
      <c r="E37" s="40">
        <f t="shared" si="19"/>
        <v>527586.81705448893</v>
      </c>
      <c r="F37" s="40">
        <f t="shared" si="19"/>
        <v>1238448.6398706336</v>
      </c>
      <c r="G37" s="40">
        <f t="shared" si="19"/>
        <v>846088.38952722796</v>
      </c>
      <c r="H37" s="40">
        <f t="shared" si="19"/>
        <v>1329989.1659029957</v>
      </c>
      <c r="I37" s="40">
        <f t="shared" si="19"/>
        <v>986436.95820266881</v>
      </c>
      <c r="J37" s="40">
        <f t="shared" si="19"/>
        <v>1615638.2589769454</v>
      </c>
      <c r="K37" s="40">
        <f t="shared" si="19"/>
        <v>2554258.8200201248</v>
      </c>
      <c r="L37" s="40">
        <f t="shared" si="20"/>
        <v>1781069.5498663737</v>
      </c>
      <c r="M37" s="40">
        <f t="shared" si="20"/>
        <v>1837593.8689792578</v>
      </c>
      <c r="N37" s="40">
        <f t="shared" si="20"/>
        <v>861880.78050977981</v>
      </c>
      <c r="O37" s="40">
        <f t="shared" si="20"/>
        <v>1288987.8758708725</v>
      </c>
      <c r="P37" s="40">
        <f t="shared" si="20"/>
        <v>1154039.1535379221</v>
      </c>
      <c r="Q37" s="40">
        <f t="shared" si="20"/>
        <v>1344912.4637100229</v>
      </c>
      <c r="R37" s="40">
        <f t="shared" si="20"/>
        <v>1538087.428199247</v>
      </c>
      <c r="S37" s="40">
        <f t="shared" si="20"/>
        <v>1646378.9479901642</v>
      </c>
      <c r="T37" s="40">
        <f t="shared" si="20"/>
        <v>1736970.6268156152</v>
      </c>
      <c r="U37" s="40">
        <f t="shared" si="20"/>
        <v>2125214.8492830596</v>
      </c>
      <c r="V37" s="40">
        <f t="shared" si="20"/>
        <v>1633001.2641248563</v>
      </c>
      <c r="W37" s="149">
        <f t="shared" si="20"/>
        <v>1504089.7892488563</v>
      </c>
      <c r="X37" s="95">
        <f t="shared" si="20"/>
        <v>1783502.0658561413</v>
      </c>
      <c r="Y37" s="149">
        <f t="shared" si="20"/>
        <v>1869838.1742994175</v>
      </c>
      <c r="Z37" s="147">
        <f t="shared" si="20"/>
        <v>1501723.0052377472</v>
      </c>
      <c r="AA37" s="104">
        <f>PTD!G1</f>
        <v>384161.51217829372</v>
      </c>
      <c r="AB37" s="105">
        <f>AA37/SUM(AA$36:AA$38)</f>
        <v>0.36064950432592591</v>
      </c>
    </row>
    <row r="38" spans="1:28" ht="16.5" thickTop="1" thickBot="1" x14ac:dyDescent="0.3">
      <c r="A38" t="s">
        <v>2</v>
      </c>
      <c r="B38" s="95">
        <f t="shared" si="19"/>
        <v>-5923.2296712711541</v>
      </c>
      <c r="C38" s="40">
        <f t="shared" si="19"/>
        <v>19006.451911905064</v>
      </c>
      <c r="D38" s="40">
        <f t="shared" si="19"/>
        <v>21972.1388368187</v>
      </c>
      <c r="E38" s="40">
        <f t="shared" si="19"/>
        <v>27270.538807616987</v>
      </c>
      <c r="F38" s="40">
        <f t="shared" si="19"/>
        <v>64014.415453721456</v>
      </c>
      <c r="G38" s="40">
        <f t="shared" si="19"/>
        <v>43733.629263320719</v>
      </c>
      <c r="H38" s="40">
        <f t="shared" si="19"/>
        <v>68746.071717561324</v>
      </c>
      <c r="I38" s="40">
        <f t="shared" si="19"/>
        <v>50988.134048003049</v>
      </c>
      <c r="J38" s="40">
        <f t="shared" si="19"/>
        <v>83511.043900763558</v>
      </c>
      <c r="K38" s="40">
        <f t="shared" si="19"/>
        <v>132027.58678646581</v>
      </c>
      <c r="L38" s="40">
        <f t="shared" si="20"/>
        <v>92062.054449854651</v>
      </c>
      <c r="M38" s="40">
        <f t="shared" si="20"/>
        <v>94983.751103588205</v>
      </c>
      <c r="N38" s="40">
        <f t="shared" si="20"/>
        <v>44549.925268514991</v>
      </c>
      <c r="O38" s="40">
        <f t="shared" si="20"/>
        <v>66626.747968674143</v>
      </c>
      <c r="P38" s="40">
        <f t="shared" si="20"/>
        <v>59651.356904194647</v>
      </c>
      <c r="Q38" s="40">
        <f t="shared" si="20"/>
        <v>69517.444994581863</v>
      </c>
      <c r="R38" s="40">
        <f t="shared" si="20"/>
        <v>79502.503747896655</v>
      </c>
      <c r="S38" s="40">
        <f t="shared" si="20"/>
        <v>85100.005424457748</v>
      </c>
      <c r="T38" s="40">
        <f t="shared" si="20"/>
        <v>89782.616538301198</v>
      </c>
      <c r="U38" s="40">
        <f t="shared" si="20"/>
        <v>109850.64855385105</v>
      </c>
      <c r="V38" s="40">
        <f t="shared" si="20"/>
        <v>84408.523690623551</v>
      </c>
      <c r="W38" s="149">
        <f t="shared" si="20"/>
        <v>77745.193097982861</v>
      </c>
      <c r="X38" s="95">
        <f t="shared" si="20"/>
        <v>92187.789247531109</v>
      </c>
      <c r="Y38" s="149">
        <f t="shared" si="20"/>
        <v>96650.433346460195</v>
      </c>
      <c r="Z38" s="147">
        <f t="shared" si="20"/>
        <v>77622.855933486324</v>
      </c>
      <c r="AA38" s="104">
        <f>PTD!H1</f>
        <v>19857</v>
      </c>
      <c r="AB38" s="105">
        <f>AA38/SUM(AA$36:AA$38)</f>
        <v>1.8641683199321163E-2</v>
      </c>
    </row>
    <row r="39" spans="1:28" ht="15.75" thickTop="1" x14ac:dyDescent="0.25">
      <c r="A39" s="101"/>
      <c r="B39" s="98"/>
      <c r="C39" s="99"/>
      <c r="D39" s="99"/>
      <c r="E39" s="99"/>
      <c r="F39" s="99"/>
      <c r="G39" s="99"/>
      <c r="H39" s="99"/>
      <c r="I39" s="100"/>
      <c r="J39" s="99"/>
      <c r="K39" s="99"/>
      <c r="L39" s="99"/>
      <c r="M39" s="99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121"/>
      <c r="Y39" s="152"/>
      <c r="Z39" s="188"/>
      <c r="AA39" s="4"/>
    </row>
    <row r="40" spans="1:28" x14ac:dyDescent="0.25">
      <c r="A40" t="s">
        <v>0</v>
      </c>
      <c r="B40" s="203">
        <f>((B29/SUM(B$29:B$33))*B$38)+B36</f>
        <v>-203147.95535504431</v>
      </c>
      <c r="C40" s="40">
        <f t="shared" ref="C40:Y40" si="21">((C29/SUM(C$29:C$33))*C$38)+C36</f>
        <v>651280.05848770158</v>
      </c>
      <c r="D40" s="40">
        <f t="shared" si="21"/>
        <v>752788.98154761025</v>
      </c>
      <c r="E40" s="40">
        <f t="shared" si="21"/>
        <v>931643.3671728773</v>
      </c>
      <c r="F40" s="40">
        <f t="shared" si="21"/>
        <v>2182672.4017558047</v>
      </c>
      <c r="G40" s="40">
        <f t="shared" si="21"/>
        <v>1490732.5858725288</v>
      </c>
      <c r="H40" s="40">
        <f t="shared" si="21"/>
        <v>2352786.7480305484</v>
      </c>
      <c r="I40" s="40">
        <f t="shared" si="21"/>
        <v>1736530.9032168831</v>
      </c>
      <c r="J40" s="40">
        <f t="shared" si="21"/>
        <v>2842226.5936948168</v>
      </c>
      <c r="K40" s="40">
        <f t="shared" si="21"/>
        <v>4491433.9919694271</v>
      </c>
      <c r="L40" s="40">
        <f t="shared" si="21"/>
        <v>3136989.5509173139</v>
      </c>
      <c r="M40" s="40">
        <f t="shared" si="21"/>
        <v>3219694.4235363635</v>
      </c>
      <c r="N40" s="39">
        <f>((N29/SUM(N$29:N$33))*N$38)+N36</f>
        <v>1519010.8844365173</v>
      </c>
      <c r="O40" s="40">
        <f t="shared" si="21"/>
        <v>2262183.5029109009</v>
      </c>
      <c r="P40" s="40">
        <f t="shared" si="21"/>
        <v>2028208.8363727529</v>
      </c>
      <c r="Q40" s="40">
        <f t="shared" si="21"/>
        <v>2357122.7379978718</v>
      </c>
      <c r="R40" s="40">
        <f t="shared" si="21"/>
        <v>2693155.2196209286</v>
      </c>
      <c r="S40" s="40">
        <f t="shared" si="21"/>
        <v>2886626.676849911</v>
      </c>
      <c r="T40" s="40">
        <f t="shared" si="21"/>
        <v>3048068.3347507874</v>
      </c>
      <c r="U40" s="40">
        <f t="shared" si="21"/>
        <v>3721791.8423416857</v>
      </c>
      <c r="V40" s="40">
        <f t="shared" si="21"/>
        <v>2858035.725509726</v>
      </c>
      <c r="W40" s="149">
        <f t="shared" si="21"/>
        <v>2630538.2580736638</v>
      </c>
      <c r="X40" s="95">
        <f t="shared" si="21"/>
        <v>3123297.419679251</v>
      </c>
      <c r="Y40" s="96">
        <f t="shared" si="21"/>
        <v>3273552.7204818414</v>
      </c>
      <c r="Z40" s="114">
        <f t="shared" ref="Z40" si="22">((Z29/SUM(Z$29:Z$33))*Z$38)+Z36</f>
        <v>2632082.3115141937</v>
      </c>
      <c r="AA40" s="4"/>
    </row>
    <row r="41" spans="1:28" x14ac:dyDescent="0.25">
      <c r="A41" t="s">
        <v>4</v>
      </c>
      <c r="B41" s="95">
        <f t="shared" ref="B41" si="23">((B30/SUM(B$29:B$33))*B$38)+((B30/SUM(B$30:B$33))*B$37)</f>
        <v>-28648.29616123893</v>
      </c>
      <c r="C41" s="40">
        <f t="shared" ref="C41:Y41" si="24">((C30/SUM(C$29:C$33))*C$38)+((C30/SUM(C$30:C$33))*C$37)</f>
        <v>35393.84552196115</v>
      </c>
      <c r="D41" s="40">
        <f t="shared" si="24"/>
        <v>123255.03548023253</v>
      </c>
      <c r="E41" s="40">
        <f t="shared" si="24"/>
        <v>104888.01463495003</v>
      </c>
      <c r="F41" s="40">
        <f t="shared" si="24"/>
        <v>83187.275779170348</v>
      </c>
      <c r="G41" s="40">
        <f t="shared" si="24"/>
        <v>79998.447511145379</v>
      </c>
      <c r="H41" s="40">
        <f t="shared" si="24"/>
        <v>233844.83208084898</v>
      </c>
      <c r="I41" s="40">
        <f t="shared" si="24"/>
        <v>337209.78255065635</v>
      </c>
      <c r="J41" s="40">
        <f t="shared" si="24"/>
        <v>82999.422118119881</v>
      </c>
      <c r="K41" s="40">
        <f t="shared" si="24"/>
        <v>309083.37352467235</v>
      </c>
      <c r="L41" s="40">
        <f t="shared" si="24"/>
        <v>114381.96311636103</v>
      </c>
      <c r="M41" s="40">
        <f t="shared" si="24"/>
        <v>154458.91667725713</v>
      </c>
      <c r="N41" s="40">
        <f t="shared" si="24"/>
        <v>151292.57327929683</v>
      </c>
      <c r="O41" s="40">
        <f t="shared" si="24"/>
        <v>153579.33804332459</v>
      </c>
      <c r="P41" s="40">
        <f t="shared" si="24"/>
        <v>236785.97076787575</v>
      </c>
      <c r="Q41" s="40">
        <f t="shared" si="24"/>
        <v>69778.058869495624</v>
      </c>
      <c r="R41" s="40">
        <f t="shared" si="24"/>
        <v>243558.52228343519</v>
      </c>
      <c r="S41" s="40">
        <f t="shared" si="24"/>
        <v>103664.23424510079</v>
      </c>
      <c r="T41" s="40">
        <f t="shared" si="24"/>
        <v>143373.45878302585</v>
      </c>
      <c r="U41" s="40">
        <f t="shared" si="24"/>
        <v>247203.19979174965</v>
      </c>
      <c r="V41" s="40">
        <f t="shared" si="24"/>
        <v>229164.51047409096</v>
      </c>
      <c r="W41" s="149">
        <f t="shared" si="24"/>
        <v>264801.16270218132</v>
      </c>
      <c r="X41" s="95">
        <f t="shared" si="24"/>
        <v>206720.80374866395</v>
      </c>
      <c r="Y41" s="96">
        <f t="shared" si="24"/>
        <v>216808.49407423241</v>
      </c>
      <c r="Z41" s="114">
        <f t="shared" ref="Z41" si="25">((Z30/SUM(Z$29:Z$33))*Z$38)+((Z30/SUM(Z$30:Z$33))*Z$37)</f>
        <v>173817.05382553564</v>
      </c>
      <c r="AA41" s="4"/>
    </row>
    <row r="42" spans="1:28" x14ac:dyDescent="0.25">
      <c r="A42" t="s">
        <v>5</v>
      </c>
      <c r="B42" s="95">
        <f t="shared" ref="B42:B44" si="26">((B31/SUM(B$29:B$33))*B$38)+((B31/SUM(B$30:B$33))*B$37)</f>
        <v>-28648.29616123893</v>
      </c>
      <c r="C42" s="40">
        <f t="shared" ref="C42:Y42" si="27">((C31/SUM(C$29:C$33))*C$38)+((C31/SUM(C$30:C$33))*C$37)</f>
        <v>320457.79053667531</v>
      </c>
      <c r="D42" s="40">
        <f t="shared" si="27"/>
        <v>167456.84130762628</v>
      </c>
      <c r="E42" s="40">
        <f t="shared" si="27"/>
        <v>369713.26108906785</v>
      </c>
      <c r="F42" s="40">
        <f t="shared" si="27"/>
        <v>1066449.348383775</v>
      </c>
      <c r="G42" s="40">
        <f t="shared" si="27"/>
        <v>439136.37101723743</v>
      </c>
      <c r="H42" s="40">
        <f t="shared" si="27"/>
        <v>385342.4998172003</v>
      </c>
      <c r="I42" s="40">
        <f t="shared" si="27"/>
        <v>371905.1848708858</v>
      </c>
      <c r="J42" s="40">
        <f t="shared" si="27"/>
        <v>542823.22482314683</v>
      </c>
      <c r="K42" s="40">
        <f t="shared" si="27"/>
        <v>1728856.5933737771</v>
      </c>
      <c r="L42" s="40">
        <f t="shared" si="27"/>
        <v>1529397.5390881177</v>
      </c>
      <c r="M42" s="40">
        <f t="shared" si="27"/>
        <v>980989.25719966821</v>
      </c>
      <c r="N42" s="40">
        <f t="shared" si="27"/>
        <v>587192.93794781831</v>
      </c>
      <c r="O42" s="40">
        <f t="shared" si="27"/>
        <v>700188.1078815338</v>
      </c>
      <c r="P42" s="40">
        <f t="shared" si="27"/>
        <v>579998.92958599771</v>
      </c>
      <c r="Q42" s="40">
        <f t="shared" si="27"/>
        <v>216409.57418616296</v>
      </c>
      <c r="R42" s="40">
        <f t="shared" si="27"/>
        <v>941550.25686934462</v>
      </c>
      <c r="S42" s="40">
        <f t="shared" si="27"/>
        <v>907908.97966297402</v>
      </c>
      <c r="T42" s="40">
        <f t="shared" si="27"/>
        <v>1234791.3224228981</v>
      </c>
      <c r="U42" s="40">
        <f t="shared" si="27"/>
        <v>1581942.0150775879</v>
      </c>
      <c r="V42" s="40">
        <f t="shared" si="27"/>
        <v>812335.03928572044</v>
      </c>
      <c r="W42" s="149">
        <f t="shared" si="27"/>
        <v>1103700.3969388111</v>
      </c>
      <c r="X42" s="95">
        <f t="shared" si="27"/>
        <v>1047786.8052788267</v>
      </c>
      <c r="Y42" s="96">
        <f t="shared" si="27"/>
        <v>1098999.2651033376</v>
      </c>
      <c r="Z42" s="114">
        <f t="shared" ref="Z42" si="28">((Z31/SUM(Z$29:Z$33))*Z$38)+((Z31/SUM(Z$30:Z$33))*Z$37)</f>
        <v>880932.58535726671</v>
      </c>
      <c r="AA42" s="4"/>
    </row>
    <row r="43" spans="1:28" x14ac:dyDescent="0.25">
      <c r="A43" t="s">
        <v>6</v>
      </c>
      <c r="B43" s="95">
        <f t="shared" si="26"/>
        <v>-28648.29616123893</v>
      </c>
      <c r="C43" s="40">
        <f t="shared" ref="C43:Y43" si="29">((C32/SUM(C$29:C$33))*C$38)+((C32/SUM(C$30:C$33))*C$37)</f>
        <v>12435.675453662026</v>
      </c>
      <c r="D43" s="40">
        <f t="shared" si="29"/>
        <v>45051.84055484362</v>
      </c>
      <c r="E43" s="40">
        <f t="shared" si="29"/>
        <v>54596.137207392996</v>
      </c>
      <c r="F43" s="40">
        <f t="shared" si="29"/>
        <v>55522.223326051339</v>
      </c>
      <c r="G43" s="40">
        <f t="shared" si="29"/>
        <v>321133.9104366643</v>
      </c>
      <c r="H43" s="40">
        <f t="shared" si="29"/>
        <v>704701.69487118139</v>
      </c>
      <c r="I43" s="40">
        <f t="shared" si="29"/>
        <v>237848.05590591393</v>
      </c>
      <c r="J43" s="40">
        <f t="shared" si="29"/>
        <v>217479.49846140272</v>
      </c>
      <c r="K43" s="40">
        <f t="shared" si="29"/>
        <v>514062.0103221031</v>
      </c>
      <c r="L43" s="40">
        <f t="shared" si="29"/>
        <v>91136.596418519912</v>
      </c>
      <c r="M43" s="40">
        <f t="shared" si="29"/>
        <v>493997.3545815422</v>
      </c>
      <c r="N43" s="40">
        <f t="shared" si="29"/>
        <v>45044.384300778627</v>
      </c>
      <c r="O43" s="40">
        <f t="shared" si="29"/>
        <v>285218.77065188857</v>
      </c>
      <c r="P43" s="40">
        <f t="shared" si="29"/>
        <v>164145.32813040615</v>
      </c>
      <c r="Q43" s="40">
        <f t="shared" si="29"/>
        <v>29643.476058194814</v>
      </c>
      <c r="R43" s="40">
        <f t="shared" si="29"/>
        <v>333119.2014421004</v>
      </c>
      <c r="S43" s="40">
        <f t="shared" si="29"/>
        <v>587566.16952517244</v>
      </c>
      <c r="T43" s="40">
        <f t="shared" si="29"/>
        <v>273316.14859340288</v>
      </c>
      <c r="U43" s="40">
        <f t="shared" si="29"/>
        <v>198554.87778145022</v>
      </c>
      <c r="V43" s="40">
        <f t="shared" si="29"/>
        <v>538054.53834612621</v>
      </c>
      <c r="W43" s="149">
        <f t="shared" si="29"/>
        <v>76866.687402101888</v>
      </c>
      <c r="X43" s="95">
        <f t="shared" si="29"/>
        <v>349485.26821456972</v>
      </c>
      <c r="Y43" s="96">
        <f t="shared" si="29"/>
        <v>366636.55956524366</v>
      </c>
      <c r="Z43" s="114">
        <f t="shared" ref="Z43" si="30">((Z32/SUM(Z$29:Z$33))*Z$38)+((Z32/SUM(Z$30:Z$33))*Z$37)</f>
        <v>293813.44249379734</v>
      </c>
      <c r="AA43" s="4"/>
    </row>
    <row r="44" spans="1:28" x14ac:dyDescent="0.25">
      <c r="A44" t="s">
        <v>7</v>
      </c>
      <c r="B44" s="95">
        <f t="shared" si="26"/>
        <v>-28648.29616123893</v>
      </c>
      <c r="C44" s="40">
        <f t="shared" ref="C44:Y44" si="31">((C33/SUM(C$29:C$33))*C$38)+((C33/SUM(C$30:C$33))*C$37)</f>
        <v>0</v>
      </c>
      <c r="D44" s="40">
        <f t="shared" si="31"/>
        <v>90103.681109687241</v>
      </c>
      <c r="E44" s="40">
        <f t="shared" si="31"/>
        <v>2038.8598957117715</v>
      </c>
      <c r="F44" s="40">
        <f t="shared" si="31"/>
        <v>46108.420755198342</v>
      </c>
      <c r="G44" s="40">
        <f t="shared" si="31"/>
        <v>15011.585162423955</v>
      </c>
      <c r="H44" s="40">
        <f t="shared" si="31"/>
        <v>11085.195200220829</v>
      </c>
      <c r="I44" s="40">
        <f t="shared" si="31"/>
        <v>51674.00345566099</v>
      </c>
      <c r="J44" s="40">
        <f t="shared" si="31"/>
        <v>794272.95090251416</v>
      </c>
      <c r="K44" s="40">
        <f t="shared" si="31"/>
        <v>38949.530810019685</v>
      </c>
      <c r="L44" s="40">
        <f t="shared" si="31"/>
        <v>66599.820459687631</v>
      </c>
      <c r="M44" s="40">
        <f t="shared" si="31"/>
        <v>246094.74800516904</v>
      </c>
      <c r="N44" s="40">
        <f t="shared" si="31"/>
        <v>87260.870035589091</v>
      </c>
      <c r="O44" s="40">
        <f t="shared" si="31"/>
        <v>172903.89051235217</v>
      </c>
      <c r="P44" s="40">
        <f t="shared" si="31"/>
        <v>190752.07514296769</v>
      </c>
      <c r="Q44" s="40">
        <f t="shared" si="31"/>
        <v>1056186.0728882744</v>
      </c>
      <c r="R44" s="40">
        <f t="shared" si="31"/>
        <v>53387.46978419138</v>
      </c>
      <c r="S44" s="40">
        <f t="shared" si="31"/>
        <v>79272.64971684177</v>
      </c>
      <c r="T44" s="40">
        <f t="shared" si="31"/>
        <v>116679.80544988636</v>
      </c>
      <c r="U44" s="40">
        <f t="shared" si="31"/>
        <v>143251.08500752671</v>
      </c>
      <c r="V44" s="40">
        <f t="shared" si="31"/>
        <v>90355.586384336842</v>
      </c>
      <c r="W44" s="149">
        <f t="shared" si="31"/>
        <v>94596.354883241453</v>
      </c>
      <c r="X44" s="95">
        <f t="shared" si="31"/>
        <v>217959.99307868836</v>
      </c>
      <c r="Y44" s="96">
        <f t="shared" si="31"/>
        <v>228643.87077534528</v>
      </c>
      <c r="Z44" s="114">
        <f t="shared" ref="Z44" si="32">((Z33/SUM(Z$29:Z$33))*Z$38)+((Z33/SUM(Z$30:Z$33))*Z$37)</f>
        <v>183294.90680920653</v>
      </c>
      <c r="AA44" s="4"/>
    </row>
    <row r="45" spans="1:28" s="119" customFormat="1" x14ac:dyDescent="0.25">
      <c r="B45" s="204">
        <f>SUM(B40:B44)-B19</f>
        <v>0</v>
      </c>
      <c r="C45" s="118">
        <f t="shared" ref="C45:Z45" si="33">SUM(C40:C44)-C19</f>
        <v>0</v>
      </c>
      <c r="D45" s="118">
        <f t="shared" si="33"/>
        <v>0</v>
      </c>
      <c r="E45" s="118">
        <f t="shared" si="33"/>
        <v>0</v>
      </c>
      <c r="F45" s="118">
        <f t="shared" si="33"/>
        <v>0</v>
      </c>
      <c r="G45" s="118">
        <f t="shared" si="33"/>
        <v>0</v>
      </c>
      <c r="H45" s="118">
        <f t="shared" si="33"/>
        <v>0</v>
      </c>
      <c r="I45" s="118">
        <f t="shared" si="33"/>
        <v>0</v>
      </c>
      <c r="J45" s="118">
        <f t="shared" si="33"/>
        <v>0</v>
      </c>
      <c r="K45" s="118">
        <f t="shared" si="33"/>
        <v>0</v>
      </c>
      <c r="L45" s="118">
        <f t="shared" si="33"/>
        <v>0</v>
      </c>
      <c r="M45" s="118">
        <f t="shared" si="33"/>
        <v>0</v>
      </c>
      <c r="N45" s="118">
        <f t="shared" si="33"/>
        <v>0</v>
      </c>
      <c r="O45" s="118">
        <f t="shared" si="33"/>
        <v>0</v>
      </c>
      <c r="P45" s="118">
        <f t="shared" si="33"/>
        <v>0</v>
      </c>
      <c r="Q45" s="118">
        <f t="shared" si="33"/>
        <v>0</v>
      </c>
      <c r="R45" s="118">
        <f t="shared" si="33"/>
        <v>0</v>
      </c>
      <c r="S45" s="118">
        <f t="shared" si="33"/>
        <v>0</v>
      </c>
      <c r="T45" s="118">
        <f t="shared" si="33"/>
        <v>0</v>
      </c>
      <c r="U45" s="118">
        <f t="shared" si="33"/>
        <v>0</v>
      </c>
      <c r="V45" s="118">
        <f t="shared" si="33"/>
        <v>0</v>
      </c>
      <c r="W45" s="186">
        <f t="shared" si="33"/>
        <v>0</v>
      </c>
      <c r="X45" s="189">
        <f t="shared" si="33"/>
        <v>0</v>
      </c>
      <c r="Y45" s="190">
        <f t="shared" si="33"/>
        <v>0</v>
      </c>
      <c r="Z45" s="191">
        <f t="shared" si="33"/>
        <v>0</v>
      </c>
      <c r="AA45" s="120"/>
    </row>
    <row r="46" spans="1:28" x14ac:dyDescent="0.25">
      <c r="B46" s="22"/>
      <c r="C46" s="31"/>
      <c r="D46" s="129" t="s">
        <v>16</v>
      </c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121"/>
      <c r="Y46" s="183"/>
      <c r="Z46" s="188"/>
      <c r="AA46" s="4"/>
    </row>
    <row r="47" spans="1:28" ht="15.75" thickBot="1" x14ac:dyDescent="0.3">
      <c r="A47" s="197" t="s">
        <v>80</v>
      </c>
      <c r="B47" s="138">
        <v>-9249.09</v>
      </c>
      <c r="C47" s="139">
        <v>-19652.04</v>
      </c>
      <c r="D47" s="139">
        <v>-28678.6</v>
      </c>
      <c r="E47" s="139">
        <v>-34323.35</v>
      </c>
      <c r="F47" s="139">
        <v>-24876.36</v>
      </c>
      <c r="G47" s="139">
        <v>-24308.82</v>
      </c>
      <c r="H47" s="139">
        <v>-18421.18</v>
      </c>
      <c r="I47" s="139">
        <v>-17733.03</v>
      </c>
      <c r="J47" s="139">
        <v>-6707.27</v>
      </c>
      <c r="K47" s="140">
        <v>24818.27</v>
      </c>
      <c r="L47" s="140">
        <v>43365.16</v>
      </c>
      <c r="M47" s="140">
        <v>57091.38</v>
      </c>
      <c r="N47" s="140">
        <v>44149.81</v>
      </c>
      <c r="O47" s="140">
        <v>2739.92</v>
      </c>
      <c r="P47" s="140">
        <v>1732.61</v>
      </c>
      <c r="Q47" s="140">
        <v>1715.01</v>
      </c>
      <c r="R47" s="140">
        <v>1867</v>
      </c>
      <c r="S47" s="140">
        <v>2110.96</v>
      </c>
      <c r="T47" s="140">
        <v>2163.7800000000002</v>
      </c>
      <c r="U47" s="140">
        <v>2723.07</v>
      </c>
      <c r="V47" s="140">
        <v>2343.8200000000002</v>
      </c>
      <c r="W47" s="140">
        <v>2630.02</v>
      </c>
      <c r="X47" s="83">
        <v>3023.18</v>
      </c>
      <c r="Y47" s="184">
        <v>3277.58</v>
      </c>
      <c r="Z47" s="205">
        <v>3052.25</v>
      </c>
    </row>
    <row r="48" spans="1:28" x14ac:dyDescent="0.25">
      <c r="B48" s="25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192"/>
      <c r="X48" s="25"/>
      <c r="Y48" s="26"/>
      <c r="Z48" s="192"/>
    </row>
    <row r="49" spans="1:26" x14ac:dyDescent="0.25">
      <c r="A49" t="s">
        <v>56</v>
      </c>
      <c r="B49" s="195"/>
      <c r="C49" s="106"/>
      <c r="D49" s="106"/>
      <c r="E49" s="106"/>
      <c r="F49" s="106"/>
      <c r="G49" s="106"/>
      <c r="H49" s="106"/>
      <c r="I49" s="106"/>
      <c r="J49" s="106"/>
      <c r="K49" s="107"/>
      <c r="L49" s="108"/>
      <c r="M49" s="109"/>
      <c r="N49" s="29"/>
      <c r="O49" s="29"/>
      <c r="P49" s="29"/>
      <c r="Q49" s="29"/>
      <c r="R49" s="29"/>
      <c r="S49" s="29"/>
      <c r="T49" s="29"/>
      <c r="U49" s="29"/>
      <c r="V49" s="29"/>
      <c r="W49" s="21"/>
      <c r="X49" s="20"/>
      <c r="Y49" s="29"/>
      <c r="Z49" s="21"/>
    </row>
    <row r="50" spans="1:26" x14ac:dyDescent="0.25">
      <c r="A50" t="s">
        <v>0</v>
      </c>
      <c r="B50" s="95">
        <f>B40-B22</f>
        <v>-1019363.2853550443</v>
      </c>
      <c r="C50" s="96">
        <f t="shared" ref="C50:M50" si="34">C40-C22</f>
        <v>-1102825.9715122986</v>
      </c>
      <c r="D50" s="96">
        <f t="shared" si="34"/>
        <v>-983758.73845238972</v>
      </c>
      <c r="E50" s="96">
        <f t="shared" si="34"/>
        <v>-517308.32282712264</v>
      </c>
      <c r="F50" s="96">
        <f t="shared" si="34"/>
        <v>1051789.5417558046</v>
      </c>
      <c r="G50" s="96">
        <f t="shared" si="34"/>
        <v>168544.07587252883</v>
      </c>
      <c r="H50" s="96">
        <f t="shared" si="34"/>
        <v>572185.70803054841</v>
      </c>
      <c r="I50" s="96">
        <f t="shared" si="34"/>
        <v>102316.04321688297</v>
      </c>
      <c r="J50" s="96">
        <f t="shared" si="34"/>
        <v>1051407.6836948169</v>
      </c>
      <c r="K50" s="96">
        <f t="shared" si="34"/>
        <v>3246181.5819694269</v>
      </c>
      <c r="L50" s="96">
        <f t="shared" si="34"/>
        <v>1950705.4309173138</v>
      </c>
      <c r="M50" s="96">
        <f t="shared" si="34"/>
        <v>1428148.2735363636</v>
      </c>
      <c r="N50" s="96">
        <f t="shared" ref="N50:Y50" si="35">N40-N22</f>
        <v>-868789.10556348297</v>
      </c>
      <c r="O50" s="96">
        <f t="shared" si="35"/>
        <v>-857866.69708909933</v>
      </c>
      <c r="P50" s="96">
        <f t="shared" si="35"/>
        <v>-578331.76362724719</v>
      </c>
      <c r="Q50" s="96">
        <f t="shared" si="35"/>
        <v>483569.72799787181</v>
      </c>
      <c r="R50" s="96">
        <f t="shared" si="35"/>
        <v>1092461.7996209287</v>
      </c>
      <c r="S50" s="96">
        <f t="shared" si="35"/>
        <v>800949.44684991101</v>
      </c>
      <c r="T50" s="96">
        <f t="shared" si="35"/>
        <v>519640.26475078752</v>
      </c>
      <c r="U50" s="96">
        <f t="shared" si="35"/>
        <v>1391447.8223416856</v>
      </c>
      <c r="V50" s="96">
        <f t="shared" si="35"/>
        <v>368572.56550972583</v>
      </c>
      <c r="W50" s="114">
        <f t="shared" si="35"/>
        <v>1039775.7980736638</v>
      </c>
      <c r="X50" s="95">
        <f t="shared" si="35"/>
        <v>1466746.0342452696</v>
      </c>
      <c r="Y50" s="96">
        <f t="shared" si="35"/>
        <v>888615.74088998139</v>
      </c>
      <c r="Z50" s="114">
        <f t="shared" ref="Z50" si="36">Z40-Z22</f>
        <v>-666547.80086218799</v>
      </c>
    </row>
    <row r="51" spans="1:26" x14ac:dyDescent="0.25">
      <c r="A51" t="s">
        <v>4</v>
      </c>
      <c r="B51" s="95">
        <f>B41-B23</f>
        <v>-53867.266161238935</v>
      </c>
      <c r="C51" s="96">
        <f t="shared" ref="C51:M51" si="37">C41-C23</f>
        <v>-23605.264478038851</v>
      </c>
      <c r="D51" s="96">
        <f t="shared" si="37"/>
        <v>64813.06548023253</v>
      </c>
      <c r="E51" s="96">
        <f t="shared" si="37"/>
        <v>50196.734634950029</v>
      </c>
      <c r="F51" s="96">
        <f t="shared" si="37"/>
        <v>34855.905779170345</v>
      </c>
      <c r="G51" s="96">
        <f t="shared" si="37"/>
        <v>25415.397511145376</v>
      </c>
      <c r="H51" s="96">
        <f t="shared" si="37"/>
        <v>170147.95208084898</v>
      </c>
      <c r="I51" s="96">
        <f t="shared" si="37"/>
        <v>276581.00255065633</v>
      </c>
      <c r="J51" s="96">
        <f t="shared" si="37"/>
        <v>18916.042118119884</v>
      </c>
      <c r="K51" s="96">
        <f t="shared" si="37"/>
        <v>254982.98352467234</v>
      </c>
      <c r="L51" s="96">
        <f t="shared" si="37"/>
        <v>64653.893116361032</v>
      </c>
      <c r="M51" s="96">
        <f t="shared" si="37"/>
        <v>93948.546677257138</v>
      </c>
      <c r="N51" s="96">
        <f t="shared" ref="N51:Y51" si="38">N41-N23</f>
        <v>56708.123279296837</v>
      </c>
      <c r="O51" s="96">
        <f t="shared" si="38"/>
        <v>-197190.42195667542</v>
      </c>
      <c r="P51" s="96">
        <f t="shared" si="38"/>
        <v>-76891.529232124245</v>
      </c>
      <c r="Q51" s="96">
        <f t="shared" si="38"/>
        <v>-195955.72113050439</v>
      </c>
      <c r="R51" s="96">
        <f t="shared" si="38"/>
        <v>-10000.707716564822</v>
      </c>
      <c r="S51" s="96">
        <f t="shared" si="38"/>
        <v>-186224.22575489923</v>
      </c>
      <c r="T51" s="96">
        <f t="shared" si="38"/>
        <v>-179929.85121697414</v>
      </c>
      <c r="U51" s="96">
        <f t="shared" si="38"/>
        <v>-58827.050208250352</v>
      </c>
      <c r="V51" s="96">
        <f t="shared" si="38"/>
        <v>-93268.919525909034</v>
      </c>
      <c r="W51" s="114">
        <f t="shared" si="38"/>
        <v>7054.652702181309</v>
      </c>
      <c r="X51" s="95">
        <f t="shared" si="38"/>
        <v>-51735.305819386791</v>
      </c>
      <c r="Y51" s="96">
        <f t="shared" si="38"/>
        <v>-89616.948728682997</v>
      </c>
      <c r="Z51" s="114">
        <f t="shared" ref="Z51" si="39">Z41-Z23</f>
        <v>-189515.26286429208</v>
      </c>
    </row>
    <row r="52" spans="1:26" x14ac:dyDescent="0.25">
      <c r="A52" t="s">
        <v>5</v>
      </c>
      <c r="B52" s="95">
        <f t="shared" ref="B52:M52" si="40">B42-B24</f>
        <v>-202103.98616123892</v>
      </c>
      <c r="C52" s="96">
        <f t="shared" si="40"/>
        <v>-118582.75946332468</v>
      </c>
      <c r="D52" s="96">
        <f t="shared" si="40"/>
        <v>-268880.36869237374</v>
      </c>
      <c r="E52" s="96">
        <f t="shared" si="40"/>
        <v>-63891.568910932168</v>
      </c>
      <c r="F52" s="96">
        <f t="shared" si="40"/>
        <v>651832.998383775</v>
      </c>
      <c r="G52" s="96">
        <f t="shared" si="40"/>
        <v>-25885.828982762585</v>
      </c>
      <c r="H52" s="96">
        <f t="shared" si="40"/>
        <v>-118342.47018279968</v>
      </c>
      <c r="I52" s="96">
        <f t="shared" si="40"/>
        <v>-121412.9451291142</v>
      </c>
      <c r="J52" s="96">
        <f t="shared" si="40"/>
        <v>18141.804823146784</v>
      </c>
      <c r="K52" s="96">
        <f t="shared" si="40"/>
        <v>1266089.8933737772</v>
      </c>
      <c r="L52" s="96">
        <f t="shared" si="40"/>
        <v>1109189.5690881177</v>
      </c>
      <c r="M52" s="96">
        <f t="shared" si="40"/>
        <v>520485.70719966822</v>
      </c>
      <c r="N52" s="96">
        <f t="shared" ref="N52:Y52" si="41">N42-N24</f>
        <v>51842.307947818306</v>
      </c>
      <c r="O52" s="96">
        <f t="shared" si="41"/>
        <v>-272620.23211846617</v>
      </c>
      <c r="P52" s="96">
        <f t="shared" si="41"/>
        <v>-339497.4604140023</v>
      </c>
      <c r="Q52" s="96">
        <f t="shared" si="41"/>
        <v>-637340.96581383701</v>
      </c>
      <c r="R52" s="96">
        <f t="shared" si="41"/>
        <v>66096.576869344572</v>
      </c>
      <c r="S52" s="96">
        <f t="shared" si="41"/>
        <v>-70910.340337025933</v>
      </c>
      <c r="T52" s="96">
        <f t="shared" si="41"/>
        <v>193907.47242289816</v>
      </c>
      <c r="U52" s="96">
        <f t="shared" si="41"/>
        <v>581663.71507758787</v>
      </c>
      <c r="V52" s="96">
        <f t="shared" si="41"/>
        <v>-260147.35071427946</v>
      </c>
      <c r="W52" s="114">
        <f t="shared" si="41"/>
        <v>193735.60693881102</v>
      </c>
      <c r="X52" s="95">
        <f t="shared" si="41"/>
        <v>183253.17109534715</v>
      </c>
      <c r="Y52" s="96">
        <f t="shared" si="41"/>
        <v>162772.45375295798</v>
      </c>
      <c r="Z52" s="114">
        <f t="shared" ref="Z52" si="42">Z42-Z24</f>
        <v>-161375.37246306113</v>
      </c>
    </row>
    <row r="53" spans="1:26" x14ac:dyDescent="0.25">
      <c r="A53" t="s">
        <v>6</v>
      </c>
      <c r="B53" s="95">
        <f t="shared" ref="B53:M53" si="43">B43-B25</f>
        <v>-92607.846161238936</v>
      </c>
      <c r="C53" s="96">
        <f t="shared" si="43"/>
        <v>-197536.25454633796</v>
      </c>
      <c r="D53" s="96">
        <f t="shared" si="43"/>
        <v>-167473.38944515638</v>
      </c>
      <c r="E53" s="96">
        <f t="shared" si="43"/>
        <v>-152148.55279260699</v>
      </c>
      <c r="F53" s="96">
        <f t="shared" si="43"/>
        <v>-152348.97667394867</v>
      </c>
      <c r="G53" s="96">
        <f t="shared" si="43"/>
        <v>94896.960436664289</v>
      </c>
      <c r="H53" s="96">
        <f t="shared" si="43"/>
        <v>464311.94487118139</v>
      </c>
      <c r="I53" s="96">
        <f t="shared" si="43"/>
        <v>1145.6459059139306</v>
      </c>
      <c r="J53" s="96">
        <f t="shared" si="43"/>
        <v>-35920.801538597269</v>
      </c>
      <c r="K53" s="96">
        <f t="shared" si="43"/>
        <v>283057.02032210311</v>
      </c>
      <c r="L53" s="96">
        <f t="shared" si="43"/>
        <v>-118779.3235814801</v>
      </c>
      <c r="M53" s="96">
        <f t="shared" si="43"/>
        <v>274947.99458154221</v>
      </c>
      <c r="N53" s="96">
        <f t="shared" ref="N53:Y53" si="44">N43-N25</f>
        <v>-181824.94569922137</v>
      </c>
      <c r="O53" s="96">
        <f t="shared" si="44"/>
        <v>-9003.9193481114344</v>
      </c>
      <c r="P53" s="96">
        <f t="shared" si="44"/>
        <v>-135094.70186959388</v>
      </c>
      <c r="Q53" s="96">
        <f t="shared" si="44"/>
        <v>-262122.94394180516</v>
      </c>
      <c r="R53" s="96">
        <f t="shared" si="44"/>
        <v>47484.221442100417</v>
      </c>
      <c r="S53" s="96">
        <f t="shared" si="44"/>
        <v>273679.51952517242</v>
      </c>
      <c r="T53" s="96">
        <f t="shared" si="44"/>
        <v>-55749.401406597113</v>
      </c>
      <c r="U53" s="96">
        <f t="shared" si="44"/>
        <v>-134711.44221854978</v>
      </c>
      <c r="V53" s="96">
        <f t="shared" si="44"/>
        <v>206683.7183461262</v>
      </c>
      <c r="W53" s="114">
        <f t="shared" si="44"/>
        <v>-234941.60259789811</v>
      </c>
      <c r="X53" s="95">
        <f t="shared" si="44"/>
        <v>61276.062987609359</v>
      </c>
      <c r="Y53" s="96">
        <f t="shared" si="44"/>
        <v>69513.063522192009</v>
      </c>
      <c r="Z53" s="114">
        <f t="shared" ref="Z53" si="45">Z43-Z25</f>
        <v>-21736.538301814115</v>
      </c>
    </row>
    <row r="54" spans="1:26" x14ac:dyDescent="0.25">
      <c r="A54" t="s">
        <v>7</v>
      </c>
      <c r="B54" s="95">
        <f t="shared" ref="B54:M54" si="46">B44-B26</f>
        <v>-49542.616161238926</v>
      </c>
      <c r="C54" s="96">
        <f t="shared" si="46"/>
        <v>-142523.31</v>
      </c>
      <c r="D54" s="96">
        <f t="shared" si="46"/>
        <v>-36678.048890312755</v>
      </c>
      <c r="E54" s="96">
        <f t="shared" si="46"/>
        <v>-138489.50010428822</v>
      </c>
      <c r="F54" s="96">
        <f t="shared" si="46"/>
        <v>-110091.64924480167</v>
      </c>
      <c r="G54" s="96">
        <f t="shared" si="46"/>
        <v>-145869.97483757604</v>
      </c>
      <c r="H54" s="96">
        <f t="shared" si="46"/>
        <v>-154575.83479977917</v>
      </c>
      <c r="I54" s="96">
        <f t="shared" si="46"/>
        <v>-127514.546544339</v>
      </c>
      <c r="J54" s="96">
        <f t="shared" si="46"/>
        <v>657577.79090251413</v>
      </c>
      <c r="K54" s="96">
        <f t="shared" si="46"/>
        <v>-125225.83918998031</v>
      </c>
      <c r="L54" s="96">
        <f t="shared" si="46"/>
        <v>-85509.309540312373</v>
      </c>
      <c r="M54" s="96">
        <f t="shared" si="46"/>
        <v>96706.488005169027</v>
      </c>
      <c r="N54" s="96">
        <f t="shared" ref="N54:Y54" si="47">N44-N26</f>
        <v>-54334.849964410911</v>
      </c>
      <c r="O54" s="96">
        <f t="shared" si="47"/>
        <v>53123.910512352173</v>
      </c>
      <c r="P54" s="96">
        <f t="shared" si="47"/>
        <v>63786.105142967688</v>
      </c>
      <c r="Q54" s="96">
        <f t="shared" si="47"/>
        <v>927421.50288827438</v>
      </c>
      <c r="R54" s="96">
        <f t="shared" si="47"/>
        <v>-74933.780215808627</v>
      </c>
      <c r="S54" s="96">
        <f t="shared" si="47"/>
        <v>-60149.360283158239</v>
      </c>
      <c r="T54" s="96">
        <f t="shared" si="47"/>
        <v>-34079.09455011363</v>
      </c>
      <c r="U54" s="96">
        <f t="shared" si="47"/>
        <v>-5397.8149924732861</v>
      </c>
      <c r="V54" s="96">
        <f t="shared" si="47"/>
        <v>-65680.953615663166</v>
      </c>
      <c r="W54" s="114">
        <f t="shared" si="47"/>
        <v>-50859.635116758538</v>
      </c>
      <c r="X54" s="95">
        <f t="shared" si="47"/>
        <v>70630.153883271298</v>
      </c>
      <c r="Y54" s="96">
        <f t="shared" si="47"/>
        <v>86891.889499076235</v>
      </c>
      <c r="Z54" s="114">
        <f t="shared" ref="Z54" si="48">Z44-Z26</f>
        <v>42815.082766247069</v>
      </c>
    </row>
    <row r="55" spans="1:26" x14ac:dyDescent="0.25">
      <c r="B55" s="20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1"/>
      <c r="X55" s="20"/>
      <c r="Y55" s="29"/>
      <c r="Z55" s="21"/>
    </row>
    <row r="56" spans="1:26" x14ac:dyDescent="0.25">
      <c r="A56" t="s">
        <v>57</v>
      </c>
      <c r="B56" s="20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1"/>
      <c r="X56" s="20"/>
      <c r="Y56" s="29"/>
      <c r="Z56" s="21"/>
    </row>
    <row r="57" spans="1:26" x14ac:dyDescent="0.25">
      <c r="A57" t="s">
        <v>0</v>
      </c>
      <c r="B57" s="95">
        <f>B50</f>
        <v>-1019363.2853550443</v>
      </c>
      <c r="C57" s="96">
        <f>B57+C50+B64</f>
        <v>-2128840.6023042845</v>
      </c>
      <c r="D57" s="96">
        <f t="shared" ref="D57:M57" si="49">C57+D50+C64</f>
        <v>-3126490.0256867097</v>
      </c>
      <c r="E57" s="96">
        <f t="shared" si="49"/>
        <v>-3664068.4150920678</v>
      </c>
      <c r="F57" s="96">
        <f t="shared" si="49"/>
        <v>-2636125.839724259</v>
      </c>
      <c r="G57" s="96">
        <f t="shared" si="49"/>
        <v>-2484694.6228816928</v>
      </c>
      <c r="H57" s="96">
        <f t="shared" si="49"/>
        <v>-1928659.4298998755</v>
      </c>
      <c r="I57" s="96">
        <f t="shared" si="49"/>
        <v>-1838895.7387103927</v>
      </c>
      <c r="J57" s="96">
        <f t="shared" si="49"/>
        <v>-799486.8497106611</v>
      </c>
      <c r="K57" s="96">
        <f t="shared" si="49"/>
        <v>2441464.7611134876</v>
      </c>
      <c r="L57" s="96">
        <f t="shared" si="49"/>
        <v>4407734.5298828995</v>
      </c>
      <c r="M57" s="96">
        <f t="shared" si="49"/>
        <v>5863835.1571780406</v>
      </c>
      <c r="N57" s="96">
        <f t="shared" ref="N57:X57" si="50">M57+N50+M64</f>
        <v>5031059.7920843428</v>
      </c>
      <c r="O57" s="96">
        <f>N57+O50+N64</f>
        <v>4199773.8441265561</v>
      </c>
      <c r="P57" s="96">
        <f>O57+P50+O64</f>
        <v>3623058.9129336323</v>
      </c>
      <c r="Q57" s="96">
        <f t="shared" si="50"/>
        <v>4107665.5754884644</v>
      </c>
      <c r="R57" s="96">
        <f t="shared" si="50"/>
        <v>5201233.1073364951</v>
      </c>
      <c r="S57" s="96">
        <f t="shared" si="50"/>
        <v>6003478.3763996847</v>
      </c>
      <c r="T57" s="96">
        <f t="shared" si="50"/>
        <v>6524654.2008437905</v>
      </c>
      <c r="U57" s="96">
        <f t="shared" si="50"/>
        <v>7917724.9602341829</v>
      </c>
      <c r="V57" s="96">
        <f t="shared" si="50"/>
        <v>8288355.7449454265</v>
      </c>
      <c r="W57" s="114">
        <f t="shared" si="50"/>
        <v>9329958.3311600909</v>
      </c>
      <c r="X57" s="95">
        <f t="shared" si="50"/>
        <v>10798821.294075875</v>
      </c>
      <c r="Y57" s="96">
        <f>X57+Y50+X64</f>
        <v>11689887.242522392</v>
      </c>
      <c r="Z57" s="114">
        <f>Y57+Z50+Y64</f>
        <v>11025991.828367669</v>
      </c>
    </row>
    <row r="58" spans="1:26" x14ac:dyDescent="0.25">
      <c r="A58" t="s">
        <v>4</v>
      </c>
      <c r="B58" s="95">
        <f>B51</f>
        <v>-53867.266161238935</v>
      </c>
      <c r="C58" s="96">
        <f t="shared" ref="C58:M61" si="51">B58+C51+B65</f>
        <v>-77824.014550979875</v>
      </c>
      <c r="D58" s="96">
        <f t="shared" si="51"/>
        <v>-13518.750765692488</v>
      </c>
      <c r="E58" s="96">
        <f t="shared" si="51"/>
        <v>36590.337346855806</v>
      </c>
      <c r="F58" s="96">
        <f t="shared" si="51"/>
        <v>71684.38511629081</v>
      </c>
      <c r="G58" s="96">
        <f t="shared" si="51"/>
        <v>97565.133999764061</v>
      </c>
      <c r="H58" s="96">
        <f t="shared" si="51"/>
        <v>268347.25945161149</v>
      </c>
      <c r="I58" s="96">
        <f t="shared" si="51"/>
        <v>546674.75452137459</v>
      </c>
      <c r="J58" s="96">
        <f t="shared" si="51"/>
        <v>569157.84941274649</v>
      </c>
      <c r="K58" s="96">
        <f t="shared" si="51"/>
        <v>827864.0700746082</v>
      </c>
      <c r="L58" s="96">
        <f t="shared" si="51"/>
        <v>897795.59663769486</v>
      </c>
      <c r="M58" s="96">
        <f t="shared" si="51"/>
        <v>997437.65773832542</v>
      </c>
      <c r="N58" s="96">
        <f t="shared" ref="N58:Z58" si="52">M58+N51+M65</f>
        <v>1060271.713957024</v>
      </c>
      <c r="O58" s="96">
        <f t="shared" si="52"/>
        <v>868683.0573548493</v>
      </c>
      <c r="P58" s="96">
        <f t="shared" si="52"/>
        <v>792125.95445004816</v>
      </c>
      <c r="Q58" s="96">
        <f t="shared" si="52"/>
        <v>596396.94306823215</v>
      </c>
      <c r="R58" s="96">
        <f t="shared" si="52"/>
        <v>586556.77795377944</v>
      </c>
      <c r="S58" s="96">
        <f t="shared" si="52"/>
        <v>400478.68548814772</v>
      </c>
      <c r="T58" s="96">
        <f t="shared" si="52"/>
        <v>220651.26804188325</v>
      </c>
      <c r="U58" s="96">
        <f t="shared" si="52"/>
        <v>161879.10244616956</v>
      </c>
      <c r="V58" s="96">
        <f t="shared" si="52"/>
        <v>68652.263527840667</v>
      </c>
      <c r="W58" s="114">
        <f t="shared" si="52"/>
        <v>75722.047474954612</v>
      </c>
      <c r="X58" s="95">
        <f t="shared" si="52"/>
        <v>24003.922672631357</v>
      </c>
      <c r="Y58" s="96">
        <f t="shared" si="52"/>
        <v>-65607.579666013553</v>
      </c>
      <c r="Z58" s="114">
        <f t="shared" si="52"/>
        <v>-255137.72861676692</v>
      </c>
    </row>
    <row r="59" spans="1:26" x14ac:dyDescent="0.25">
      <c r="A59" t="s">
        <v>5</v>
      </c>
      <c r="B59" s="95">
        <f t="shared" ref="B59:B61" si="53">B52</f>
        <v>-202103.98616123892</v>
      </c>
      <c r="C59" s="96">
        <f t="shared" si="51"/>
        <v>-322005.47413426568</v>
      </c>
      <c r="D59" s="96">
        <f t="shared" si="51"/>
        <v>-592986.92854536546</v>
      </c>
      <c r="E59" s="96">
        <f t="shared" si="51"/>
        <v>-660723.02739974367</v>
      </c>
      <c r="F59" s="96">
        <f t="shared" si="51"/>
        <v>-13190.232516885244</v>
      </c>
      <c r="G59" s="96">
        <f t="shared" si="51"/>
        <v>-39161.688136370714</v>
      </c>
      <c r="H59" s="96">
        <f t="shared" si="51"/>
        <v>-157758.7092920568</v>
      </c>
      <c r="I59" s="96">
        <f t="shared" si="51"/>
        <v>-280198.40016161778</v>
      </c>
      <c r="J59" s="96">
        <f t="shared" si="51"/>
        <v>-263884.88989952556</v>
      </c>
      <c r="K59" s="96">
        <f t="shared" si="51"/>
        <v>1000478.7582453914</v>
      </c>
      <c r="L59" s="96">
        <f t="shared" si="51"/>
        <v>2116046.3794173235</v>
      </c>
      <c r="M59" s="96">
        <f t="shared" si="51"/>
        <v>2649951.3332994874</v>
      </c>
      <c r="N59" s="96">
        <f t="shared" ref="N59:Z59" si="54">M59+N52+M66</f>
        <v>2718068.7678524912</v>
      </c>
      <c r="O59" s="96">
        <f t="shared" si="54"/>
        <v>2459808.9899972831</v>
      </c>
      <c r="P59" s="96">
        <f t="shared" si="54"/>
        <v>2121258.508898091</v>
      </c>
      <c r="Q59" s="96">
        <f t="shared" si="54"/>
        <v>1484524.6561080778</v>
      </c>
      <c r="R59" s="96">
        <f t="shared" si="54"/>
        <v>1551020.8484582885</v>
      </c>
      <c r="S59" s="96">
        <f t="shared" si="54"/>
        <v>1480496.9255778953</v>
      </c>
      <c r="T59" s="96">
        <f t="shared" si="54"/>
        <v>1674783.077036923</v>
      </c>
      <c r="U59" s="96">
        <f t="shared" si="54"/>
        <v>2256863.3762614406</v>
      </c>
      <c r="V59" s="96">
        <f t="shared" si="54"/>
        <v>1997302.69906254</v>
      </c>
      <c r="W59" s="114">
        <f t="shared" si="54"/>
        <v>2191478.5198383192</v>
      </c>
      <c r="X59" s="95">
        <f t="shared" si="54"/>
        <v>2375228.9282786571</v>
      </c>
      <c r="Y59" s="96">
        <f t="shared" si="54"/>
        <v>2538540.3115786542</v>
      </c>
      <c r="Z59" s="114">
        <f t="shared" si="54"/>
        <v>2377740.9233350391</v>
      </c>
    </row>
    <row r="60" spans="1:26" x14ac:dyDescent="0.25">
      <c r="A60" t="s">
        <v>6</v>
      </c>
      <c r="B60" s="95">
        <f t="shared" si="53"/>
        <v>-92607.846161238936</v>
      </c>
      <c r="C60" s="96">
        <f t="shared" si="51"/>
        <v>-290748.36690377898</v>
      </c>
      <c r="D60" s="96">
        <f t="shared" si="51"/>
        <v>-460118.8894429825</v>
      </c>
      <c r="E60" s="96">
        <f t="shared" si="51"/>
        <v>-615250.54483508191</v>
      </c>
      <c r="F60" s="96">
        <f t="shared" si="51"/>
        <v>-771603.77508749708</v>
      </c>
      <c r="G60" s="96">
        <f t="shared" si="51"/>
        <v>-681715.81172945502</v>
      </c>
      <c r="H60" s="96">
        <f t="shared" si="51"/>
        <v>-221835.01963451508</v>
      </c>
      <c r="I60" s="96">
        <f t="shared" si="51"/>
        <v>-222133.14924193904</v>
      </c>
      <c r="J60" s="96">
        <f t="shared" si="51"/>
        <v>-259503.36957933995</v>
      </c>
      <c r="K60" s="96">
        <f t="shared" si="51"/>
        <v>21856.067930120775</v>
      </c>
      <c r="L60" s="96">
        <f t="shared" si="51"/>
        <v>-96783.923218304815</v>
      </c>
      <c r="M60" s="96">
        <f t="shared" si="51"/>
        <v>177550.30062872081</v>
      </c>
      <c r="N60" s="96">
        <f t="shared" ref="N60:Z60" si="55">M60+N53+M67</f>
        <v>-3184.1897156381597</v>
      </c>
      <c r="O60" s="96">
        <f t="shared" si="55"/>
        <v>-12204.932188799918</v>
      </c>
      <c r="P60" s="96">
        <f t="shared" si="55"/>
        <v>-147304.33272335862</v>
      </c>
      <c r="Q60" s="96">
        <f t="shared" si="55"/>
        <v>-409469.43577895727</v>
      </c>
      <c r="R60" s="96">
        <f t="shared" si="55"/>
        <v>-362095.43839060061</v>
      </c>
      <c r="S60" s="96">
        <f t="shared" si="55"/>
        <v>-88506.130417710228</v>
      </c>
      <c r="T60" s="96">
        <f t="shared" si="55"/>
        <v>-144278.16977483538</v>
      </c>
      <c r="U60" s="96">
        <f t="shared" si="55"/>
        <v>-279025.49962510314</v>
      </c>
      <c r="V60" s="96">
        <f t="shared" si="55"/>
        <v>-72414.314190125733</v>
      </c>
      <c r="W60" s="114">
        <f t="shared" si="55"/>
        <v>-307371.87720459764</v>
      </c>
      <c r="X60" s="95">
        <f t="shared" si="55"/>
        <v>-246165.55561520986</v>
      </c>
      <c r="Y60" s="96">
        <f t="shared" si="55"/>
        <v>-176708.34603189712</v>
      </c>
      <c r="Z60" s="114">
        <f t="shared" si="55"/>
        <v>-198484.97872114109</v>
      </c>
    </row>
    <row r="61" spans="1:26" x14ac:dyDescent="0.25">
      <c r="A61" t="s">
        <v>7</v>
      </c>
      <c r="B61" s="95">
        <f t="shared" si="53"/>
        <v>-49542.616161238926</v>
      </c>
      <c r="C61" s="96">
        <f t="shared" si="51"/>
        <v>-192389.19173169101</v>
      </c>
      <c r="D61" s="96">
        <f t="shared" si="51"/>
        <v>-230322.58009805306</v>
      </c>
      <c r="E61" s="96">
        <f t="shared" si="51"/>
        <v>-370305.33749556844</v>
      </c>
      <c r="F61" s="96">
        <f t="shared" si="51"/>
        <v>-482807.05607755261</v>
      </c>
      <c r="G61" s="96">
        <f t="shared" si="51"/>
        <v>-631811.25499685563</v>
      </c>
      <c r="H61" s="96">
        <f t="shared" si="51"/>
        <v>-790493.86295411445</v>
      </c>
      <c r="I61" s="96">
        <f t="shared" si="51"/>
        <v>-923153.20442153362</v>
      </c>
      <c r="J61" s="96">
        <f t="shared" si="51"/>
        <v>-271598.98817786999</v>
      </c>
      <c r="K61" s="96">
        <f t="shared" si="51"/>
        <v>-398601.53560485394</v>
      </c>
      <c r="L61" s="96">
        <f t="shared" si="51"/>
        <v>-486651.92993464728</v>
      </c>
      <c r="M61" s="96">
        <f t="shared" si="51"/>
        <v>-393031.6230074676</v>
      </c>
      <c r="N61" s="96">
        <f t="shared" ref="N61:Z61" si="56">M61+N54+M68</f>
        <v>-449780.34349995473</v>
      </c>
      <c r="O61" s="96">
        <f t="shared" si="56"/>
        <v>-399032.77096982615</v>
      </c>
      <c r="P61" s="96">
        <f t="shared" si="56"/>
        <v>-335400.28579555376</v>
      </c>
      <c r="Q61" s="96">
        <f t="shared" si="56"/>
        <v>591925.22413342469</v>
      </c>
      <c r="R61" s="96">
        <f t="shared" si="56"/>
        <v>517150.78278888745</v>
      </c>
      <c r="S61" s="96">
        <f t="shared" si="56"/>
        <v>457130.26415887626</v>
      </c>
      <c r="T61" s="96">
        <f t="shared" si="56"/>
        <v>423168.09362584539</v>
      </c>
      <c r="U61" s="96">
        <f t="shared" si="56"/>
        <v>417875.53711234051</v>
      </c>
      <c r="V61" s="96">
        <f t="shared" si="56"/>
        <v>352303.21059077932</v>
      </c>
      <c r="W61" s="114">
        <f t="shared" si="56"/>
        <v>301521.22456956503</v>
      </c>
      <c r="X61" s="95">
        <f t="shared" si="56"/>
        <v>372219.79236235272</v>
      </c>
      <c r="Y61" s="96">
        <f t="shared" si="56"/>
        <v>459196.1369814002</v>
      </c>
      <c r="Z61" s="114">
        <f t="shared" si="56"/>
        <v>502115.40943781112</v>
      </c>
    </row>
    <row r="62" spans="1:26" x14ac:dyDescent="0.25">
      <c r="B62" s="20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1"/>
      <c r="X62" s="20"/>
      <c r="Y62" s="29"/>
      <c r="Z62" s="21"/>
    </row>
    <row r="63" spans="1:26" x14ac:dyDescent="0.25">
      <c r="A63" t="s">
        <v>42</v>
      </c>
      <c r="B63" s="142">
        <v>6.5250000000000004E-3</v>
      </c>
      <c r="C63" s="143">
        <v>6.5250000000000004E-3</v>
      </c>
      <c r="D63" s="143">
        <v>6.483329999999999E-3</v>
      </c>
      <c r="E63" s="143">
        <v>6.5083299999999997E-3</v>
      </c>
      <c r="F63" s="143">
        <v>6.4916699999999997E-3</v>
      </c>
      <c r="G63" s="143">
        <v>6.4999999999999997E-3</v>
      </c>
      <c r="H63" s="143">
        <v>6.5083299999999997E-3</v>
      </c>
      <c r="I63" s="143">
        <v>6.5250000000000004E-3</v>
      </c>
      <c r="J63" s="143">
        <v>6.5416600000000004E-3</v>
      </c>
      <c r="K63" s="145">
        <v>6.3749999999999996E-3</v>
      </c>
      <c r="L63" s="196">
        <v>6.3416599999999998E-3</v>
      </c>
      <c r="M63" s="196">
        <v>6.1416700000000001E-3</v>
      </c>
      <c r="N63" s="196">
        <v>5.2833300000000001E-3</v>
      </c>
      <c r="O63" s="196">
        <f>PCR!O61</f>
        <v>3.8498083333333337E-4</v>
      </c>
      <c r="P63" s="196">
        <f>PCR!P61</f>
        <v>2.8620416666666666E-4</v>
      </c>
      <c r="Q63" s="196">
        <f>PCR!Q61</f>
        <v>2.691875E-4</v>
      </c>
      <c r="R63" s="196">
        <f>PCR!R61</f>
        <v>2.4913749999999998E-4</v>
      </c>
      <c r="S63" s="196">
        <f>PCR!S61</f>
        <v>2.5577833333333334E-4</v>
      </c>
      <c r="T63" s="196">
        <f>PCR!T61</f>
        <v>2.4873916666666668E-4</v>
      </c>
      <c r="U63" s="196">
        <f>PCR!U61</f>
        <v>2.5995083333333339E-4</v>
      </c>
      <c r="V63" s="196">
        <f>PCR!V61</f>
        <v>2.2040416666666669E-4</v>
      </c>
      <c r="W63" s="196">
        <f>PCR!W61</f>
        <v>2.2689583333333332E-4</v>
      </c>
      <c r="X63" s="207">
        <f>PCR!X61</f>
        <v>2.2689583333333332E-4</v>
      </c>
      <c r="Y63" s="208">
        <f>PCR!Y61</f>
        <v>2.2689583333333332E-4</v>
      </c>
      <c r="Z63" s="209">
        <f>PCR!Z61</f>
        <v>2.2689583333333332E-4</v>
      </c>
    </row>
    <row r="64" spans="1:26" x14ac:dyDescent="0.25">
      <c r="A64" t="s">
        <v>0</v>
      </c>
      <c r="B64" s="95">
        <f>B57*B$63</f>
        <v>-6651.345436941664</v>
      </c>
      <c r="C64" s="96">
        <f>C57*C$63</f>
        <v>-13890.684930035457</v>
      </c>
      <c r="D64" s="96">
        <f t="shared" ref="D64:M64" si="57">D57*D$63</f>
        <v>-20270.066578235412</v>
      </c>
      <c r="E64" s="96">
        <f t="shared" si="57"/>
        <v>-23846.966387996155</v>
      </c>
      <c r="F64" s="96">
        <f t="shared" si="57"/>
        <v>-17112.859029962779</v>
      </c>
      <c r="G64" s="96">
        <f t="shared" si="57"/>
        <v>-16150.515048731002</v>
      </c>
      <c r="H64" s="96">
        <f t="shared" si="57"/>
        <v>-12552.352027400257</v>
      </c>
      <c r="I64" s="96">
        <f t="shared" si="57"/>
        <v>-11998.794695085313</v>
      </c>
      <c r="J64" s="96">
        <f t="shared" si="57"/>
        <v>-5229.971145278244</v>
      </c>
      <c r="K64" s="96">
        <f t="shared" si="57"/>
        <v>15564.337852098482</v>
      </c>
      <c r="L64" s="96">
        <f t="shared" si="57"/>
        <v>27952.353758777186</v>
      </c>
      <c r="M64" s="96">
        <f t="shared" si="57"/>
        <v>36013.740469785655</v>
      </c>
      <c r="N64" s="96">
        <f t="shared" ref="N64:Y64" si="58">N57*N$63</f>
        <v>26580.749131312972</v>
      </c>
      <c r="O64" s="96">
        <f t="shared" si="58"/>
        <v>1616.8324343233785</v>
      </c>
      <c r="P64" s="96">
        <f t="shared" si="58"/>
        <v>1036.9345569604095</v>
      </c>
      <c r="Q64" s="96">
        <f t="shared" si="58"/>
        <v>1105.7322271018011</v>
      </c>
      <c r="R64" s="96">
        <f t="shared" si="58"/>
        <v>1295.8222132790459</v>
      </c>
      <c r="S64" s="96">
        <f t="shared" si="58"/>
        <v>1535.5596933182173</v>
      </c>
      <c r="T64" s="96">
        <f t="shared" si="58"/>
        <v>1622.9370487060505</v>
      </c>
      <c r="U64" s="96">
        <f t="shared" si="58"/>
        <v>2058.2192015170099</v>
      </c>
      <c r="V64" s="96">
        <f t="shared" si="58"/>
        <v>1826.7881410015762</v>
      </c>
      <c r="W64" s="114">
        <f t="shared" si="58"/>
        <v>2116.9286705138447</v>
      </c>
      <c r="X64" s="95">
        <f t="shared" si="58"/>
        <v>2450.2075565370906</v>
      </c>
      <c r="Y64" s="96">
        <f t="shared" si="58"/>
        <v>2652.3867074648201</v>
      </c>
      <c r="Z64" s="114">
        <f t="shared" ref="Z64" si="59">Z57*Z$63</f>
        <v>2501.7516042240059</v>
      </c>
    </row>
    <row r="65" spans="1:28" x14ac:dyDescent="0.25">
      <c r="A65" t="s">
        <v>4</v>
      </c>
      <c r="B65" s="95">
        <f t="shared" ref="B65:M68" si="60">B58*B$63</f>
        <v>-351.48391170208407</v>
      </c>
      <c r="C65" s="96">
        <f t="shared" si="60"/>
        <v>-507.80169494514371</v>
      </c>
      <c r="D65" s="96">
        <f t="shared" si="60"/>
        <v>-87.646522401737059</v>
      </c>
      <c r="E65" s="96">
        <f t="shared" si="60"/>
        <v>238.14199026466204</v>
      </c>
      <c r="F65" s="96">
        <f t="shared" si="60"/>
        <v>465.35137232787156</v>
      </c>
      <c r="G65" s="96">
        <f t="shared" si="60"/>
        <v>634.17337099846634</v>
      </c>
      <c r="H65" s="96">
        <f t="shared" si="60"/>
        <v>1746.4925191067066</v>
      </c>
      <c r="I65" s="96">
        <f t="shared" si="60"/>
        <v>3567.0527732519695</v>
      </c>
      <c r="J65" s="96">
        <f t="shared" si="60"/>
        <v>3723.2371371893873</v>
      </c>
      <c r="K65" s="96">
        <f t="shared" si="60"/>
        <v>5277.6334467256265</v>
      </c>
      <c r="L65" s="96">
        <f t="shared" si="60"/>
        <v>5693.5144233734036</v>
      </c>
      <c r="M65" s="96">
        <f t="shared" si="60"/>
        <v>6125.9329394017414</v>
      </c>
      <c r="N65" s="96">
        <f t="shared" ref="N65:Y65" si="61">N58*N$63</f>
        <v>5601.7653545005642</v>
      </c>
      <c r="O65" s="96">
        <f t="shared" si="61"/>
        <v>334.42632732301769</v>
      </c>
      <c r="P65" s="96">
        <f t="shared" si="61"/>
        <v>226.70974868841398</v>
      </c>
      <c r="Q65" s="96">
        <f t="shared" si="61"/>
        <v>160.54260211217974</v>
      </c>
      <c r="R65" s="96">
        <f t="shared" si="61"/>
        <v>146.1332892674597</v>
      </c>
      <c r="S65" s="96">
        <f t="shared" si="61"/>
        <v>102.43377070968261</v>
      </c>
      <c r="T65" s="96">
        <f t="shared" si="61"/>
        <v>54.884612536681338</v>
      </c>
      <c r="U65" s="96">
        <f t="shared" si="61"/>
        <v>42.080607580133822</v>
      </c>
      <c r="V65" s="96">
        <f t="shared" si="61"/>
        <v>15.131244932634116</v>
      </c>
      <c r="W65" s="114">
        <f t="shared" si="61"/>
        <v>17.181017063536054</v>
      </c>
      <c r="X65" s="95">
        <f t="shared" si="61"/>
        <v>5.4463900380755854</v>
      </c>
      <c r="Y65" s="96">
        <f t="shared" si="61"/>
        <v>-14.886086461303199</v>
      </c>
      <c r="Z65" s="114">
        <f t="shared" ref="Z65" si="62">Z58*Z$63</f>
        <v>-57.889687549275173</v>
      </c>
    </row>
    <row r="66" spans="1:28" x14ac:dyDescent="0.25">
      <c r="A66" t="s">
        <v>5</v>
      </c>
      <c r="B66" s="95">
        <f t="shared" si="60"/>
        <v>-1318.728509702084</v>
      </c>
      <c r="C66" s="96">
        <f t="shared" si="60"/>
        <v>-2101.0857187260835</v>
      </c>
      <c r="D66" s="96">
        <f t="shared" si="60"/>
        <v>-3844.5299434460235</v>
      </c>
      <c r="E66" s="96">
        <f t="shared" si="60"/>
        <v>-4300.2035009165738</v>
      </c>
      <c r="F66" s="96">
        <f t="shared" si="60"/>
        <v>-85.626636722888435</v>
      </c>
      <c r="G66" s="96">
        <f t="shared" si="60"/>
        <v>-254.55097288640962</v>
      </c>
      <c r="H66" s="96">
        <f t="shared" si="60"/>
        <v>-1026.7457404467721</v>
      </c>
      <c r="I66" s="96">
        <f t="shared" si="60"/>
        <v>-1828.2945610545562</v>
      </c>
      <c r="J66" s="96">
        <f t="shared" si="60"/>
        <v>-1726.2452288601305</v>
      </c>
      <c r="K66" s="96">
        <f>K59*K$63</f>
        <v>6378.0520838143702</v>
      </c>
      <c r="L66" s="96">
        <f t="shared" si="60"/>
        <v>13419.246682495663</v>
      </c>
      <c r="M66" s="96">
        <f t="shared" si="60"/>
        <v>16275.126605185464</v>
      </c>
      <c r="N66" s="96">
        <f t="shared" ref="N66:Y66" si="63">N59*N$63</f>
        <v>14360.454263258103</v>
      </c>
      <c r="O66" s="96">
        <f t="shared" si="63"/>
        <v>946.97931480997909</v>
      </c>
      <c r="P66" s="96">
        <f t="shared" si="63"/>
        <v>607.11302382375402</v>
      </c>
      <c r="Q66" s="96">
        <f t="shared" si="63"/>
        <v>399.61548086609321</v>
      </c>
      <c r="R66" s="96">
        <f t="shared" si="63"/>
        <v>386.4174566327768</v>
      </c>
      <c r="S66" s="96">
        <f t="shared" si="63"/>
        <v>378.67903612943809</v>
      </c>
      <c r="T66" s="96">
        <f t="shared" si="63"/>
        <v>416.58414692960008</v>
      </c>
      <c r="U66" s="96">
        <f t="shared" si="63"/>
        <v>586.67351537864181</v>
      </c>
      <c r="V66" s="96">
        <f t="shared" si="63"/>
        <v>440.21383696796329</v>
      </c>
      <c r="W66" s="114">
        <f t="shared" si="63"/>
        <v>497.23734499081525</v>
      </c>
      <c r="X66" s="95">
        <f t="shared" si="63"/>
        <v>538.92954703922612</v>
      </c>
      <c r="Y66" s="96">
        <f t="shared" si="63"/>
        <v>575.98421944589836</v>
      </c>
      <c r="Z66" s="114">
        <f t="shared" ref="Z66" si="64">Z59*Z$63</f>
        <v>539.49950825087308</v>
      </c>
    </row>
    <row r="67" spans="1:28" x14ac:dyDescent="0.25">
      <c r="A67" t="s">
        <v>6</v>
      </c>
      <c r="B67" s="95">
        <f t="shared" si="60"/>
        <v>-604.26619620208407</v>
      </c>
      <c r="C67" s="96">
        <f t="shared" si="60"/>
        <v>-1897.133094047158</v>
      </c>
      <c r="D67" s="96">
        <f t="shared" si="60"/>
        <v>-2983.1025994923712</v>
      </c>
      <c r="E67" s="96">
        <f t="shared" si="60"/>
        <v>-4004.2535784665083</v>
      </c>
      <c r="F67" s="96">
        <f t="shared" si="60"/>
        <v>-5008.997078622252</v>
      </c>
      <c r="G67" s="96">
        <f t="shared" si="60"/>
        <v>-4431.1527762414571</v>
      </c>
      <c r="H67" s="96">
        <f t="shared" si="60"/>
        <v>-1443.7755133379035</v>
      </c>
      <c r="I67" s="96">
        <f t="shared" si="60"/>
        <v>-1449.4187988036524</v>
      </c>
      <c r="J67" s="96">
        <f t="shared" si="60"/>
        <v>-1697.5828126423851</v>
      </c>
      <c r="K67" s="96">
        <f t="shared" si="60"/>
        <v>139.33243305451992</v>
      </c>
      <c r="L67" s="96">
        <f t="shared" si="60"/>
        <v>-613.77073451659487</v>
      </c>
      <c r="M67" s="96">
        <f t="shared" si="60"/>
        <v>1090.4553548623958</v>
      </c>
      <c r="N67" s="96">
        <f t="shared" ref="N67:Y67" si="65">N60*N$63</f>
        <v>-16.82312505032256</v>
      </c>
      <c r="O67" s="96">
        <f t="shared" si="65"/>
        <v>-4.6986649648210168</v>
      </c>
      <c r="P67" s="96">
        <f t="shared" si="65"/>
        <v>-42.159113793478248</v>
      </c>
      <c r="Q67" s="96">
        <f t="shared" si="65"/>
        <v>-110.22405374374806</v>
      </c>
      <c r="R67" s="96">
        <f t="shared" si="65"/>
        <v>-90.211552282038255</v>
      </c>
      <c r="S67" s="96">
        <f t="shared" si="65"/>
        <v>-22.637950528024561</v>
      </c>
      <c r="T67" s="96">
        <f t="shared" si="65"/>
        <v>-35.887631717984405</v>
      </c>
      <c r="U67" s="96">
        <f t="shared" si="65"/>
        <v>-72.532911148795264</v>
      </c>
      <c r="V67" s="96">
        <f t="shared" si="65"/>
        <v>-15.960416573812839</v>
      </c>
      <c r="W67" s="114">
        <f t="shared" si="65"/>
        <v>-69.741398221568176</v>
      </c>
      <c r="X67" s="95">
        <f t="shared" si="65"/>
        <v>-55.85393887927605</v>
      </c>
      <c r="Y67" s="96">
        <f t="shared" si="65"/>
        <v>-40.094387429862323</v>
      </c>
      <c r="Z67" s="114">
        <f t="shared" ref="Z67" si="66">Z60*Z$63</f>
        <v>-45.035414651082235</v>
      </c>
    </row>
    <row r="68" spans="1:28" ht="15.75" thickBot="1" x14ac:dyDescent="0.3">
      <c r="A68" t="s">
        <v>7</v>
      </c>
      <c r="B68" s="95">
        <f t="shared" si="60"/>
        <v>-323.26557045208403</v>
      </c>
      <c r="C68" s="96">
        <f t="shared" si="60"/>
        <v>-1255.339476049284</v>
      </c>
      <c r="D68" s="96">
        <f t="shared" si="60"/>
        <v>-1493.25729322711</v>
      </c>
      <c r="E68" s="96">
        <f t="shared" si="60"/>
        <v>-2410.0693371825328</v>
      </c>
      <c r="F68" s="96">
        <f t="shared" si="60"/>
        <v>-3134.2240817269658</v>
      </c>
      <c r="G68" s="96">
        <f t="shared" si="60"/>
        <v>-4106.7731574795616</v>
      </c>
      <c r="H68" s="96">
        <f t="shared" si="60"/>
        <v>-5144.7949230801514</v>
      </c>
      <c r="I68" s="96">
        <f t="shared" si="60"/>
        <v>-6023.5746588505071</v>
      </c>
      <c r="J68" s="96">
        <f t="shared" si="60"/>
        <v>-1776.7082370036451</v>
      </c>
      <c r="K68" s="96">
        <f t="shared" si="60"/>
        <v>-2541.0847894809435</v>
      </c>
      <c r="L68" s="96">
        <f t="shared" si="60"/>
        <v>-3086.1810779893553</v>
      </c>
      <c r="M68" s="96">
        <f t="shared" si="60"/>
        <v>-2413.8705280762738</v>
      </c>
      <c r="N68" s="96">
        <f t="shared" ref="N68:Y68" si="67">N61*N$63</f>
        <v>-2376.3379822236161</v>
      </c>
      <c r="O68" s="96">
        <f t="shared" si="67"/>
        <v>-153.61996869527283</v>
      </c>
      <c r="P68" s="96">
        <f t="shared" si="67"/>
        <v>-95.992959295878293</v>
      </c>
      <c r="Q68" s="96">
        <f t="shared" si="67"/>
        <v>159.33887127141625</v>
      </c>
      <c r="R68" s="96">
        <f t="shared" si="67"/>
        <v>128.84165314706644</v>
      </c>
      <c r="S68" s="96">
        <f t="shared" si="67"/>
        <v>116.92401708278378</v>
      </c>
      <c r="T68" s="96">
        <f t="shared" si="67"/>
        <v>105.25847896841476</v>
      </c>
      <c r="U68" s="96">
        <f t="shared" si="67"/>
        <v>108.6270941019672</v>
      </c>
      <c r="V68" s="96">
        <f t="shared" si="67"/>
        <v>77.649095544251892</v>
      </c>
      <c r="W68" s="114">
        <f t="shared" si="67"/>
        <v>68.41390951639859</v>
      </c>
      <c r="X68" s="95">
        <f t="shared" si="67"/>
        <v>84.45511997121632</v>
      </c>
      <c r="Y68" s="96">
        <f t="shared" si="67"/>
        <v>104.18969016384227</v>
      </c>
      <c r="Z68" s="114">
        <f t="shared" ref="Z68" si="68">Z61*Z$63</f>
        <v>113.92789425390001</v>
      </c>
    </row>
    <row r="69" spans="1:28" ht="16.5" thickTop="1" thickBot="1" x14ac:dyDescent="0.3">
      <c r="A69" s="132" t="s">
        <v>87</v>
      </c>
      <c r="B69" s="170">
        <f>SUM(B64:B68)+SUM(B57:B61)-B72</f>
        <v>0</v>
      </c>
      <c r="C69" s="171">
        <f>SUM(C64:C68)+SUM(C57:C61)-C72</f>
        <v>0</v>
      </c>
      <c r="D69" s="171">
        <f t="shared" ref="D69:M69" si="69">SUM(D64:D68)+SUM(D57:D61)-D72</f>
        <v>0</v>
      </c>
      <c r="E69" s="171">
        <f t="shared" si="69"/>
        <v>0</v>
      </c>
      <c r="F69" s="171">
        <f t="shared" si="69"/>
        <v>0</v>
      </c>
      <c r="G69" s="171">
        <f t="shared" si="69"/>
        <v>0</v>
      </c>
      <c r="H69" s="171">
        <f t="shared" si="69"/>
        <v>0</v>
      </c>
      <c r="I69" s="171">
        <f t="shared" si="69"/>
        <v>0</v>
      </c>
      <c r="J69" s="171">
        <f t="shared" si="69"/>
        <v>0</v>
      </c>
      <c r="K69" s="171">
        <f>SUM(K64:K68)+SUM(K57:K61)-K72</f>
        <v>0</v>
      </c>
      <c r="L69" s="171">
        <f t="shared" si="69"/>
        <v>0</v>
      </c>
      <c r="M69" s="171">
        <f t="shared" si="69"/>
        <v>0</v>
      </c>
      <c r="N69" s="171">
        <f t="shared" ref="N69" si="70">SUM(N64:N68)+SUM(N57:N61)-N72</f>
        <v>0</v>
      </c>
      <c r="O69" s="171">
        <f t="shared" ref="O69" si="71">SUM(O64:O68)+SUM(O57:O61)-O72</f>
        <v>0</v>
      </c>
      <c r="P69" s="171">
        <f t="shared" ref="P69" si="72">SUM(P64:P68)+SUM(P57:P61)-P72</f>
        <v>0</v>
      </c>
      <c r="Q69" s="171">
        <f t="shared" ref="Q69" si="73">SUM(Q64:Q68)+SUM(Q57:Q61)-Q72</f>
        <v>0</v>
      </c>
      <c r="R69" s="171">
        <f t="shared" ref="R69" si="74">SUM(R64:R68)+SUM(R57:R61)-R72</f>
        <v>0</v>
      </c>
      <c r="S69" s="171">
        <f t="shared" ref="S69" si="75">SUM(S64:S68)+SUM(S57:S61)-S72</f>
        <v>0</v>
      </c>
      <c r="T69" s="171">
        <f t="shared" ref="T69" si="76">SUM(T64:T68)+SUM(T57:T61)-T72</f>
        <v>0</v>
      </c>
      <c r="U69" s="171">
        <f t="shared" ref="U69" si="77">SUM(U64:U68)+SUM(U57:U61)-U72</f>
        <v>0</v>
      </c>
      <c r="V69" s="171">
        <f t="shared" ref="V69" si="78">SUM(V64:V68)+SUM(V57:V61)-V72</f>
        <v>0</v>
      </c>
      <c r="W69" s="172">
        <f t="shared" ref="W69" si="79">SUM(W64:W68)+SUM(W57:W61)-W72</f>
        <v>0</v>
      </c>
      <c r="X69" s="170">
        <f t="shared" ref="X69" si="80">SUM(X64:X68)+SUM(X57:X61)-X72</f>
        <v>0</v>
      </c>
      <c r="Y69" s="171">
        <f t="shared" ref="Y69:Z69" si="81">SUM(Y64:Y68)+SUM(Y57:Y61)-Y72</f>
        <v>0</v>
      </c>
      <c r="Z69" s="172">
        <f t="shared" si="81"/>
        <v>0</v>
      </c>
      <c r="AB69" s="134"/>
    </row>
    <row r="70" spans="1:28" s="131" customFormat="1" ht="16.5" thickTop="1" thickBot="1" x14ac:dyDescent="0.3">
      <c r="A70" s="132" t="s">
        <v>88</v>
      </c>
      <c r="B70" s="178">
        <f>SUM(B64:B68)-B47</f>
        <v>3.749999996216502E-4</v>
      </c>
      <c r="C70" s="179">
        <f t="shared" ref="C70:Z70" si="82">SUM(C64:C68)-C47</f>
        <v>-4.9138031281472649E-3</v>
      </c>
      <c r="D70" s="179">
        <f t="shared" si="82"/>
        <v>-2.9368026553129312E-3</v>
      </c>
      <c r="E70" s="179">
        <f t="shared" si="82"/>
        <v>-8.1429711281089112E-4</v>
      </c>
      <c r="F70" s="179">
        <f t="shared" si="82"/>
        <v>4.5452929844032042E-3</v>
      </c>
      <c r="G70" s="179">
        <f t="shared" si="82"/>
        <v>1.4156600373098627E-3</v>
      </c>
      <c r="H70" s="179">
        <f t="shared" si="82"/>
        <v>4.3148416225449182E-3</v>
      </c>
      <c r="I70" s="179">
        <f t="shared" si="82"/>
        <v>5.9457939642015845E-5</v>
      </c>
      <c r="J70" s="179">
        <f t="shared" si="82"/>
        <v>-2.8659501640504459E-4</v>
      </c>
      <c r="K70" s="179">
        <f>SUM(K64:K68)-K47</f>
        <v>1.0262120522384066E-3</v>
      </c>
      <c r="L70" s="179">
        <f>SUM(L64:L68)-L47</f>
        <v>3.0521402950398624E-3</v>
      </c>
      <c r="M70" s="179">
        <f t="shared" si="82"/>
        <v>4.8411589814350009E-3</v>
      </c>
      <c r="N70" s="179">
        <f t="shared" si="82"/>
        <v>-2.3582022986374795E-3</v>
      </c>
      <c r="O70" s="179">
        <f t="shared" si="82"/>
        <v>-5.5720371892675757E-4</v>
      </c>
      <c r="P70" s="179">
        <f t="shared" si="82"/>
        <v>-4.743616779023796E-3</v>
      </c>
      <c r="Q70" s="179">
        <f t="shared" si="82"/>
        <v>-4.872392257766478E-3</v>
      </c>
      <c r="R70" s="179">
        <f t="shared" si="82"/>
        <v>3.060044310586818E-3</v>
      </c>
      <c r="S70" s="179">
        <f t="shared" si="82"/>
        <v>-1.4332879027278977E-3</v>
      </c>
      <c r="T70" s="179">
        <f t="shared" si="82"/>
        <v>-3.3445772378399852E-3</v>
      </c>
      <c r="U70" s="179">
        <f t="shared" si="82"/>
        <v>-2.4925710431489279E-3</v>
      </c>
      <c r="V70" s="179">
        <f t="shared" si="82"/>
        <v>1.9018726125068497E-3</v>
      </c>
      <c r="W70" s="193">
        <f t="shared" si="82"/>
        <v>-4.5613697284352384E-4</v>
      </c>
      <c r="X70" s="178">
        <f t="shared" si="82"/>
        <v>4.6747063329348748E-3</v>
      </c>
      <c r="Y70" s="179">
        <f t="shared" si="82"/>
        <v>1.431833952665329E-4</v>
      </c>
      <c r="Z70" s="193">
        <f t="shared" si="82"/>
        <v>3.9045284215717402E-3</v>
      </c>
    </row>
    <row r="71" spans="1:28" ht="15.75" thickTop="1" x14ac:dyDescent="0.25">
      <c r="B71" s="20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1"/>
      <c r="X71" s="20"/>
      <c r="Y71" s="29"/>
      <c r="Z71" s="21"/>
    </row>
    <row r="72" spans="1:28" x14ac:dyDescent="0.25">
      <c r="A72" t="s">
        <v>47</v>
      </c>
      <c r="B72" s="95">
        <f>(B19-SUM(B22:B26))+SUM(B64:B68)+A74</f>
        <v>-1426734.089625</v>
      </c>
      <c r="C72" s="96">
        <f>(C19-SUM(C22:C26))+SUM(C64:C68)+B72</f>
        <v>-3031459.6945388033</v>
      </c>
      <c r="D72" s="96">
        <f t="shared" ref="D72:Z72" si="83">(D19-SUM(D22:D26))+SUM(D64:D68)+C72</f>
        <v>-4452115.7774756057</v>
      </c>
      <c r="E72" s="96">
        <f t="shared" si="83"/>
        <v>-5308080.3382899035</v>
      </c>
      <c r="F72" s="96">
        <f t="shared" si="83"/>
        <v>-3856918.8737446107</v>
      </c>
      <c r="G72" s="96">
        <f t="shared" si="83"/>
        <v>-3764127.062328951</v>
      </c>
      <c r="H72" s="96">
        <f t="shared" si="83"/>
        <v>-2848820.9380141087</v>
      </c>
      <c r="I72" s="96">
        <f t="shared" si="83"/>
        <v>-2735438.7679546503</v>
      </c>
      <c r="J72" s="96">
        <f t="shared" si="83"/>
        <v>-1032023.5182412448</v>
      </c>
      <c r="K72" s="96">
        <f t="shared" si="83"/>
        <v>3917880.3927849676</v>
      </c>
      <c r="L72" s="96">
        <f t="shared" si="83"/>
        <v>6881505.8158371076</v>
      </c>
      <c r="M72" s="96">
        <f t="shared" si="83"/>
        <v>9352834.2106782682</v>
      </c>
      <c r="N72" s="96">
        <f t="shared" si="83"/>
        <v>8400585.5483200662</v>
      </c>
      <c r="O72" s="96">
        <f t="shared" si="83"/>
        <v>7119768.107762862</v>
      </c>
      <c r="P72" s="96">
        <f t="shared" si="83"/>
        <v>6055471.3630192447</v>
      </c>
      <c r="Q72" s="96">
        <f t="shared" si="83"/>
        <v>6372757.9681468522</v>
      </c>
      <c r="R72" s="96">
        <f t="shared" si="83"/>
        <v>7495733.0812068963</v>
      </c>
      <c r="S72" s="96">
        <f t="shared" si="83"/>
        <v>8255189.0797736086</v>
      </c>
      <c r="T72" s="96">
        <f t="shared" si="83"/>
        <v>8701142.2464290317</v>
      </c>
      <c r="U72" s="96">
        <f t="shared" si="83"/>
        <v>10478040.543936461</v>
      </c>
      <c r="V72" s="96">
        <f t="shared" si="83"/>
        <v>10636543.425838333</v>
      </c>
      <c r="W72" s="114">
        <f t="shared" si="83"/>
        <v>11593938.265382195</v>
      </c>
      <c r="X72" s="95">
        <f t="shared" si="83"/>
        <v>13327131.566449013</v>
      </c>
      <c r="Y72" s="96">
        <f t="shared" si="83"/>
        <v>14448585.34552772</v>
      </c>
      <c r="Z72" s="114">
        <f t="shared" si="83"/>
        <v>13455277.707707141</v>
      </c>
    </row>
    <row r="73" spans="1:28" x14ac:dyDescent="0.25">
      <c r="A73" t="s">
        <v>48</v>
      </c>
      <c r="B73" s="20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1"/>
      <c r="X73" s="20"/>
      <c r="Y73" s="29"/>
      <c r="Z73" s="21"/>
    </row>
    <row r="74" spans="1:28" ht="15.75" thickBot="1" x14ac:dyDescent="0.3">
      <c r="A74" s="123">
        <v>0</v>
      </c>
      <c r="B74" s="194"/>
      <c r="C74" s="180"/>
      <c r="D74" s="180"/>
      <c r="E74" s="180"/>
      <c r="F74" s="180"/>
      <c r="G74" s="180"/>
      <c r="H74" s="180"/>
      <c r="I74" s="180"/>
      <c r="J74" s="180"/>
      <c r="K74" s="180"/>
      <c r="L74" s="180"/>
      <c r="M74" s="180"/>
      <c r="N74" s="180"/>
      <c r="O74" s="180"/>
      <c r="P74" s="180"/>
      <c r="Q74" s="180"/>
      <c r="R74" s="180"/>
      <c r="S74" s="180"/>
      <c r="T74" s="180"/>
      <c r="U74" s="180"/>
      <c r="V74" s="180"/>
      <c r="W74" s="175"/>
      <c r="X74" s="194"/>
      <c r="Y74" s="180"/>
      <c r="Z74" s="175"/>
    </row>
    <row r="76" spans="1:28" s="119" customFormat="1" x14ac:dyDescent="0.25">
      <c r="A76" s="134"/>
      <c r="B76" s="134"/>
      <c r="C76" s="134"/>
      <c r="D76" s="134"/>
      <c r="E76" s="134"/>
      <c r="F76" s="134"/>
      <c r="G76" s="134"/>
      <c r="H76" s="134"/>
      <c r="I76" s="134"/>
      <c r="J76" s="134"/>
      <c r="K76" s="141"/>
    </row>
    <row r="77" spans="1:28" x14ac:dyDescent="0.25">
      <c r="A77" s="134"/>
      <c r="B77" s="134"/>
      <c r="C77" s="134"/>
      <c r="D77" s="134"/>
      <c r="E77" s="134"/>
      <c r="F77" s="134"/>
      <c r="G77" s="134"/>
      <c r="H77" s="134"/>
      <c r="I77" s="134"/>
      <c r="J77" s="134"/>
      <c r="K77" s="134"/>
    </row>
    <row r="78" spans="1:28" x14ac:dyDescent="0.25"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</row>
    <row r="79" spans="1:28" x14ac:dyDescent="0.25">
      <c r="B79" s="8"/>
      <c r="C79" s="8"/>
      <c r="D79" s="8"/>
      <c r="E79" s="8"/>
      <c r="F79" s="8"/>
      <c r="G79" s="8"/>
      <c r="H79" s="8"/>
    </row>
    <row r="83" spans="3:8" x14ac:dyDescent="0.25">
      <c r="C83" s="8"/>
      <c r="D83" s="8"/>
      <c r="E83" s="8"/>
      <c r="F83" s="8"/>
      <c r="G83" s="8"/>
      <c r="H83" s="8"/>
    </row>
  </sheetData>
  <mergeCells count="1">
    <mergeCell ref="X17:Z17"/>
  </mergeCells>
  <pageMargins left="0.7" right="0.7" top="0.75" bottom="0.75" header="0.3" footer="0.3"/>
  <pageSetup orientation="portrait" r:id="rId1"/>
  <ignoredErrors>
    <ignoredError sqref="B42:B44 B65:N68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1"/>
  <sheetViews>
    <sheetView tabSelected="1" topLeftCell="D1" workbookViewId="0">
      <selection activeCell="N4" sqref="N4:N8"/>
    </sheetView>
  </sheetViews>
  <sheetFormatPr defaultRowHeight="15" x14ac:dyDescent="0.25"/>
  <cols>
    <col min="3" max="3" width="16.5703125" customWidth="1"/>
    <col min="4" max="4" width="15.5703125" customWidth="1"/>
    <col min="6" max="6" width="17.28515625" bestFit="1" customWidth="1"/>
    <col min="7" max="7" width="17.140625" customWidth="1"/>
    <col min="8" max="8" width="13" customWidth="1"/>
    <col min="9" max="9" width="12.28515625" customWidth="1"/>
    <col min="10" max="11" width="13.42578125" customWidth="1"/>
    <col min="14" max="14" width="10.28515625" bestFit="1" customWidth="1"/>
  </cols>
  <sheetData>
    <row r="2" spans="2:14" ht="15.75" thickBot="1" x14ac:dyDescent="0.3">
      <c r="I2" s="217" t="s">
        <v>50</v>
      </c>
      <c r="J2" s="217"/>
    </row>
    <row r="3" spans="2:14" ht="27.75" thickBot="1" x14ac:dyDescent="0.3">
      <c r="B3" s="10" t="s">
        <v>20</v>
      </c>
      <c r="C3" s="11" t="s">
        <v>89</v>
      </c>
      <c r="D3" s="11" t="s">
        <v>90</v>
      </c>
      <c r="E3" s="11" t="s">
        <v>91</v>
      </c>
      <c r="F3" s="11" t="s">
        <v>92</v>
      </c>
      <c r="G3" s="11" t="s">
        <v>22</v>
      </c>
      <c r="H3" s="12" t="s">
        <v>23</v>
      </c>
      <c r="J3" s="92" t="s">
        <v>51</v>
      </c>
      <c r="K3" s="92" t="s">
        <v>52</v>
      </c>
    </row>
    <row r="4" spans="2:14" ht="15.75" thickBot="1" x14ac:dyDescent="0.3">
      <c r="B4" s="13" t="s">
        <v>24</v>
      </c>
      <c r="C4" s="14">
        <f>C16+C26</f>
        <v>29115236.850173883</v>
      </c>
      <c r="D4" s="15">
        <f>D16+D26</f>
        <v>44446856.471379325</v>
      </c>
      <c r="E4" s="16">
        <v>0</v>
      </c>
      <c r="F4" s="16"/>
      <c r="G4" s="17">
        <f>PPC!B4</f>
        <v>13119808034.727177</v>
      </c>
      <c r="H4" s="116">
        <f>SUM(C4:E4)/G4</f>
        <v>5.6069489070906904E-3</v>
      </c>
      <c r="J4" s="116">
        <f>ROUND((C16+C26)/G4,6)</f>
        <v>2.2190000000000001E-3</v>
      </c>
      <c r="K4" s="116">
        <f>ROUND((D16+D26)/G4,6)</f>
        <v>3.388E-3</v>
      </c>
      <c r="L4" s="35">
        <f>J4+K4-H4</f>
        <v>5.1092909309630175E-8</v>
      </c>
      <c r="N4" s="218">
        <f>K4+J4</f>
        <v>5.607E-3</v>
      </c>
    </row>
    <row r="5" spans="2:14" ht="15.75" thickBot="1" x14ac:dyDescent="0.3">
      <c r="B5" s="13" t="s">
        <v>25</v>
      </c>
      <c r="C5" s="14">
        <f t="shared" ref="C5:D9" si="0">C17+C27</f>
        <v>6347039.8459800184</v>
      </c>
      <c r="D5" s="15">
        <f>D17+D27</f>
        <v>2060778.7348976824</v>
      </c>
      <c r="E5" s="16">
        <v>0</v>
      </c>
      <c r="F5" s="16"/>
      <c r="G5" s="17">
        <f>PPC!B5</f>
        <v>3452654116.8929968</v>
      </c>
      <c r="H5" s="116">
        <f>SUM(C5:E5)/G5</f>
        <v>2.4351754610287459E-3</v>
      </c>
      <c r="J5" s="116">
        <f t="shared" ref="J5:J8" si="1">ROUND((C17+C27)/G5,6)</f>
        <v>1.838E-3</v>
      </c>
      <c r="K5" s="116">
        <f t="shared" ref="K5:K8" si="2">ROUND((D17+D27)/G5,6)</f>
        <v>5.9699999999999998E-4</v>
      </c>
      <c r="L5" s="35">
        <f t="shared" ref="L5:L8" si="3">J5+K5-H5</f>
        <v>-1.7546102874582345E-7</v>
      </c>
      <c r="N5" s="218">
        <f t="shared" ref="N5:N8" si="4">K5+J5</f>
        <v>2.4350000000000001E-3</v>
      </c>
    </row>
    <row r="6" spans="2:14" ht="15.75" thickBot="1" x14ac:dyDescent="0.3">
      <c r="B6" s="13" t="s">
        <v>26</v>
      </c>
      <c r="C6" s="14">
        <f t="shared" si="0"/>
        <v>14715189.674505949</v>
      </c>
      <c r="D6" s="15">
        <f t="shared" si="0"/>
        <v>13576348.539268017</v>
      </c>
      <c r="E6" s="16">
        <v>0</v>
      </c>
      <c r="F6" s="16"/>
      <c r="G6" s="17">
        <f>PPC!B6</f>
        <v>7941126184.7513027</v>
      </c>
      <c r="H6" s="116">
        <f>SUM(C6:E6)/G6</f>
        <v>3.5626607052410149E-3</v>
      </c>
      <c r="J6" s="116">
        <f t="shared" si="1"/>
        <v>1.853E-3</v>
      </c>
      <c r="K6" s="116">
        <f t="shared" si="2"/>
        <v>1.7099999999999999E-3</v>
      </c>
      <c r="L6" s="35">
        <f t="shared" si="3"/>
        <v>3.3929475898525699E-7</v>
      </c>
      <c r="N6" s="218">
        <f t="shared" si="4"/>
        <v>3.5630000000000002E-3</v>
      </c>
    </row>
    <row r="7" spans="2:14" ht="15.75" thickBot="1" x14ac:dyDescent="0.3">
      <c r="B7" s="13" t="s">
        <v>27</v>
      </c>
      <c r="C7" s="14">
        <f t="shared" si="0"/>
        <v>6182437.7013235083</v>
      </c>
      <c r="D7" s="15">
        <f t="shared" si="0"/>
        <v>3350446.0578148915</v>
      </c>
      <c r="E7" s="16">
        <v>0</v>
      </c>
      <c r="F7" s="16"/>
      <c r="G7" s="17">
        <f>PPC!B7</f>
        <v>3326947979.8637457</v>
      </c>
      <c r="H7" s="116">
        <f>SUM(C7:E7)/G7</f>
        <v>2.865354017206129E-3</v>
      </c>
      <c r="J7" s="116">
        <f t="shared" si="1"/>
        <v>1.8580000000000001E-3</v>
      </c>
      <c r="K7" s="116">
        <f t="shared" si="2"/>
        <v>1.0070000000000001E-3</v>
      </c>
      <c r="L7" s="35">
        <f t="shared" si="3"/>
        <v>-3.5401720612860191E-7</v>
      </c>
      <c r="N7" s="218">
        <f t="shared" si="4"/>
        <v>2.8650000000000004E-3</v>
      </c>
    </row>
    <row r="8" spans="2:14" ht="15.75" thickBot="1" x14ac:dyDescent="0.3">
      <c r="B8" s="13" t="s">
        <v>28</v>
      </c>
      <c r="C8" s="14">
        <f t="shared" si="0"/>
        <v>3529239.2661682619</v>
      </c>
      <c r="D8" s="15">
        <f t="shared" si="0"/>
        <v>3017740.6013472234</v>
      </c>
      <c r="E8" s="16">
        <v>0</v>
      </c>
      <c r="F8" s="16"/>
      <c r="G8" s="17">
        <f>PPC!B8</f>
        <v>1933854864.5137405</v>
      </c>
      <c r="H8" s="116">
        <f>SUM(C8:E8)/G8</f>
        <v>3.385455644915574E-3</v>
      </c>
      <c r="J8" s="116">
        <f t="shared" si="1"/>
        <v>1.825E-3</v>
      </c>
      <c r="K8" s="116">
        <f t="shared" si="2"/>
        <v>1.56E-3</v>
      </c>
      <c r="L8" s="35">
        <f t="shared" si="3"/>
        <v>-4.5564491557396891E-7</v>
      </c>
      <c r="N8" s="218">
        <f t="shared" si="4"/>
        <v>3.385E-3</v>
      </c>
    </row>
    <row r="9" spans="2:14" ht="15.75" thickBot="1" x14ac:dyDescent="0.3">
      <c r="B9" s="13" t="s">
        <v>29</v>
      </c>
      <c r="C9" s="14">
        <f t="shared" si="0"/>
        <v>0</v>
      </c>
      <c r="D9" s="15">
        <f t="shared" si="0"/>
        <v>0</v>
      </c>
      <c r="E9" s="16">
        <v>0</v>
      </c>
      <c r="F9" s="16"/>
      <c r="G9" s="17">
        <v>0</v>
      </c>
      <c r="H9" s="116">
        <v>0</v>
      </c>
    </row>
    <row r="14" spans="2:14" ht="15.75" thickBot="1" x14ac:dyDescent="0.3"/>
    <row r="15" spans="2:14" ht="27.75" thickBot="1" x14ac:dyDescent="0.3">
      <c r="B15" s="10" t="s">
        <v>20</v>
      </c>
      <c r="C15" s="11" t="s">
        <v>30</v>
      </c>
      <c r="D15" s="11" t="s">
        <v>31</v>
      </c>
      <c r="E15" s="11" t="s">
        <v>82</v>
      </c>
      <c r="F15" s="11" t="s">
        <v>21</v>
      </c>
    </row>
    <row r="16" spans="2:14" ht="15.75" thickBot="1" x14ac:dyDescent="0.3">
      <c r="B16" s="13" t="s">
        <v>24</v>
      </c>
      <c r="C16" s="16">
        <f>PPC!C4</f>
        <v>29859501.937391747</v>
      </c>
      <c r="D16" s="16">
        <f>PTD!C4</f>
        <v>33418362.891407426</v>
      </c>
      <c r="E16" s="16">
        <v>0</v>
      </c>
      <c r="F16" s="14">
        <f>SUM(C16:E16)</f>
        <v>63277864.828799173</v>
      </c>
    </row>
    <row r="17" spans="2:6" ht="15.75" thickBot="1" x14ac:dyDescent="0.3">
      <c r="B17" s="13" t="s">
        <v>25</v>
      </c>
      <c r="C17" s="16">
        <f>PPC!C5</f>
        <v>7395523.1253312463</v>
      </c>
      <c r="D17" s="16">
        <f>PTD!C5</f>
        <v>2315974.3532019993</v>
      </c>
      <c r="E17" s="16">
        <v>0</v>
      </c>
      <c r="F17" s="14">
        <f t="shared" ref="F17:F21" si="5">SUM(C17:E17)</f>
        <v>9711497.4785332456</v>
      </c>
    </row>
    <row r="18" spans="2:6" ht="15.75" thickBot="1" x14ac:dyDescent="0.3">
      <c r="B18" s="13" t="s">
        <v>26</v>
      </c>
      <c r="C18" s="16">
        <f>PPC!C6</f>
        <v>17009749.703324206</v>
      </c>
      <c r="D18" s="16">
        <f>PTD!C6</f>
        <v>11198068.116424732</v>
      </c>
      <c r="E18" s="16">
        <v>0</v>
      </c>
      <c r="F18" s="14">
        <f t="shared" si="5"/>
        <v>28207817.819748938</v>
      </c>
    </row>
    <row r="19" spans="2:6" ht="15.75" thickBot="1" x14ac:dyDescent="0.3">
      <c r="B19" s="13" t="s">
        <v>27</v>
      </c>
      <c r="C19" s="16">
        <f>PPC!C7</f>
        <v>7126262.8368919063</v>
      </c>
      <c r="D19" s="16">
        <f>PTD!C7</f>
        <v>3548976.0719506848</v>
      </c>
      <c r="E19" s="16">
        <v>0</v>
      </c>
      <c r="F19" s="14">
        <f t="shared" si="5"/>
        <v>10675238.908842592</v>
      </c>
    </row>
    <row r="20" spans="2:6" ht="15.75" thickBot="1" x14ac:dyDescent="0.3">
      <c r="B20" s="13" t="s">
        <v>28</v>
      </c>
      <c r="C20" s="16">
        <f>PPC!C8</f>
        <v>4142282.3970608958</v>
      </c>
      <c r="D20" s="16">
        <f>PTD!C8</f>
        <v>2515511.2640151577</v>
      </c>
      <c r="E20" s="16">
        <v>0</v>
      </c>
      <c r="F20" s="14">
        <f t="shared" si="5"/>
        <v>6657793.661076054</v>
      </c>
    </row>
    <row r="21" spans="2:6" ht="15.75" thickBot="1" x14ac:dyDescent="0.3">
      <c r="B21" s="13" t="s">
        <v>29</v>
      </c>
      <c r="C21" s="18">
        <v>0</v>
      </c>
      <c r="D21" s="16">
        <v>0</v>
      </c>
      <c r="E21" s="16">
        <v>0</v>
      </c>
      <c r="F21" s="14">
        <f t="shared" si="5"/>
        <v>0</v>
      </c>
    </row>
    <row r="24" spans="2:6" ht="15.75" thickBot="1" x14ac:dyDescent="0.3"/>
    <row r="25" spans="2:6" ht="27.75" thickBot="1" x14ac:dyDescent="0.3">
      <c r="B25" s="10" t="s">
        <v>20</v>
      </c>
      <c r="C25" s="11" t="s">
        <v>32</v>
      </c>
      <c r="D25" s="11" t="s">
        <v>33</v>
      </c>
      <c r="E25" s="11" t="s">
        <v>34</v>
      </c>
      <c r="F25" s="11" t="s">
        <v>83</v>
      </c>
    </row>
    <row r="26" spans="2:6" ht="15.75" thickBot="1" x14ac:dyDescent="0.3">
      <c r="B26" s="13" t="s">
        <v>24</v>
      </c>
      <c r="C26" s="15">
        <f>PCR!G4</f>
        <v>-744265.08721786179</v>
      </c>
      <c r="D26" s="15">
        <f>TDR!G4</f>
        <v>11028493.579971895</v>
      </c>
      <c r="E26" s="16">
        <v>0</v>
      </c>
      <c r="F26" s="19">
        <f>SUM(C26:E26)</f>
        <v>10284228.492754033</v>
      </c>
    </row>
    <row r="27" spans="2:6" ht="15.75" thickBot="1" x14ac:dyDescent="0.3">
      <c r="B27" s="13" t="s">
        <v>25</v>
      </c>
      <c r="C27" s="15">
        <f>PCR!G5</f>
        <v>-1048483.2793512278</v>
      </c>
      <c r="D27" s="15">
        <f>TDR!G5</f>
        <v>-255195.61830431697</v>
      </c>
      <c r="E27" s="16">
        <v>0</v>
      </c>
      <c r="F27" s="19">
        <f t="shared" ref="F27:F31" si="6">SUM(C27:E27)</f>
        <v>-1303678.8976555448</v>
      </c>
    </row>
    <row r="28" spans="2:6" ht="15.75" thickBot="1" x14ac:dyDescent="0.3">
      <c r="B28" s="13" t="s">
        <v>26</v>
      </c>
      <c r="C28" s="15">
        <f>PCR!G6</f>
        <v>-2294560.0288182562</v>
      </c>
      <c r="D28" s="15">
        <f>TDR!G6</f>
        <v>2378280.422843284</v>
      </c>
      <c r="E28" s="16">
        <v>0</v>
      </c>
      <c r="F28" s="19">
        <f t="shared" si="6"/>
        <v>83720.394025027752</v>
      </c>
    </row>
    <row r="29" spans="2:6" ht="15.75" thickBot="1" x14ac:dyDescent="0.3">
      <c r="B29" s="13" t="s">
        <v>27</v>
      </c>
      <c r="C29" s="15">
        <f>PCR!G7</f>
        <v>-943825.1355683984</v>
      </c>
      <c r="D29" s="15">
        <f>TDR!G7</f>
        <v>-198530.01413579311</v>
      </c>
      <c r="E29" s="16">
        <v>0</v>
      </c>
      <c r="F29" s="19">
        <f t="shared" si="6"/>
        <v>-1142355.1497041916</v>
      </c>
    </row>
    <row r="30" spans="2:6" ht="15.75" thickBot="1" x14ac:dyDescent="0.3">
      <c r="B30" s="13" t="s">
        <v>28</v>
      </c>
      <c r="C30" s="15">
        <f>PCR!G8</f>
        <v>-613043.13089263381</v>
      </c>
      <c r="D30" s="15">
        <f>TDR!G8</f>
        <v>502229.33733206551</v>
      </c>
      <c r="E30" s="16">
        <v>0</v>
      </c>
      <c r="F30" s="19">
        <f t="shared" si="6"/>
        <v>-110813.7935605683</v>
      </c>
    </row>
    <row r="31" spans="2:6" ht="15.75" thickBot="1" x14ac:dyDescent="0.3">
      <c r="B31" s="13" t="s">
        <v>29</v>
      </c>
      <c r="C31" s="15">
        <v>0</v>
      </c>
      <c r="D31" s="15">
        <v>0</v>
      </c>
      <c r="E31" s="16">
        <v>0</v>
      </c>
      <c r="F31" s="19">
        <f t="shared" si="6"/>
        <v>0</v>
      </c>
    </row>
  </sheetData>
  <mergeCells count="1">
    <mergeCell ref="I2:J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8B3B3C2A568948A3B61DE5471DEA1E" ma:contentTypeVersion="0" ma:contentTypeDescription="Create a new document." ma:contentTypeScope="" ma:versionID="e21325dc62556425e3e549579d3cac03">
  <xsd:schema xmlns:xsd="http://www.w3.org/2001/XMLSchema" xmlns:p="http://schemas.microsoft.com/office/2006/metadata/properties" xmlns:ns2="37C40F9E-044B-4F26-A90E-5C1316E52537" targetNamespace="http://schemas.microsoft.com/office/2006/metadata/properties" ma:root="true" ma:fieldsID="4b5ea1123175a8313d90db415902c5cf" ns2:_="">
    <xsd:import namespace="37C40F9E-044B-4F26-A90E-5C1316E52537"/>
    <xsd:element name="properties">
      <xsd:complexType>
        <xsd:sequence>
          <xsd:element name="documentManagement">
            <xsd:complexType>
              <xsd:all>
                <xsd:element ref="ns2:Comments0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37C40F9E-044B-4F26-A90E-5C1316E52537" elementFormDefault="qualified">
    <xsd:import namespace="http://schemas.microsoft.com/office/2006/documentManagement/types"/>
    <xsd:element name="Comments0" ma:index="8" nillable="true" ma:displayName="Comments" ma:description="Comments" ma:internalName="Comments0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Comments0 xmlns="37C40F9E-044B-4F26-A90E-5C1316E5253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7C2647-B5FC-4364-86FA-9C4ECAED7A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C40F9E-044B-4F26-A90E-5C1316E52537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BBE680F6-EEBC-41A4-AEB5-0B773B5EACA2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37C40F9E-044B-4F26-A90E-5C1316E52537"/>
    <ds:schemaRef ds:uri="http://purl.org/dc/dcmitype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FE36353-2D23-4413-BFF3-128FB6002D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PPC</vt:lpstr>
      <vt:lpstr>PCR</vt:lpstr>
      <vt:lpstr>PTD</vt:lpstr>
      <vt:lpstr>TDR</vt:lpstr>
      <vt:lpstr>PI</vt:lpstr>
      <vt:lpstr>PIR</vt:lpstr>
      <vt:lpstr>OA</vt:lpstr>
      <vt:lpstr>tariff tables</vt:lpstr>
    </vt:vector>
  </TitlesOfParts>
  <Company>Ameren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Unspecified User</dc:creator>
  <cp:lastModifiedBy>Unspecified User</cp:lastModifiedBy>
  <dcterms:created xsi:type="dcterms:W3CDTF">2013-08-12T19:20:10Z</dcterms:created>
  <dcterms:modified xsi:type="dcterms:W3CDTF">2014-11-21T20:12:46Z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0x0101009C8B3B3C2A568948A3B61DE5471DEA1E</vt:lpwstr>
  </property>
</Properties>
</file>