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10" yWindow="90" windowWidth="21180" windowHeight="10095"/>
  </bookViews>
  <sheets>
    <sheet name="MonthlyNSBCalculation" sheetId="1" r:id="rId1"/>
  </sheets>
  <definedNames>
    <definedName name="_xlnm.Print_Area" localSheetId="0">MonthlyNSBCalculation!$B$2:$AM$48</definedName>
  </definedNames>
  <calcPr calcId="145621"/>
</workbook>
</file>

<file path=xl/calcChain.xml><?xml version="1.0" encoding="utf-8"?>
<calcChain xmlns="http://schemas.openxmlformats.org/spreadsheetml/2006/main">
  <c r="Q21" i="1" l="1"/>
  <c r="R21" i="1"/>
  <c r="S21" i="1"/>
  <c r="T21" i="1"/>
  <c r="U21" i="1"/>
  <c r="V21" i="1"/>
  <c r="W21" i="1"/>
  <c r="X21" i="1"/>
  <c r="P23" i="1"/>
  <c r="P21" i="1"/>
  <c r="P24" i="1" s="1"/>
  <c r="P27" i="1" l="1"/>
  <c r="J32" i="1"/>
  <c r="J10" i="1"/>
  <c r="J11" i="1" s="1"/>
  <c r="J12" i="1" s="1"/>
  <c r="Y33" i="1" l="1"/>
  <c r="Y21" i="1" l="1"/>
  <c r="Z33" i="1"/>
  <c r="X38" i="1"/>
  <c r="Z21" i="1" l="1"/>
  <c r="AA33" i="1"/>
  <c r="X8" i="1"/>
  <c r="AA21" i="1" l="1"/>
  <c r="W38" i="1"/>
  <c r="W8" i="1" l="1"/>
  <c r="V38" i="1" l="1"/>
  <c r="V32" i="1" l="1"/>
  <c r="V8" i="1" l="1"/>
  <c r="U38" i="1" l="1"/>
  <c r="U8" i="1" l="1"/>
  <c r="T38" i="1" l="1"/>
  <c r="T8" i="1" l="1"/>
  <c r="S32" i="1" l="1"/>
  <c r="S38" i="1"/>
  <c r="S8" i="1" l="1"/>
  <c r="R38" i="1" l="1"/>
  <c r="R8" i="1" l="1"/>
  <c r="Q38" i="1" l="1"/>
  <c r="Q32" i="1" l="1"/>
  <c r="Q8" i="1" l="1"/>
  <c r="P38" i="1" l="1"/>
  <c r="P8" i="1" l="1"/>
  <c r="O38" i="1" l="1"/>
  <c r="O32" i="1" l="1"/>
  <c r="O8" i="1" l="1"/>
  <c r="M38" i="1" l="1"/>
  <c r="N32" i="1"/>
  <c r="N38" i="1"/>
  <c r="M32" i="1" l="1"/>
  <c r="L32" i="1" l="1"/>
  <c r="L38" i="1"/>
  <c r="R10" i="1" l="1"/>
  <c r="R11" i="1" s="1"/>
  <c r="R12" i="1" s="1"/>
  <c r="M10" i="1" l="1"/>
  <c r="M11" i="1" s="1"/>
  <c r="M12" i="1" s="1"/>
  <c r="H32" i="1"/>
  <c r="C10" i="1" l="1"/>
  <c r="AB33" i="1" l="1"/>
  <c r="AC33" i="1"/>
  <c r="AD33" i="1"/>
  <c r="AE33" i="1"/>
  <c r="AF33" i="1"/>
  <c r="AG33" i="1"/>
  <c r="AH33" i="1"/>
  <c r="AI33" i="1"/>
  <c r="AJ33" i="1"/>
  <c r="AK33" i="1"/>
  <c r="AL33" i="1"/>
  <c r="D32" i="1"/>
  <c r="E32" i="1"/>
  <c r="F32" i="1"/>
  <c r="G32" i="1"/>
  <c r="I32" i="1"/>
  <c r="K32" i="1"/>
  <c r="P32" i="1"/>
  <c r="R32" i="1"/>
  <c r="T32" i="1"/>
  <c r="U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C32" i="1" l="1"/>
  <c r="C34" i="1" s="1"/>
  <c r="AI10" i="1" l="1"/>
  <c r="C35" i="1" l="1"/>
  <c r="AL10" i="1"/>
  <c r="AL11" i="1" s="1"/>
  <c r="AL12" i="1" s="1"/>
  <c r="AK10" i="1"/>
  <c r="AK11" i="1" s="1"/>
  <c r="AK12" i="1" s="1"/>
  <c r="AJ10" i="1"/>
  <c r="AJ11" i="1" s="1"/>
  <c r="AJ12" i="1" s="1"/>
  <c r="AJ13" i="1" s="1"/>
  <c r="AI11" i="1"/>
  <c r="AI12" i="1" s="1"/>
  <c r="AH10" i="1"/>
  <c r="AH11" i="1" s="1"/>
  <c r="AH12" i="1" s="1"/>
  <c r="AG10" i="1"/>
  <c r="AG11" i="1" s="1"/>
  <c r="AG12" i="1" s="1"/>
  <c r="AF10" i="1"/>
  <c r="AF11" i="1" s="1"/>
  <c r="AF12" i="1" s="1"/>
  <c r="AF13" i="1" s="1"/>
  <c r="AE10" i="1"/>
  <c r="AE11" i="1" s="1"/>
  <c r="AE12" i="1" s="1"/>
  <c r="AD10" i="1"/>
  <c r="AD11" i="1" s="1"/>
  <c r="AD12" i="1" s="1"/>
  <c r="AC10" i="1"/>
  <c r="AC11" i="1" s="1"/>
  <c r="AC12" i="1" s="1"/>
  <c r="AB10" i="1"/>
  <c r="AB11" i="1" s="1"/>
  <c r="AB12" i="1" s="1"/>
  <c r="AB13" i="1" s="1"/>
  <c r="AA10" i="1"/>
  <c r="AA11" i="1" s="1"/>
  <c r="AA12" i="1" s="1"/>
  <c r="Z10" i="1"/>
  <c r="Z11" i="1" s="1"/>
  <c r="Z12" i="1" s="1"/>
  <c r="Y10" i="1"/>
  <c r="Y11" i="1" s="1"/>
  <c r="Y12" i="1" s="1"/>
  <c r="X10" i="1"/>
  <c r="X11" i="1" s="1"/>
  <c r="X12" i="1" s="1"/>
  <c r="X13" i="1" s="1"/>
  <c r="W10" i="1"/>
  <c r="W11" i="1" s="1"/>
  <c r="W12" i="1" s="1"/>
  <c r="V10" i="1"/>
  <c r="V11" i="1" s="1"/>
  <c r="V12" i="1" s="1"/>
  <c r="U10" i="1"/>
  <c r="U11" i="1" s="1"/>
  <c r="U12" i="1" s="1"/>
  <c r="T10" i="1"/>
  <c r="T11" i="1" s="1"/>
  <c r="T12" i="1" s="1"/>
  <c r="T13" i="1" s="1"/>
  <c r="S10" i="1"/>
  <c r="S11" i="1" s="1"/>
  <c r="S12" i="1" s="1"/>
  <c r="Q10" i="1"/>
  <c r="Q11" i="1" s="1"/>
  <c r="Q12" i="1" s="1"/>
  <c r="P10" i="1"/>
  <c r="P11" i="1" s="1"/>
  <c r="P12" i="1" s="1"/>
  <c r="O10" i="1"/>
  <c r="O11" i="1" s="1"/>
  <c r="O12" i="1" s="1"/>
  <c r="N10" i="1"/>
  <c r="N11" i="1" s="1"/>
  <c r="N12" i="1" s="1"/>
  <c r="L10" i="1"/>
  <c r="K10" i="1"/>
  <c r="K11" i="1" s="1"/>
  <c r="K12" i="1" s="1"/>
  <c r="I10" i="1"/>
  <c r="I11" i="1" s="1"/>
  <c r="I12" i="1" s="1"/>
  <c r="H10" i="1"/>
  <c r="G10" i="1"/>
  <c r="F10" i="1"/>
  <c r="F11" i="1" s="1"/>
  <c r="F12" i="1" s="1"/>
  <c r="E10" i="1"/>
  <c r="E11" i="1" s="1"/>
  <c r="E12" i="1" s="1"/>
  <c r="D10" i="1"/>
  <c r="C11" i="1"/>
  <c r="C12" i="1" s="1"/>
  <c r="C13" i="1" s="1"/>
  <c r="C14" i="1" s="1"/>
  <c r="J13" i="1" l="1"/>
  <c r="J14" i="1" s="1"/>
  <c r="J17" i="1" s="1"/>
  <c r="Q13" i="1"/>
  <c r="Q14" i="1" s="1"/>
  <c r="AL13" i="1"/>
  <c r="P13" i="1"/>
  <c r="U13" i="1"/>
  <c r="Y13" i="1"/>
  <c r="AC13" i="1"/>
  <c r="AK13" i="1"/>
  <c r="AH13" i="1"/>
  <c r="AG13" i="1"/>
  <c r="Z13" i="1"/>
  <c r="C17" i="1"/>
  <c r="R13" i="1"/>
  <c r="R14" i="1" s="1"/>
  <c r="F13" i="1"/>
  <c r="G11" i="1"/>
  <c r="C36" i="1"/>
  <c r="D11" i="1"/>
  <c r="D12" i="1" s="1"/>
  <c r="D13" i="1" s="1"/>
  <c r="C22" i="1"/>
  <c r="K13" i="1"/>
  <c r="K14" i="1" s="1"/>
  <c r="K17" i="1" s="1"/>
  <c r="O13" i="1"/>
  <c r="O14" i="1" s="1"/>
  <c r="O17" i="1" s="1"/>
  <c r="S13" i="1"/>
  <c r="S14" i="1" s="1"/>
  <c r="W13" i="1"/>
  <c r="W14" i="1" s="1"/>
  <c r="AA13" i="1"/>
  <c r="AA14" i="1" s="1"/>
  <c r="AE13" i="1"/>
  <c r="AE14" i="1" s="1"/>
  <c r="AI13" i="1"/>
  <c r="AI14" i="1" s="1"/>
  <c r="F14" i="1"/>
  <c r="F17" i="1" s="1"/>
  <c r="N13" i="1"/>
  <c r="N14" i="1" s="1"/>
  <c r="V13" i="1"/>
  <c r="V14" i="1" s="1"/>
  <c r="AD13" i="1"/>
  <c r="AD14" i="1" s="1"/>
  <c r="H11" i="1"/>
  <c r="H12" i="1" s="1"/>
  <c r="L11" i="1"/>
  <c r="L12" i="1" s="1"/>
  <c r="AG14" i="1"/>
  <c r="P14" i="1"/>
  <c r="P17" i="1" s="1"/>
  <c r="T14" i="1"/>
  <c r="X14" i="1"/>
  <c r="X17" i="1" s="1"/>
  <c r="AB14" i="1"/>
  <c r="AF14" i="1"/>
  <c r="AJ14" i="1"/>
  <c r="U14" i="1"/>
  <c r="AC14" i="1"/>
  <c r="Z14" i="1"/>
  <c r="AH14" i="1"/>
  <c r="AL14" i="1"/>
  <c r="Y14" i="1"/>
  <c r="AK14" i="1"/>
  <c r="D34" i="1" l="1"/>
  <c r="N17" i="1"/>
  <c r="L13" i="1"/>
  <c r="L14" i="1" s="1"/>
  <c r="L17" i="1" s="1"/>
  <c r="M13" i="1"/>
  <c r="M14" i="1" s="1"/>
  <c r="G12" i="1"/>
  <c r="D14" i="1"/>
  <c r="D17" i="1" s="1"/>
  <c r="E13" i="1"/>
  <c r="E14" i="1" s="1"/>
  <c r="E17" i="1" s="1"/>
  <c r="AH17" i="1"/>
  <c r="AJ17" i="1"/>
  <c r="AB17" i="1"/>
  <c r="T17" i="1"/>
  <c r="AG17" i="1"/>
  <c r="AD17" i="1"/>
  <c r="R17" i="1"/>
  <c r="AI17" i="1"/>
  <c r="AA17" i="1"/>
  <c r="S17" i="1"/>
  <c r="Y17" i="1"/>
  <c r="AC17" i="1"/>
  <c r="AK17" i="1"/>
  <c r="AL17" i="1"/>
  <c r="Z17" i="1"/>
  <c r="U17" i="1"/>
  <c r="AF17" i="1"/>
  <c r="Q17" i="1"/>
  <c r="V17" i="1"/>
  <c r="AE17" i="1"/>
  <c r="W17" i="1"/>
  <c r="C23" i="1"/>
  <c r="C27" i="1" s="1"/>
  <c r="C29" i="1" s="1"/>
  <c r="I13" i="1"/>
  <c r="I14" i="1" s="1"/>
  <c r="G13" i="1" l="1"/>
  <c r="G14" i="1" s="1"/>
  <c r="M17" i="1"/>
  <c r="M15" i="1"/>
  <c r="M18" i="1" s="1"/>
  <c r="L15" i="1"/>
  <c r="L18" i="1" s="1"/>
  <c r="H13" i="1"/>
  <c r="H14" i="1" s="1"/>
  <c r="D35" i="1"/>
  <c r="D36" i="1" s="1"/>
  <c r="E34" i="1" s="1"/>
  <c r="E35" i="1" s="1"/>
  <c r="I17" i="1"/>
  <c r="G17" i="1" l="1"/>
  <c r="H17" i="1"/>
  <c r="E36" i="1"/>
  <c r="F34" i="1" s="1"/>
  <c r="D23" i="1"/>
  <c r="D22" i="1"/>
  <c r="D27" i="1" l="1"/>
  <c r="D29" i="1" s="1"/>
  <c r="F35" i="1" l="1"/>
  <c r="E23" i="1"/>
  <c r="E22" i="1"/>
  <c r="F36" i="1" l="1"/>
  <c r="G34" i="1" s="1"/>
  <c r="E27" i="1"/>
  <c r="E29" i="1" s="1"/>
  <c r="F22" i="1" l="1"/>
  <c r="F23" i="1"/>
  <c r="F27" i="1" l="1"/>
  <c r="F29" i="1" s="1"/>
  <c r="G35" i="1"/>
  <c r="G22" i="1" l="1"/>
  <c r="G36" i="1"/>
  <c r="H34" i="1" s="1"/>
  <c r="G23" i="1"/>
  <c r="H35" i="1" l="1"/>
  <c r="H36" i="1" s="1"/>
  <c r="G27" i="1"/>
  <c r="G29" i="1" s="1"/>
  <c r="H23" i="1" l="1"/>
  <c r="H22" i="1"/>
  <c r="I34" i="1"/>
  <c r="I35" i="1" s="1"/>
  <c r="I36" i="1" s="1"/>
  <c r="J34" i="1" l="1"/>
  <c r="J35" i="1" s="1"/>
  <c r="J36" i="1" s="1"/>
  <c r="H27" i="1"/>
  <c r="H29" i="1" l="1"/>
  <c r="K34" i="1"/>
  <c r="K35" i="1" s="1"/>
  <c r="K36" i="1" s="1"/>
  <c r="I23" i="1" l="1"/>
  <c r="I22" i="1"/>
  <c r="L34" i="1"/>
  <c r="L35" i="1" s="1"/>
  <c r="L36" i="1" s="1"/>
  <c r="M34" i="1" s="1"/>
  <c r="M35" i="1" s="1"/>
  <c r="M36" i="1" s="1"/>
  <c r="I27" i="1" l="1"/>
  <c r="I29" i="1" s="1"/>
  <c r="J22" i="1" l="1"/>
  <c r="J23" i="1"/>
  <c r="J27" i="1" s="1"/>
  <c r="N34" i="1"/>
  <c r="J29" i="1" l="1"/>
  <c r="N35" i="1"/>
  <c r="N36" i="1" s="1"/>
  <c r="K22" i="1" l="1"/>
  <c r="K23" i="1"/>
  <c r="O34" i="1"/>
  <c r="O35" i="1" s="1"/>
  <c r="O36" i="1" s="1"/>
  <c r="K27" i="1" l="1"/>
  <c r="K29" i="1" s="1"/>
  <c r="L25" i="1" s="1"/>
  <c r="P34" i="1"/>
  <c r="P35" i="1" s="1"/>
  <c r="P36" i="1" s="1"/>
  <c r="Q34" i="1" s="1"/>
  <c r="Q35" i="1" s="1"/>
  <c r="Q36" i="1" s="1"/>
  <c r="L26" i="1" l="1"/>
  <c r="L23" i="1"/>
  <c r="L22" i="1"/>
  <c r="L46" i="1" s="1"/>
  <c r="L41" i="1"/>
  <c r="L28" i="1"/>
  <c r="L30" i="1" s="1"/>
  <c r="R34" i="1"/>
  <c r="R35" i="1" s="1"/>
  <c r="R36" i="1" s="1"/>
  <c r="L27" i="1" l="1"/>
  <c r="L29" i="1" s="1"/>
  <c r="L44" i="1" s="1"/>
  <c r="L45" i="1" s="1"/>
  <c r="L47" i="1" s="1"/>
  <c r="L48" i="1" s="1"/>
  <c r="M23" i="1"/>
  <c r="L39" i="1"/>
  <c r="S34" i="1"/>
  <c r="M26" i="1" l="1"/>
  <c r="M25" i="1"/>
  <c r="M28" i="1" s="1"/>
  <c r="M30" i="1" s="1"/>
  <c r="M39" i="1" s="1"/>
  <c r="M40" i="1" s="1"/>
  <c r="M22" i="1"/>
  <c r="M46" i="1" s="1"/>
  <c r="M41" i="1"/>
  <c r="S35" i="1"/>
  <c r="S36" i="1" s="1"/>
  <c r="L40" i="1"/>
  <c r="L42" i="1" s="1"/>
  <c r="L43" i="1" s="1"/>
  <c r="M27" i="1" l="1"/>
  <c r="M29" i="1" s="1"/>
  <c r="N23" i="1" s="1"/>
  <c r="M42" i="1"/>
  <c r="N22" i="1"/>
  <c r="N25" i="1"/>
  <c r="N26" i="1"/>
  <c r="T34" i="1"/>
  <c r="T35" i="1" s="1"/>
  <c r="T36" i="1" s="1"/>
  <c r="M44" i="1" l="1"/>
  <c r="M45" i="1" s="1"/>
  <c r="M47" i="1" s="1"/>
  <c r="M48" i="1" s="1"/>
  <c r="N46" i="1"/>
  <c r="N27" i="1"/>
  <c r="N29" i="1" s="1"/>
  <c r="U34" i="1"/>
  <c r="U35" i="1" s="1"/>
  <c r="U36" i="1" s="1"/>
  <c r="M43" i="1"/>
  <c r="O22" i="1" l="1"/>
  <c r="N44" i="1"/>
  <c r="N45" i="1" s="1"/>
  <c r="N47" i="1" s="1"/>
  <c r="N48" i="1" s="1"/>
  <c r="O23" i="1"/>
  <c r="O27" i="1" s="1"/>
  <c r="O29" i="1" s="1"/>
  <c r="P22" i="1" s="1"/>
  <c r="V34" i="1"/>
  <c r="V35" i="1" s="1"/>
  <c r="V36" i="1" s="1"/>
  <c r="O46" i="1" l="1"/>
  <c r="W34" i="1"/>
  <c r="W35" i="1" s="1"/>
  <c r="W36" i="1" s="1"/>
  <c r="X34" i="1" s="1"/>
  <c r="X35" i="1" s="1"/>
  <c r="X36" i="1" s="1"/>
  <c r="O44" i="1"/>
  <c r="O45" i="1" s="1"/>
  <c r="O47" i="1" l="1"/>
  <c r="O48" i="1" s="1"/>
  <c r="P29" i="1"/>
  <c r="Q24" i="1" s="1"/>
  <c r="Y34" i="1"/>
  <c r="Y35" i="1" s="1"/>
  <c r="Y36" i="1" s="1"/>
  <c r="Q23" i="1" l="1"/>
  <c r="Q22" i="1"/>
  <c r="Z34" i="1"/>
  <c r="Z35" i="1" s="1"/>
  <c r="Z36" i="1" s="1"/>
  <c r="Q27" i="1" l="1"/>
  <c r="Q29" i="1" s="1"/>
  <c r="R24" i="1" s="1"/>
  <c r="AA34" i="1"/>
  <c r="AA35" i="1" s="1"/>
  <c r="AA36" i="1" s="1"/>
  <c r="R23" i="1" l="1"/>
  <c r="R22" i="1"/>
  <c r="AB34" i="1"/>
  <c r="AB35" i="1" s="1"/>
  <c r="AB36" i="1" s="1"/>
  <c r="R27" i="1" l="1"/>
  <c r="R29" i="1" s="1"/>
  <c r="S24" i="1" s="1"/>
  <c r="AC34" i="1"/>
  <c r="AC35" i="1" s="1"/>
  <c r="AC36" i="1" s="1"/>
  <c r="S23" i="1" l="1"/>
  <c r="S22" i="1"/>
  <c r="AD34" i="1"/>
  <c r="AD35" i="1" s="1"/>
  <c r="AD36" i="1" s="1"/>
  <c r="S27" i="1" l="1"/>
  <c r="S29" i="1" s="1"/>
  <c r="T24" i="1" s="1"/>
  <c r="AE34" i="1"/>
  <c r="AE35" i="1" s="1"/>
  <c r="AE36" i="1" s="1"/>
  <c r="T23" i="1" l="1"/>
  <c r="T22" i="1"/>
  <c r="AF34" i="1"/>
  <c r="AF35" i="1" s="1"/>
  <c r="AF36" i="1" s="1"/>
  <c r="T27" i="1" l="1"/>
  <c r="T29" i="1" s="1"/>
  <c r="U24" i="1" s="1"/>
  <c r="AG34" i="1"/>
  <c r="AG35" i="1" s="1"/>
  <c r="AG36" i="1" s="1"/>
  <c r="U22" i="1" l="1"/>
  <c r="U23" i="1"/>
  <c r="AH34" i="1"/>
  <c r="AH35" i="1" s="1"/>
  <c r="AH36" i="1" s="1"/>
  <c r="U27" i="1" l="1"/>
  <c r="U29" i="1" s="1"/>
  <c r="V24" i="1" s="1"/>
  <c r="AI34" i="1"/>
  <c r="AI35" i="1" s="1"/>
  <c r="AI36" i="1" s="1"/>
  <c r="V22" i="1" l="1"/>
  <c r="V23" i="1"/>
  <c r="AJ34" i="1"/>
  <c r="AJ35" i="1" s="1"/>
  <c r="AJ36" i="1" s="1"/>
  <c r="V27" i="1" l="1"/>
  <c r="V29" i="1" s="1"/>
  <c r="W24" i="1" s="1"/>
  <c r="AK34" i="1"/>
  <c r="AK35" i="1" s="1"/>
  <c r="AK36" i="1" s="1"/>
  <c r="W22" i="1" l="1"/>
  <c r="W23" i="1"/>
  <c r="W27" i="1" s="1"/>
  <c r="W29" i="1" s="1"/>
  <c r="X24" i="1" s="1"/>
  <c r="AL34" i="1"/>
  <c r="AL35" i="1" s="1"/>
  <c r="AL36" i="1" s="1"/>
  <c r="X22" i="1" l="1"/>
  <c r="X23" i="1"/>
  <c r="X27" i="1" s="1"/>
  <c r="X29" i="1" s="1"/>
  <c r="Y24" i="1" s="1"/>
  <c r="Y23" i="1" l="1"/>
  <c r="Y22" i="1"/>
  <c r="Y27" i="1" l="1"/>
  <c r="Y29" i="1" s="1"/>
  <c r="Z23" i="1" l="1"/>
  <c r="Z24" i="1"/>
  <c r="Z22" i="1"/>
  <c r="Z27" i="1" l="1"/>
  <c r="Z29" i="1" s="1"/>
  <c r="AA23" i="1" l="1"/>
  <c r="AA24" i="1"/>
  <c r="AA22" i="1"/>
  <c r="AA27" i="1"/>
  <c r="AA29" i="1" s="1"/>
  <c r="AB24" i="1" s="1"/>
  <c r="AB22" i="1" l="1"/>
  <c r="AB23" i="1"/>
  <c r="AB27" i="1" l="1"/>
  <c r="AB29" i="1" s="1"/>
  <c r="AC24" i="1" s="1"/>
  <c r="AC23" i="1" l="1"/>
  <c r="AC22" i="1"/>
  <c r="AC27" i="1" l="1"/>
  <c r="AC29" i="1" s="1"/>
  <c r="AD24" i="1" s="1"/>
  <c r="AD22" i="1" l="1"/>
  <c r="AD23" i="1"/>
  <c r="AD27" i="1" l="1"/>
  <c r="AD29" i="1" s="1"/>
  <c r="AE24" i="1" s="1"/>
  <c r="AE23" i="1" l="1"/>
  <c r="AE22" i="1"/>
  <c r="AE27" i="1" l="1"/>
  <c r="AE29" i="1" s="1"/>
  <c r="AF24" i="1" s="1"/>
  <c r="AF23" i="1" l="1"/>
  <c r="AF22" i="1"/>
  <c r="AF27" i="1" l="1"/>
  <c r="AF29" i="1" s="1"/>
  <c r="AG24" i="1" s="1"/>
  <c r="AG23" i="1" l="1"/>
  <c r="AG22" i="1"/>
  <c r="AG27" i="1" l="1"/>
  <c r="AG29" i="1" s="1"/>
  <c r="AH24" i="1" s="1"/>
  <c r="AH22" i="1" l="1"/>
  <c r="AH23" i="1"/>
  <c r="AH27" i="1" s="1"/>
  <c r="AH29" i="1" l="1"/>
  <c r="AI24" i="1" s="1"/>
  <c r="AI23" i="1" l="1"/>
  <c r="AI22" i="1"/>
  <c r="AI27" i="1" l="1"/>
  <c r="AI29" i="1" s="1"/>
  <c r="AJ24" i="1" s="1"/>
  <c r="AJ23" i="1" l="1"/>
  <c r="AJ22" i="1"/>
  <c r="AJ27" i="1" l="1"/>
  <c r="AJ29" i="1" s="1"/>
  <c r="AK24" i="1" s="1"/>
  <c r="AK22" i="1" l="1"/>
  <c r="AK23" i="1"/>
  <c r="AK27" i="1" s="1"/>
  <c r="AK29" i="1" s="1"/>
  <c r="AL22" i="1" l="1"/>
  <c r="AL24" i="1"/>
  <c r="AL23" i="1"/>
  <c r="AL27" i="1" s="1"/>
  <c r="AL29" i="1" s="1"/>
</calcChain>
</file>

<file path=xl/comments1.xml><?xml version="1.0" encoding="utf-8"?>
<comments xmlns="http://schemas.openxmlformats.org/spreadsheetml/2006/main">
  <authors>
    <author>Raysene Logan</author>
  </authors>
  <commentList>
    <comment ref="Y8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pulled from support file, tab "PTD.1, PTD.2, TDR.3, TDR.3 Fore", line 4 for Nov 14 - Dec 15</t>
        </r>
      </text>
    </comment>
    <comment ref="Y9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pulled from rate filing PCR tab, lines 19-22 for Nov - Jan</t>
        </r>
      </text>
    </comment>
    <comment ref="AB9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from forecasts use this file, tab "PPC.2 &amp; PCR.1 Forecast", line 7 for Feb 15 - Dec 15</t>
        </r>
      </text>
    </comment>
    <comment ref="Y16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pulled from rate filing TDR tab, lines 22-26 for Nov - Jan</t>
        </r>
      </text>
    </comment>
    <comment ref="Y31" authorId="0">
      <text>
        <r>
          <rPr>
            <b/>
            <sz val="9"/>
            <color indexed="81"/>
            <rFont val="Tahoma"/>
            <family val="2"/>
          </rPr>
          <t>Raysene Logan:</t>
        </r>
        <r>
          <rPr>
            <sz val="9"/>
            <color indexed="81"/>
            <rFont val="Tahoma"/>
            <family val="2"/>
          </rPr>
          <t xml:space="preserve">
pulled from rate filing PCR tab, lines 39-43 for Nov - Jan</t>
        </r>
      </text>
    </comment>
  </commentList>
</comments>
</file>

<file path=xl/sharedStrings.xml><?xml version="1.0" encoding="utf-8"?>
<sst xmlns="http://schemas.openxmlformats.org/spreadsheetml/2006/main" count="85" uniqueCount="60">
  <si>
    <t>Month</t>
  </si>
  <si>
    <t>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</si>
  <si>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</si>
  <si>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</si>
  <si>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</si>
  <si>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</si>
  <si>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</si>
  <si>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</si>
  <si>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</si>
  <si>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</si>
  <si>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</si>
  <si>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</si>
  <si>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</si>
  <si>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</si>
  <si>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Sharing Pct</t>
  </si>
  <si>
    <t>Net Shared Benefits Calculation</t>
  </si>
  <si>
    <t>Discount Rate</t>
  </si>
  <si>
    <t>DSMore Cumulative NPV of Benefits (2013 $)</t>
  </si>
  <si>
    <t>MEEIA Current Month Booked Costs with Accruals (Current $)</t>
  </si>
  <si>
    <t>MEEIA Cumulative Net Benefits (2013 $)</t>
  </si>
  <si>
    <t>MEEIA Cumulative Net Shared Benefits (2013 $)</t>
  </si>
  <si>
    <t>MEEIA Current Month Booked Net Shared Benefits (2013 $)</t>
  </si>
  <si>
    <t>MEEIA Current Month Booked Net Shared Benefits (Current $)</t>
  </si>
  <si>
    <t>MEEIA Current Program Cost Revenue (Current $)</t>
  </si>
  <si>
    <t>MEEIA Current Throughput Disincentive (TD) Revenue (Current $)</t>
  </si>
  <si>
    <t>Difference in Shared Benefit Regulatory Asset/(Liability) (Current $)</t>
  </si>
  <si>
    <t>Difference in Program Cost Regulatory Asset/(Liability) (Current $)</t>
  </si>
  <si>
    <t xml:space="preserve">   Interest Rate (+/-)</t>
  </si>
  <si>
    <t xml:space="preserve">   Interest (Current $)??</t>
  </si>
  <si>
    <t xml:space="preserve">   Interest Equity portion (Current $)</t>
  </si>
  <si>
    <t xml:space="preserve">   Interest Debt portion (Current $)</t>
  </si>
  <si>
    <t xml:space="preserve">Throughput Disincentive </t>
  </si>
  <si>
    <t>Net Shared Benefits</t>
  </si>
  <si>
    <t>Program Cost</t>
  </si>
  <si>
    <t>Difference in Program Cost Regulatory Asset/(Liability) (Current $) w/ Interest</t>
  </si>
  <si>
    <t>Cumulative Balance in Program Cost Regulatory Asset/(Liability) w/ Interest</t>
  </si>
  <si>
    <t>Difference in Shared Benefit Regulatory Asset/(Liability) (Current $) w/ Interest</t>
  </si>
  <si>
    <t>Cumulative Balance in Shared Benefit Regulatory Asset/(Liability) w/ Interest</t>
  </si>
  <si>
    <t xml:space="preserve">   90% of Net Shared Benefits</t>
  </si>
  <si>
    <t xml:space="preserve">   Difference of 90% Net Sh Benefits and Revenue</t>
  </si>
  <si>
    <t>MEEIA Cumulative Booked Costs with Accruals and corrections (2013 $)</t>
  </si>
  <si>
    <t xml:space="preserve">   AFUDC Int Rate Equity on Difference of 90% Net Sh Benefits and Revenue</t>
  </si>
  <si>
    <t xml:space="preserve">   AFUDC Int Rate Debt on Difference of 90% Net Sh Benefits and Revenue</t>
  </si>
  <si>
    <t>Difference in 90% Sh Bene Reg Asset/(Liab) (Current $) w/ Interest</t>
  </si>
  <si>
    <t>Cumulative Balance in Shared Benefit Reg Asset/(Liab) with Interest at 90%</t>
  </si>
  <si>
    <t xml:space="preserve">   Capitalization Debt Rate (annual)</t>
  </si>
  <si>
    <t xml:space="preserve">   Capitalization Debt Rate (monthly)</t>
  </si>
  <si>
    <t>Total AFUDC Interest Debt and Equity (90% Net Sh Benefits)</t>
  </si>
  <si>
    <t>MEEIA Debt Cost (on 90% Shared Benefit Reg Asset) (Current $)</t>
  </si>
  <si>
    <t xml:space="preserve">Cumulative MEEIA Debt Cost Shared Benefit Contra Asset </t>
  </si>
  <si>
    <t>MEEIA Current month Debt Cost Shared Benefit Contra Asset (Current $)</t>
  </si>
  <si>
    <t xml:space="preserve">   Difference of 100% Net Sh Benefits and Revenue</t>
  </si>
  <si>
    <t>MEEIA Debt Cost (on 100% Shared Benefit Reg Asset) (Current $)</t>
  </si>
  <si>
    <t>Total AFUDC Interest Debt and Equity (100% Net Sh Benefits)</t>
  </si>
  <si>
    <t>MEEIA Current month Equity Portion Shared Benefit Contra Asset (Current $)</t>
  </si>
  <si>
    <t xml:space="preserve">Cumulative MEEIA Equity Portion Shared Benefit Contra Asset </t>
  </si>
  <si>
    <t>ST Borrowing rate (annual rate)</t>
  </si>
  <si>
    <t xml:space="preserve">   AFUDC Interest Rate Debt portion (monthly rate)</t>
  </si>
  <si>
    <t xml:space="preserve">  AFUDC Interest Rate Equity portion (monthly rate)</t>
  </si>
  <si>
    <t>Interest portion (Current $) - ST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</si>
</sst>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0.00000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7C5B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BDFFB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/>
      <diagonal/>
    </border>
    <border>
      <left style="thick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10" fontId="0" fillId="4" borderId="2" xfId="3" applyNumberFormat="1" applyFont="1"/>
    <xf numFmtId="0" fontId="4" fillId="0" borderId="0" xfId="0" applyFont="1"/>
    <xf numFmtId="0" fontId="0" fillId="5" borderId="0" xfId="0" applyFill="1"/>
    <xf numFmtId="0" fontId="5" fillId="5" borderId="0" xfId="0" applyFont="1" applyFill="1"/>
    <xf numFmtId="0" fontId="5" fillId="0" borderId="0" xfId="0" applyFont="1"/>
    <xf numFmtId="0" fontId="5" fillId="9" borderId="0" xfId="0" applyFont="1" applyFill="1"/>
    <xf numFmtId="0" fontId="0" fillId="10" borderId="0" xfId="0" applyFill="1"/>
    <xf numFmtId="8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5" fillId="2" borderId="7" xfId="1" applyNumberFormat="1" applyFont="1" applyBorder="1" applyProtection="1">
      <protection locked="0"/>
    </xf>
    <xf numFmtId="164" fontId="5" fillId="2" borderId="8" xfId="1" applyNumberFormat="1" applyFont="1" applyBorder="1" applyProtection="1">
      <protection locked="0"/>
    </xf>
    <xf numFmtId="164" fontId="5" fillId="3" borderId="7" xfId="2" applyNumberFormat="1" applyFont="1" applyBorder="1"/>
    <xf numFmtId="164" fontId="5" fillId="3" borderId="8" xfId="2" applyNumberFormat="1" applyFont="1" applyBorder="1"/>
    <xf numFmtId="164" fontId="5" fillId="9" borderId="7" xfId="2" applyNumberFormat="1" applyFont="1" applyFill="1" applyBorder="1"/>
    <xf numFmtId="164" fontId="5" fillId="9" borderId="8" xfId="2" applyNumberFormat="1" applyFont="1" applyFill="1" applyBorder="1"/>
    <xf numFmtId="0" fontId="8" fillId="15" borderId="0" xfId="0" applyFont="1" applyFill="1" applyBorder="1" applyProtection="1">
      <protection locked="0"/>
    </xf>
    <xf numFmtId="164" fontId="8" fillId="7" borderId="7" xfId="2" applyNumberFormat="1" applyFont="1" applyFill="1" applyBorder="1" applyProtection="1">
      <protection locked="0"/>
    </xf>
    <xf numFmtId="164" fontId="8" fillId="7" borderId="8" xfId="2" applyNumberFormat="1" applyFont="1" applyFill="1" applyBorder="1" applyProtection="1">
      <protection locked="0"/>
    </xf>
    <xf numFmtId="0" fontId="8" fillId="5" borderId="0" xfId="0" applyFont="1" applyFill="1"/>
    <xf numFmtId="0" fontId="8" fillId="8" borderId="0" xfId="0" applyFont="1" applyFill="1"/>
    <xf numFmtId="164" fontId="8" fillId="9" borderId="6" xfId="2" applyNumberFormat="1" applyFont="1" applyFill="1" applyBorder="1" applyProtection="1"/>
    <xf numFmtId="164" fontId="8" fillId="9" borderId="7" xfId="2" applyNumberFormat="1" applyFont="1" applyFill="1" applyBorder="1" applyProtection="1"/>
    <xf numFmtId="164" fontId="8" fillId="9" borderId="8" xfId="2" applyNumberFormat="1" applyFont="1" applyFill="1" applyBorder="1" applyProtection="1"/>
    <xf numFmtId="164" fontId="8" fillId="9" borderId="9" xfId="2" applyNumberFormat="1" applyFont="1" applyFill="1" applyBorder="1" applyProtection="1"/>
    <xf numFmtId="164" fontId="8" fillId="9" borderId="10" xfId="2" applyNumberFormat="1" applyFont="1" applyFill="1" applyBorder="1" applyProtection="1"/>
    <xf numFmtId="164" fontId="8" fillId="9" borderId="11" xfId="2" applyNumberFormat="1" applyFont="1" applyFill="1" applyBorder="1" applyProtection="1"/>
    <xf numFmtId="0" fontId="9" fillId="6" borderId="0" xfId="0" applyFont="1" applyFill="1" applyBorder="1" applyProtection="1">
      <protection locked="0"/>
    </xf>
    <xf numFmtId="164" fontId="9" fillId="7" borderId="7" xfId="2" applyNumberFormat="1" applyFont="1" applyFill="1" applyBorder="1" applyProtection="1">
      <protection locked="0"/>
    </xf>
    <xf numFmtId="164" fontId="9" fillId="7" borderId="8" xfId="2" applyNumberFormat="1" applyFont="1" applyFill="1" applyBorder="1" applyProtection="1">
      <protection locked="0"/>
    </xf>
    <xf numFmtId="0" fontId="9" fillId="5" borderId="0" xfId="0" applyFont="1" applyFill="1"/>
    <xf numFmtId="0" fontId="9" fillId="0" borderId="0" xfId="0" applyFont="1"/>
    <xf numFmtId="164" fontId="9" fillId="0" borderId="6" xfId="2" applyNumberFormat="1" applyFont="1" applyFill="1" applyBorder="1" applyProtection="1"/>
    <xf numFmtId="164" fontId="9" fillId="0" borderId="7" xfId="2" applyNumberFormat="1" applyFont="1" applyFill="1" applyBorder="1" applyProtection="1"/>
    <xf numFmtId="164" fontId="9" fillId="0" borderId="8" xfId="2" applyNumberFormat="1" applyFont="1" applyFill="1" applyBorder="1" applyProtection="1"/>
    <xf numFmtId="0" fontId="9" fillId="6" borderId="0" xfId="0" applyFont="1" applyFill="1"/>
    <xf numFmtId="164" fontId="9" fillId="9" borderId="6" xfId="2" applyNumberFormat="1" applyFont="1" applyFill="1" applyBorder="1" applyProtection="1"/>
    <xf numFmtId="164" fontId="9" fillId="9" borderId="7" xfId="2" applyNumberFormat="1" applyFont="1" applyFill="1" applyBorder="1" applyProtection="1"/>
    <xf numFmtId="164" fontId="9" fillId="9" borderId="8" xfId="2" applyNumberFormat="1" applyFont="1" applyFill="1" applyBorder="1" applyProtection="1"/>
    <xf numFmtId="0" fontId="9" fillId="9" borderId="0" xfId="0" applyFont="1" applyFill="1"/>
    <xf numFmtId="0" fontId="6" fillId="5" borderId="0" xfId="0" applyFont="1" applyFill="1"/>
    <xf numFmtId="0" fontId="6" fillId="0" borderId="0" xfId="0" applyFont="1"/>
    <xf numFmtId="0" fontId="6" fillId="10" borderId="0" xfId="0" applyFont="1" applyFill="1"/>
    <xf numFmtId="0" fontId="0" fillId="0" borderId="6" xfId="0" applyBorder="1" applyAlignment="1" applyProtection="1">
      <alignment horizontal="center"/>
    </xf>
    <xf numFmtId="164" fontId="5" fillId="2" borderId="6" xfId="1" applyNumberFormat="1" applyFont="1" applyBorder="1" applyProtection="1"/>
    <xf numFmtId="164" fontId="5" fillId="3" borderId="6" xfId="2" applyNumberFormat="1" applyFont="1" applyBorder="1" applyProtection="1"/>
    <xf numFmtId="164" fontId="5" fillId="9" borderId="6" xfId="2" applyNumberFormat="1" applyFont="1" applyFill="1" applyBorder="1" applyProtection="1"/>
    <xf numFmtId="164" fontId="9" fillId="7" borderId="6" xfId="2" applyNumberFormat="1" applyFont="1" applyFill="1" applyBorder="1" applyProtection="1"/>
    <xf numFmtId="164" fontId="8" fillId="7" borderId="6" xfId="2" applyNumberFormat="1" applyFont="1" applyFill="1" applyBorder="1" applyProtection="1"/>
    <xf numFmtId="165" fontId="9" fillId="7" borderId="6" xfId="2" applyNumberFormat="1" applyFont="1" applyFill="1" applyBorder="1" applyProtection="1"/>
    <xf numFmtId="165" fontId="9" fillId="7" borderId="7" xfId="2" applyNumberFormat="1" applyFont="1" applyFill="1" applyBorder="1" applyProtection="1">
      <protection locked="0"/>
    </xf>
    <xf numFmtId="165" fontId="8" fillId="7" borderId="6" xfId="2" applyNumberFormat="1" applyFont="1" applyFill="1" applyBorder="1" applyProtection="1"/>
    <xf numFmtId="165" fontId="8" fillId="7" borderId="7" xfId="2" applyNumberFormat="1" applyFont="1" applyFill="1" applyBorder="1" applyProtection="1">
      <protection locked="0"/>
    </xf>
    <xf numFmtId="165" fontId="8" fillId="7" borderId="7" xfId="5" applyNumberFormat="1" applyFont="1" applyFill="1" applyBorder="1" applyProtection="1">
      <protection locked="0"/>
    </xf>
    <xf numFmtId="165" fontId="9" fillId="7" borderId="7" xfId="5" applyNumberFormat="1" applyFont="1" applyFill="1" applyBorder="1" applyProtection="1">
      <protection locked="0"/>
    </xf>
    <xf numFmtId="165" fontId="9" fillId="7" borderId="8" xfId="5" applyNumberFormat="1" applyFont="1" applyFill="1" applyBorder="1" applyProtection="1">
      <protection locked="0"/>
    </xf>
    <xf numFmtId="0" fontId="0" fillId="16" borderId="0" xfId="0" applyFill="1"/>
    <xf numFmtId="165" fontId="0" fillId="0" borderId="0" xfId="5" applyNumberFormat="1" applyFont="1"/>
    <xf numFmtId="164" fontId="0" fillId="0" borderId="0" xfId="0" applyNumberFormat="1"/>
    <xf numFmtId="0" fontId="5" fillId="18" borderId="0" xfId="0" applyFont="1" applyFill="1"/>
    <xf numFmtId="164" fontId="5" fillId="18" borderId="6" xfId="2" applyNumberFormat="1" applyFont="1" applyFill="1" applyBorder="1" applyProtection="1"/>
    <xf numFmtId="164" fontId="5" fillId="18" borderId="7" xfId="2" applyNumberFormat="1" applyFont="1" applyFill="1" applyBorder="1"/>
    <xf numFmtId="164" fontId="5" fillId="18" borderId="8" xfId="2" applyNumberFormat="1" applyFont="1" applyFill="1" applyBorder="1"/>
    <xf numFmtId="0" fontId="9" fillId="18" borderId="0" xfId="0" applyFont="1" applyFill="1" applyBorder="1" applyProtection="1">
      <protection locked="0"/>
    </xf>
    <xf numFmtId="164" fontId="9" fillId="18" borderId="6" xfId="2" applyNumberFormat="1" applyFont="1" applyFill="1" applyBorder="1" applyProtection="1"/>
    <xf numFmtId="164" fontId="9" fillId="18" borderId="7" xfId="2" applyNumberFormat="1" applyFont="1" applyFill="1" applyBorder="1" applyProtection="1"/>
    <xf numFmtId="164" fontId="9" fillId="18" borderId="8" xfId="2" applyNumberFormat="1" applyFont="1" applyFill="1" applyBorder="1" applyProtection="1"/>
    <xf numFmtId="0" fontId="5" fillId="19" borderId="0" xfId="0" applyFont="1" applyFill="1"/>
    <xf numFmtId="0" fontId="0" fillId="0" borderId="0" xfId="0" applyFill="1"/>
    <xf numFmtId="164" fontId="0" fillId="0" borderId="0" xfId="0" applyNumberFormat="1" applyFill="1" applyBorder="1"/>
    <xf numFmtId="0" fontId="5" fillId="19" borderId="15" xfId="0" applyFont="1" applyFill="1" applyBorder="1"/>
    <xf numFmtId="0" fontId="0" fillId="0" borderId="15" xfId="0" applyFill="1" applyBorder="1"/>
    <xf numFmtId="164" fontId="0" fillId="0" borderId="15" xfId="0" applyNumberFormat="1" applyFill="1" applyBorder="1"/>
    <xf numFmtId="164" fontId="5" fillId="2" borderId="16" xfId="1" applyNumberFormat="1" applyFont="1" applyBorder="1" applyProtection="1">
      <protection locked="0"/>
    </xf>
    <xf numFmtId="164" fontId="8" fillId="11" borderId="7" xfId="2" applyNumberFormat="1" applyFont="1" applyFill="1" applyBorder="1" applyProtection="1">
      <protection locked="0"/>
    </xf>
    <xf numFmtId="164" fontId="8" fillId="11" borderId="8" xfId="2" applyNumberFormat="1" applyFont="1" applyFill="1" applyBorder="1" applyProtection="1">
      <protection locked="0"/>
    </xf>
    <xf numFmtId="164" fontId="5" fillId="11" borderId="7" xfId="1" applyNumberFormat="1" applyFont="1" applyFill="1" applyBorder="1" applyProtection="1">
      <protection locked="0"/>
    </xf>
    <xf numFmtId="164" fontId="5" fillId="11" borderId="8" xfId="1" applyNumberFormat="1" applyFont="1" applyFill="1" applyBorder="1" applyProtection="1">
      <protection locked="0"/>
    </xf>
    <xf numFmtId="164" fontId="0" fillId="0" borderId="0" xfId="0" applyNumberFormat="1" applyFill="1"/>
    <xf numFmtId="164" fontId="5" fillId="0" borderId="7" xfId="2" applyNumberFormat="1" applyFont="1" applyFill="1" applyBorder="1"/>
    <xf numFmtId="164" fontId="5" fillId="0" borderId="8" xfId="2" applyNumberFormat="1" applyFont="1" applyFill="1" applyBorder="1"/>
    <xf numFmtId="164" fontId="5" fillId="3" borderId="18" xfId="2" applyNumberFormat="1" applyFont="1" applyBorder="1"/>
    <xf numFmtId="164" fontId="5" fillId="18" borderId="18" xfId="2" applyNumberFormat="1" applyFont="1" applyFill="1" applyBorder="1"/>
    <xf numFmtId="164" fontId="5" fillId="11" borderId="18" xfId="1" applyNumberFormat="1" applyFont="1" applyFill="1" applyBorder="1" applyProtection="1">
      <protection locked="0"/>
    </xf>
    <xf numFmtId="0" fontId="0" fillId="0" borderId="18" xfId="0" applyBorder="1" applyAlignment="1">
      <alignment horizontal="center"/>
    </xf>
    <xf numFmtId="164" fontId="5" fillId="9" borderId="18" xfId="2" applyNumberFormat="1" applyFont="1" applyFill="1" applyBorder="1"/>
    <xf numFmtId="164" fontId="8" fillId="7" borderId="7" xfId="2" applyNumberFormat="1" applyFont="1" applyFill="1" applyBorder="1" applyProtection="1">
      <protection locked="0"/>
    </xf>
    <xf numFmtId="165" fontId="8" fillId="7" borderId="7" xfId="5" applyNumberFormat="1" applyFont="1" applyFill="1" applyBorder="1" applyProtection="1">
      <protection locked="0"/>
    </xf>
    <xf numFmtId="165" fontId="9" fillId="7" borderId="7" xfId="5" applyNumberFormat="1" applyFont="1" applyFill="1" applyBorder="1" applyProtection="1">
      <protection locked="0"/>
    </xf>
    <xf numFmtId="165" fontId="8" fillId="7" borderId="7" xfId="5" applyNumberFormat="1" applyFon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5" fillId="2" borderId="6" xfId="1" applyNumberFormat="1" applyFont="1" applyBorder="1" applyProtection="1">
      <protection locked="0"/>
    </xf>
    <xf numFmtId="164" fontId="5" fillId="2" borderId="7" xfId="1" applyNumberFormat="1" applyFont="1" applyBorder="1" applyProtection="1">
      <protection locked="0"/>
    </xf>
    <xf numFmtId="164" fontId="5" fillId="3" borderId="6" xfId="2" applyNumberFormat="1" applyFont="1" applyBorder="1"/>
    <xf numFmtId="164" fontId="5" fillId="3" borderId="7" xfId="2" applyNumberFormat="1" applyFont="1" applyBorder="1"/>
    <xf numFmtId="164" fontId="5" fillId="3" borderId="8" xfId="2" applyNumberFormat="1" applyFont="1" applyBorder="1"/>
    <xf numFmtId="164" fontId="5" fillId="9" borderId="6" xfId="2" applyNumberFormat="1" applyFont="1" applyFill="1" applyBorder="1"/>
    <xf numFmtId="164" fontId="5" fillId="9" borderId="7" xfId="2" applyNumberFormat="1" applyFont="1" applyFill="1" applyBorder="1"/>
    <xf numFmtId="164" fontId="5" fillId="9" borderId="8" xfId="2" applyNumberFormat="1" applyFont="1" applyFill="1" applyBorder="1"/>
    <xf numFmtId="164" fontId="8" fillId="7" borderId="7" xfId="2" applyNumberFormat="1" applyFont="1" applyFill="1" applyBorder="1" applyProtection="1">
      <protection locked="0"/>
    </xf>
    <xf numFmtId="164" fontId="8" fillId="9" borderId="6" xfId="2" applyNumberFormat="1" applyFont="1" applyFill="1" applyBorder="1" applyProtection="1"/>
    <xf numFmtId="164" fontId="8" fillId="9" borderId="7" xfId="2" applyNumberFormat="1" applyFont="1" applyFill="1" applyBorder="1" applyProtection="1"/>
    <xf numFmtId="164" fontId="8" fillId="9" borderId="8" xfId="2" applyNumberFormat="1" applyFont="1" applyFill="1" applyBorder="1" applyProtection="1"/>
    <xf numFmtId="164" fontId="8" fillId="9" borderId="9" xfId="2" applyNumberFormat="1" applyFont="1" applyFill="1" applyBorder="1" applyProtection="1"/>
    <xf numFmtId="164" fontId="8" fillId="9" borderId="10" xfId="2" applyNumberFormat="1" applyFont="1" applyFill="1" applyBorder="1" applyProtection="1"/>
    <xf numFmtId="164" fontId="8" fillId="9" borderId="11" xfId="2" applyNumberFormat="1" applyFont="1" applyFill="1" applyBorder="1" applyProtection="1"/>
    <xf numFmtId="164" fontId="9" fillId="7" borderId="6" xfId="2" applyNumberFormat="1" applyFont="1" applyFill="1" applyBorder="1" applyProtection="1">
      <protection locked="0"/>
    </xf>
    <xf numFmtId="164" fontId="9" fillId="7" borderId="7" xfId="2" applyNumberFormat="1" applyFont="1" applyFill="1" applyBorder="1" applyProtection="1">
      <protection locked="0"/>
    </xf>
    <xf numFmtId="164" fontId="9" fillId="0" borderId="6" xfId="2" applyNumberFormat="1" applyFont="1" applyFill="1" applyBorder="1" applyProtection="1"/>
    <xf numFmtId="164" fontId="9" fillId="0" borderId="7" xfId="2" applyNumberFormat="1" applyFont="1" applyFill="1" applyBorder="1" applyProtection="1"/>
    <xf numFmtId="164" fontId="9" fillId="0" borderId="8" xfId="2" applyNumberFormat="1" applyFont="1" applyFill="1" applyBorder="1" applyProtection="1"/>
    <xf numFmtId="164" fontId="9" fillId="9" borderId="6" xfId="2" applyNumberFormat="1" applyFont="1" applyFill="1" applyBorder="1" applyProtection="1"/>
    <xf numFmtId="164" fontId="9" fillId="9" borderId="7" xfId="2" applyNumberFormat="1" applyFont="1" applyFill="1" applyBorder="1" applyProtection="1"/>
    <xf numFmtId="164" fontId="9" fillId="9" borderId="8" xfId="2" applyNumberFormat="1" applyFont="1" applyFill="1" applyBorder="1" applyProtection="1"/>
    <xf numFmtId="165" fontId="8" fillId="7" borderId="7" xfId="5" applyNumberFormat="1" applyFont="1" applyFill="1" applyBorder="1" applyProtection="1">
      <protection locked="0"/>
    </xf>
    <xf numFmtId="165" fontId="8" fillId="7" borderId="8" xfId="5" applyNumberFormat="1" applyFont="1" applyFill="1" applyBorder="1" applyProtection="1">
      <protection locked="0"/>
    </xf>
    <xf numFmtId="165" fontId="9" fillId="7" borderId="7" xfId="5" applyNumberFormat="1" applyFont="1" applyFill="1" applyBorder="1" applyProtection="1">
      <protection locked="0"/>
    </xf>
    <xf numFmtId="164" fontId="0" fillId="0" borderId="0" xfId="0" applyNumberFormat="1"/>
    <xf numFmtId="164" fontId="5" fillId="18" borderId="7" xfId="2" applyNumberFormat="1" applyFont="1" applyFill="1" applyBorder="1"/>
    <xf numFmtId="164" fontId="5" fillId="18" borderId="8" xfId="2" applyNumberFormat="1" applyFont="1" applyFill="1" applyBorder="1"/>
    <xf numFmtId="164" fontId="5" fillId="18" borderId="6" xfId="2" applyNumberFormat="1" applyFont="1" applyFill="1" applyBorder="1"/>
    <xf numFmtId="164" fontId="9" fillId="18" borderId="6" xfId="2" applyNumberFormat="1" applyFont="1" applyFill="1" applyBorder="1" applyProtection="1"/>
    <xf numFmtId="164" fontId="9" fillId="18" borderId="7" xfId="2" applyNumberFormat="1" applyFont="1" applyFill="1" applyBorder="1" applyProtection="1"/>
    <xf numFmtId="164" fontId="9" fillId="18" borderId="8" xfId="2" applyNumberFormat="1" applyFont="1" applyFill="1" applyBorder="1" applyProtection="1"/>
    <xf numFmtId="164" fontId="9" fillId="0" borderId="18" xfId="2" applyNumberFormat="1" applyFont="1" applyFill="1" applyBorder="1" applyProtection="1"/>
    <xf numFmtId="164" fontId="9" fillId="18" borderId="18" xfId="2" applyNumberFormat="1" applyFont="1" applyFill="1" applyBorder="1" applyProtection="1"/>
    <xf numFmtId="164" fontId="9" fillId="9" borderId="18" xfId="2" applyNumberFormat="1" applyFont="1" applyFill="1" applyBorder="1" applyProtection="1"/>
    <xf numFmtId="164" fontId="8" fillId="11" borderId="18" xfId="2" applyNumberFormat="1" applyFont="1" applyFill="1" applyBorder="1" applyProtection="1">
      <protection locked="0"/>
    </xf>
    <xf numFmtId="164" fontId="8" fillId="9" borderId="18" xfId="2" applyNumberFormat="1" applyFont="1" applyFill="1" applyBorder="1" applyProtection="1"/>
    <xf numFmtId="165" fontId="8" fillId="7" borderId="18" xfId="5" applyNumberFormat="1" applyFont="1" applyFill="1" applyBorder="1" applyProtection="1">
      <protection locked="0"/>
    </xf>
    <xf numFmtId="164" fontId="8" fillId="9" borderId="19" xfId="2" applyNumberFormat="1" applyFont="1" applyFill="1" applyBorder="1" applyProtection="1"/>
    <xf numFmtId="165" fontId="9" fillId="7" borderId="18" xfId="5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43" fontId="0" fillId="0" borderId="0" xfId="6" applyFont="1"/>
    <xf numFmtId="164" fontId="9" fillId="11" borderId="7" xfId="2" applyNumberFormat="1" applyFont="1" applyFill="1" applyBorder="1" applyProtection="1">
      <protection locked="0"/>
    </xf>
    <xf numFmtId="164" fontId="9" fillId="11" borderId="8" xfId="2" applyNumberFormat="1" applyFont="1" applyFill="1" applyBorder="1" applyProtection="1">
      <protection locked="0"/>
    </xf>
    <xf numFmtId="164" fontId="9" fillId="11" borderId="18" xfId="2" applyNumberFormat="1" applyFont="1" applyFill="1" applyBorder="1" applyProtection="1">
      <protection locked="0"/>
    </xf>
    <xf numFmtId="0" fontId="9" fillId="6" borderId="0" xfId="0" applyFont="1" applyFill="1" applyBorder="1" applyAlignment="1" applyProtection="1">
      <alignment horizontal="left" indent="1"/>
      <protection locked="0"/>
    </xf>
    <xf numFmtId="0" fontId="6" fillId="20" borderId="0" xfId="0" applyFont="1" applyFill="1"/>
    <xf numFmtId="0" fontId="6" fillId="17" borderId="0" xfId="0" applyFont="1" applyFill="1" applyAlignment="1">
      <alignment horizontal="center" textRotation="90"/>
    </xf>
    <xf numFmtId="0" fontId="7" fillId="13" borderId="0" xfId="0" applyFont="1" applyFill="1" applyAlignment="1">
      <alignment vertical="center" textRotation="9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12" borderId="0" xfId="0" applyFont="1" applyFill="1" applyAlignment="1">
      <alignment horizontal="center" vertical="center" textRotation="90"/>
    </xf>
    <xf numFmtId="0" fontId="7" fillId="14" borderId="0" xfId="0" applyFont="1" applyFill="1" applyAlignment="1">
      <alignment horizontal="center" vertical="center" textRotation="90"/>
    </xf>
    <xf numFmtId="164" fontId="8" fillId="7" borderId="18" xfId="2" applyNumberFormat="1" applyFont="1" applyFill="1" applyBorder="1" applyProtection="1">
      <protection locked="0"/>
    </xf>
  </cellXfs>
  <cellStyles count="7">
    <cellStyle name="Calculation" xfId="2" builtinId="22"/>
    <cellStyle name="Comma" xfId="6" builtinId="3"/>
    <cellStyle name="Input" xfId="1" builtinId="20"/>
    <cellStyle name="Normal" xfId="0" builtinId="0"/>
    <cellStyle name="Normal 4" xfId="4"/>
    <cellStyle name="Note" xfId="3" builtinId="10"/>
    <cellStyle name="Percent" xfId="5" builtinId="5"/>
  </cellStyles>
  <dxfs count="0"/>
  <tableStyles count="0" defaultTableStyle="TableStyleMedium2" defaultPivotStyle="PivotStyleLight16"/>
  <colors>
    <mruColors>
      <color rgb="FFBDFFBD"/>
      <color rgb="FF007A37"/>
      <color rgb="FFC028AE"/>
      <color rgb="FF99FF99"/>
      <color rgb="FFF7C5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C00000"/>
    <pageSetUpPr fitToPage="1"/>
  </sheetPr>
  <dimension ref="A1:AM54"/>
  <sheetViews>
    <sheetView tabSelected="1" zoomScale="88" zoomScaleNormal="88" zoomScaleSheetLayoutView="80" workbookViewId="0">
      <pane xSplit="2" ySplit="7" topLeftCell="C8" activePane="bottomRight" state="frozen"/>
      <selection activeCell="D3" sqref="D3"/>
      <selection pane="topRight" activeCell="D3" sqref="D3"/>
      <selection pane="bottomLeft" activeCell="D3" sqref="D3"/>
      <selection pane="bottomRight" activeCell="AC40" sqref="AC40"/>
    </sheetView>
  </sheetViews>
  <sheetFormatPr defaultColWidth="9.140625" defaultRowHeight="15" zeroHeight="1" x14ac:dyDescent="0.25"/>
  <cols>
    <col min="1" max="1" width="2.7109375" style="43" customWidth="1"/>
    <col min="2" max="2" width="68.140625" customWidth="1"/>
    <col min="3" max="11" width="18.7109375" customWidth="1"/>
    <col min="12" max="12" width="17.85546875" customWidth="1"/>
    <col min="13" max="38" width="18.7109375" customWidth="1"/>
    <col min="39" max="39" width="3.7109375" customWidth="1"/>
    <col min="40" max="40" width="9.140625" customWidth="1"/>
  </cols>
  <sheetData>
    <row r="1" spans="1:39" ht="7.5" customHeight="1" x14ac:dyDescent="0.25">
      <c r="A1" s="4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x14ac:dyDescent="0.25">
      <c r="A2" s="42"/>
      <c r="B2" s="2" t="s">
        <v>15</v>
      </c>
      <c r="AM2" s="3"/>
    </row>
    <row r="3" spans="1:39" x14ac:dyDescent="0.25">
      <c r="A3" s="42"/>
      <c r="B3" t="s">
        <v>14</v>
      </c>
      <c r="C3" s="1">
        <v>0.26340000000000002</v>
      </c>
      <c r="W3" s="8"/>
      <c r="AL3" s="60"/>
      <c r="AM3" s="3"/>
    </row>
    <row r="4" spans="1:39" x14ac:dyDescent="0.25">
      <c r="A4" s="42"/>
      <c r="B4" t="s">
        <v>16</v>
      </c>
      <c r="C4" s="1">
        <v>6.9500000000000006E-2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60"/>
      <c r="Y4" s="120"/>
      <c r="Z4" s="120"/>
      <c r="AA4" s="120"/>
      <c r="AL4" s="80"/>
      <c r="AM4" s="3"/>
    </row>
    <row r="5" spans="1:39" ht="15.75" thickBot="1" x14ac:dyDescent="0.3">
      <c r="A5" s="42"/>
      <c r="AM5" s="3"/>
    </row>
    <row r="6" spans="1:39" ht="15.75" thickTop="1" x14ac:dyDescent="0.25">
      <c r="A6" s="42"/>
      <c r="B6" t="s">
        <v>1</v>
      </c>
      <c r="C6" s="148">
        <v>2013</v>
      </c>
      <c r="D6" s="149"/>
      <c r="E6" s="149"/>
      <c r="F6" s="149"/>
      <c r="G6" s="149"/>
      <c r="H6" s="149"/>
      <c r="I6" s="149">
        <v>2013</v>
      </c>
      <c r="J6" s="149"/>
      <c r="K6" s="149"/>
      <c r="L6" s="149"/>
      <c r="M6" s="149"/>
      <c r="N6" s="150"/>
      <c r="O6" s="144">
        <v>2014</v>
      </c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6"/>
      <c r="AA6" s="147">
        <v>2015</v>
      </c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6"/>
      <c r="AM6" s="3"/>
    </row>
    <row r="7" spans="1:39" x14ac:dyDescent="0.25">
      <c r="A7" s="42"/>
      <c r="B7" t="s">
        <v>0</v>
      </c>
      <c r="C7" s="45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0" t="s">
        <v>9</v>
      </c>
      <c r="K7" s="10" t="s">
        <v>10</v>
      </c>
      <c r="L7" s="10" t="s">
        <v>11</v>
      </c>
      <c r="M7" s="10" t="s">
        <v>12</v>
      </c>
      <c r="N7" s="11" t="s">
        <v>13</v>
      </c>
      <c r="O7" s="9" t="s">
        <v>2</v>
      </c>
      <c r="P7" s="92" t="s">
        <v>3</v>
      </c>
      <c r="Q7" s="92" t="s">
        <v>4</v>
      </c>
      <c r="R7" s="92" t="s">
        <v>5</v>
      </c>
      <c r="S7" s="92" t="s">
        <v>6</v>
      </c>
      <c r="T7" s="92" t="s">
        <v>7</v>
      </c>
      <c r="U7" s="92" t="s">
        <v>8</v>
      </c>
      <c r="V7" s="92" t="s">
        <v>9</v>
      </c>
      <c r="W7" s="92" t="s">
        <v>10</v>
      </c>
      <c r="X7" s="92" t="s">
        <v>11</v>
      </c>
      <c r="Y7" s="92" t="s">
        <v>12</v>
      </c>
      <c r="Z7" s="93" t="s">
        <v>13</v>
      </c>
      <c r="AA7" s="86" t="s">
        <v>2</v>
      </c>
      <c r="AB7" s="10" t="s">
        <v>3</v>
      </c>
      <c r="AC7" s="10" t="s">
        <v>4</v>
      </c>
      <c r="AD7" s="10" t="s">
        <v>5</v>
      </c>
      <c r="AE7" s="10" t="s">
        <v>6</v>
      </c>
      <c r="AF7" s="10" t="s">
        <v>7</v>
      </c>
      <c r="AG7" s="10" t="s">
        <v>8</v>
      </c>
      <c r="AH7" s="10" t="s">
        <v>9</v>
      </c>
      <c r="AI7" s="10" t="s">
        <v>10</v>
      </c>
      <c r="AJ7" s="10" t="s">
        <v>11</v>
      </c>
      <c r="AK7" s="10" t="s">
        <v>12</v>
      </c>
      <c r="AL7" s="11" t="s">
        <v>13</v>
      </c>
      <c r="AM7" s="3"/>
    </row>
    <row r="8" spans="1:39" s="5" customFormat="1" ht="15" customHeight="1" x14ac:dyDescent="0.25">
      <c r="A8" s="151" t="s">
        <v>32</v>
      </c>
      <c r="B8" s="5" t="s">
        <v>17</v>
      </c>
      <c r="C8" s="46">
        <v>989533.83</v>
      </c>
      <c r="D8" s="12">
        <v>6050495.0700000003</v>
      </c>
      <c r="E8" s="12">
        <v>12255839.720000001</v>
      </c>
      <c r="F8" s="12">
        <v>20252948.84</v>
      </c>
      <c r="G8" s="12">
        <v>36475956.090000004</v>
      </c>
      <c r="H8" s="12">
        <v>47820125.590000004</v>
      </c>
      <c r="I8" s="12">
        <v>64956308.109999999</v>
      </c>
      <c r="J8" s="12">
        <v>78747840.230000004</v>
      </c>
      <c r="K8" s="12">
        <v>99222018.890000001</v>
      </c>
      <c r="L8" s="12">
        <v>129401636.89080472</v>
      </c>
      <c r="M8" s="12">
        <v>151143153.22457176</v>
      </c>
      <c r="N8" s="13">
        <v>175442922.32681432</v>
      </c>
      <c r="O8" s="75">
        <f>188759065.567035-2046839.96448507</f>
        <v>186712225.60254991</v>
      </c>
      <c r="P8" s="95">
        <f>203176370.186149-2013013.30125128</f>
        <v>201163356.88489771</v>
      </c>
      <c r="Q8" s="95">
        <f>218038043.57044-1948934.40548501</f>
        <v>216089109.16495499</v>
      </c>
      <c r="R8" s="95">
        <f>234517031.990472-1936149.48775775</f>
        <v>232580882.50271425</v>
      </c>
      <c r="S8" s="95">
        <f>253362512.829885-1910579.65230323</f>
        <v>251451933.17758179</v>
      </c>
      <c r="T8" s="95">
        <f>273517157.558914-1906318.01306082</f>
        <v>271610839.5458532</v>
      </c>
      <c r="U8" s="95">
        <f>294464898.170809-1885009.81684872</f>
        <v>292579888.35396028</v>
      </c>
      <c r="V8" s="95">
        <f>318187170.154039-1832804.73612909</f>
        <v>316354365.41790992</v>
      </c>
      <c r="W8" s="95">
        <f>338025903.32642-1810431.13010638</f>
        <v>336215472.19631362</v>
      </c>
      <c r="X8" s="95">
        <f>356053473.519373-1776338.01616703</f>
        <v>354277135.50320596</v>
      </c>
      <c r="Y8" s="78">
        <v>375516976</v>
      </c>
      <c r="Z8" s="79">
        <v>398289474</v>
      </c>
      <c r="AA8" s="85">
        <v>415024475</v>
      </c>
      <c r="AB8" s="78">
        <v>430958146</v>
      </c>
      <c r="AC8" s="78">
        <v>447748111</v>
      </c>
      <c r="AD8" s="78">
        <v>465838110</v>
      </c>
      <c r="AE8" s="78">
        <v>487271306</v>
      </c>
      <c r="AF8" s="78">
        <v>510498174</v>
      </c>
      <c r="AG8" s="78">
        <v>537455669</v>
      </c>
      <c r="AH8" s="78">
        <v>564846741</v>
      </c>
      <c r="AI8" s="78">
        <v>590683868</v>
      </c>
      <c r="AJ8" s="78">
        <v>616588143</v>
      </c>
      <c r="AK8" s="78">
        <v>641811149</v>
      </c>
      <c r="AL8" s="79">
        <v>667765041</v>
      </c>
      <c r="AM8" s="4"/>
    </row>
    <row r="9" spans="1:39" s="5" customFormat="1" x14ac:dyDescent="0.25">
      <c r="A9" s="151"/>
      <c r="B9" s="5" t="s">
        <v>18</v>
      </c>
      <c r="C9" s="46">
        <v>2195840.36</v>
      </c>
      <c r="D9" s="12">
        <v>1190166.3700000001</v>
      </c>
      <c r="E9" s="12">
        <v>1730567.21</v>
      </c>
      <c r="F9" s="12">
        <v>2443276.02</v>
      </c>
      <c r="G9" s="12">
        <v>3186030.51</v>
      </c>
      <c r="H9" s="12">
        <v>2437514.62</v>
      </c>
      <c r="I9" s="12">
        <v>3135571.38</v>
      </c>
      <c r="J9" s="12">
        <v>3407447.34</v>
      </c>
      <c r="K9" s="12">
        <v>3466579.23</v>
      </c>
      <c r="L9" s="12">
        <v>3291290.37</v>
      </c>
      <c r="M9" s="12">
        <v>2992444.7</v>
      </c>
      <c r="N9" s="13">
        <v>4955673.8</v>
      </c>
      <c r="O9" s="94">
        <v>2979620.64</v>
      </c>
      <c r="P9" s="95">
        <v>1886488.68</v>
      </c>
      <c r="Q9" s="95">
        <v>3814682.28</v>
      </c>
      <c r="R9" s="95">
        <v>3480244.98</v>
      </c>
      <c r="S9" s="95">
        <v>3991356.07</v>
      </c>
      <c r="T9" s="95">
        <v>4228747.97</v>
      </c>
      <c r="U9" s="95">
        <v>4141549.2900000005</v>
      </c>
      <c r="V9" s="95">
        <v>3054961.82</v>
      </c>
      <c r="W9" s="95">
        <v>4051076.32</v>
      </c>
      <c r="X9" s="95">
        <v>3483604.7300000004</v>
      </c>
      <c r="Y9" s="78">
        <v>3941331</v>
      </c>
      <c r="Z9" s="79">
        <v>4671660</v>
      </c>
      <c r="AA9" s="85">
        <v>3333571</v>
      </c>
      <c r="AB9" s="78">
        <v>3251073</v>
      </c>
      <c r="AC9" s="78">
        <v>3582216</v>
      </c>
      <c r="AD9" s="78">
        <v>3789411</v>
      </c>
      <c r="AE9" s="78">
        <v>4581981</v>
      </c>
      <c r="AF9" s="78">
        <v>4966162</v>
      </c>
      <c r="AG9" s="78">
        <v>5389378</v>
      </c>
      <c r="AH9" s="78">
        <v>5801523</v>
      </c>
      <c r="AI9" s="78">
        <v>6348621</v>
      </c>
      <c r="AJ9" s="78">
        <v>7165392</v>
      </c>
      <c r="AK9" s="78">
        <v>9612284</v>
      </c>
      <c r="AL9" s="79">
        <v>11045280</v>
      </c>
      <c r="AM9" s="3"/>
    </row>
    <row r="10" spans="1:39" s="5" customFormat="1" x14ac:dyDescent="0.25">
      <c r="A10" s="151"/>
      <c r="B10" s="5" t="s">
        <v>40</v>
      </c>
      <c r="C10" s="47">
        <f>IF(C9&lt;&gt;"",SUM($C$9:C9)/(1+$C$4)^($C$6-2013),"")</f>
        <v>2195840.36</v>
      </c>
      <c r="D10" s="14">
        <f>IF(D9&lt;&gt;"",SUM($C$9:D9)/(1+$C$4)^($C$6-2013),"")</f>
        <v>3386006.73</v>
      </c>
      <c r="E10" s="14">
        <f>IF(E9&lt;&gt;"",SUM($C$9:E9)/(1+$C$4)^($C$6-2013),"")</f>
        <v>5116573.9399999995</v>
      </c>
      <c r="F10" s="14">
        <f>IF(F9&lt;&gt;"",SUM($C$9:F9)/(1+$C$4)^($C$6-2013),"")</f>
        <v>7559849.959999999</v>
      </c>
      <c r="G10" s="14">
        <f>IF(G9&lt;&gt;"",SUM($C$9:G9)/(1+$C$4)^($C$6-2013),"")</f>
        <v>10745880.469999999</v>
      </c>
      <c r="H10" s="14">
        <f>IF(H9&lt;&gt;"",SUM($C$9:H9)/(1+$C$4)^($C$6-2013),"")</f>
        <v>13183395.09</v>
      </c>
      <c r="I10" s="14">
        <f>IF(I9&lt;&gt;"",SUM($C$9:I9)/(1+$C$4)^($C$6-2013),"")</f>
        <v>16318966.469999999</v>
      </c>
      <c r="J10" s="14">
        <f>IF(J9&lt;&gt;"",SUM($C$9:J9)/(1+$C$4)^($C$6-2013),"")</f>
        <v>19726413.809999999</v>
      </c>
      <c r="K10" s="14">
        <f>IF(K9&lt;&gt;"",SUM($C$9:K9)/(1+$C$4)^($C$6-2013),"")</f>
        <v>23192993.039999999</v>
      </c>
      <c r="L10" s="14">
        <f>IF(L9&lt;&gt;"",SUM($C$9:L9)/(1+$C$4)^($C$6-2013),"")</f>
        <v>26484283.41</v>
      </c>
      <c r="M10" s="14">
        <f>IF(M9&lt;&gt;"",SUM($C$9:M9)/(1+$C$4)^($C$6-2013),"")</f>
        <v>29476728.109999999</v>
      </c>
      <c r="N10" s="15">
        <f>IF(N9&lt;&gt;"",SUM($C$9:N9)/(1+$C$4)^($C$6-2013),"")</f>
        <v>34432401.909999996</v>
      </c>
      <c r="O10" s="96">
        <f>IF(O9&lt;&gt;"",SUM($C$9:$N$9)/(1+$C$4)^($C$6-2013)+SUM($O$9:O9)/(1+$C$4)^($O$6-2013),"")</f>
        <v>37218395.963295929</v>
      </c>
      <c r="P10" s="97">
        <f>IF(P9&lt;&gt;"",SUM($C$9:$N$9)/(1+$C$4)^($C$6-2013)+SUM($O$9:P9)/(1+$C$4)^($O$6-2013),"")</f>
        <v>38982293.747307152</v>
      </c>
      <c r="Q10" s="97">
        <f>IF(Q9&lt;&gt;"",SUM($C$9:$N$9)/(1+$C$4)^($C$6-2013)+SUM($O$9:Q9)/(1+$C$4)^($O$6-2013),"")</f>
        <v>42549084.097938284</v>
      </c>
      <c r="R10" s="97">
        <f>IF(R9&lt;&gt;"",SUM($C$9:$N$9)/(1+$C$4)^($C$6-2013)+SUM($O$9:R9)/(1+$C$4)^($O$6-2013),"")</f>
        <v>45803170.100743331</v>
      </c>
      <c r="S10" s="97">
        <f>IF(S9&lt;&gt;"",SUM($C$9:$N$9)/(1+$C$4)^($C$6-2013)+SUM($O$9:S9)/(1+$C$4)^($O$6-2013),"")</f>
        <v>49535153.335899949</v>
      </c>
      <c r="T10" s="97">
        <f>IF(T9&lt;&gt;"",SUM($C$9:$N$9)/(1+$C$4)^($C$6-2013)+SUM($O$9:T9)/(1+$C$4)^($O$6-2013),"")</f>
        <v>53489101.881949499</v>
      </c>
      <c r="U10" s="97">
        <f>IF(U9&lt;&gt;"",SUM($C$9:$N$9)/(1+$C$4)^($C$6-2013)+SUM($O$9:U9)/(1+$C$4)^($O$6-2013),"")</f>
        <v>57361518.235385686</v>
      </c>
      <c r="V10" s="97">
        <f>IF(V9&lt;&gt;"",SUM($C$9:$N$9)/(1+$C$4)^($C$6-2013)+SUM($O$9:V9)/(1+$C$4)^($O$6-2013),"")</f>
        <v>60217957.524773255</v>
      </c>
      <c r="W10" s="97">
        <f>IF(W9&lt;&gt;"",SUM($C$9:$N$9)/(1+$C$4)^($C$6-2013)+SUM($O$9:W9)/(1+$C$4)^($O$6-2013),"")</f>
        <v>64005780.170869559</v>
      </c>
      <c r="X10" s="97">
        <f>IF(X9&lt;&gt;"",SUM($C$9:$N$9)/(1+$C$4)^($C$6-2013)+SUM($O$9:X9)/(1+$C$4)^($O$6-2013),"")</f>
        <v>67263007.594899476</v>
      </c>
      <c r="Y10" s="97">
        <f>IF(Y9&lt;&gt;"",SUM($C$9:$N$9)/(1+$C$4)^($C$6-2013)+SUM($O$9:Y9)/(1+$C$4)^($O$6-2013),"")</f>
        <v>70948216.57105656</v>
      </c>
      <c r="Z10" s="98">
        <f>IF(Z9&lt;&gt;"",SUM($C$9:$N$9)/(1+$C$4)^($C$6-2013)+SUM($O$9:Z9)/(1+$C$4)^($O$6-2013),"")</f>
        <v>75316295.112431034</v>
      </c>
      <c r="AA10" s="83">
        <f>IF(AA9&lt;&gt;"",SUM($C$9:$N$9)/(1+$C$4)^($C$6-2013)+SUM($O$9:$Z$9)/(1+$C$4)^($O$6-2013)+SUM($AA$9:AA9)/(1+$C$4)^($AA$6-2013),"")</f>
        <v>78230688.22277236</v>
      </c>
      <c r="AB10" s="14">
        <f>IF(AB9&lt;&gt;"",SUM($C$9:$N$9)/(1+$C$4)^($C$6-2013)+SUM($O$9:$Z$9)/(1+$C$4)^($O$6-2013)+SUM($AA$9:AB9)/(1+$C$4)^($AA$6-2013),"")</f>
        <v>81072956.99473393</v>
      </c>
      <c r="AC10" s="14">
        <f>IF(AC9&lt;&gt;"",SUM($C$9:$N$9)/(1+$C$4)^($C$6-2013)+SUM($O$9:$Z$9)/(1+$C$4)^($O$6-2013)+SUM($AA$9:AC9)/(1+$C$4)^($AA$6-2013),"")</f>
        <v>84204729.388408601</v>
      </c>
      <c r="AD10" s="14">
        <f>IF(AD9&lt;&gt;"",SUM($C$9:$N$9)/(1+$C$4)^($C$6-2013)+SUM($O$9:$Z$9)/(1+$C$4)^($O$6-2013)+SUM($AA$9:AD9)/(1+$C$4)^($AA$6-2013),"")</f>
        <v>87517643.170851409</v>
      </c>
      <c r="AE10" s="14">
        <f>IF(AE9&lt;&gt;"",SUM($C$9:$N$9)/(1+$C$4)^($C$6-2013)+SUM($O$9:$Z$9)/(1+$C$4)^($O$6-2013)+SUM($AA$9:AE9)/(1+$C$4)^($AA$6-2013),"")</f>
        <v>91523465.71313861</v>
      </c>
      <c r="AF10" s="14">
        <f>IF(AF9&lt;&gt;"",SUM($C$9:$N$9)/(1+$C$4)^($C$6-2013)+SUM($O$9:$Z$9)/(1+$C$4)^($O$6-2013)+SUM($AA$9:AF9)/(1+$C$4)^($AA$6-2013),"")</f>
        <v>95865160.645581603</v>
      </c>
      <c r="AG10" s="14">
        <f>IF(AG9&lt;&gt;"",SUM($C$9:$N$9)/(1+$C$4)^($C$6-2013)+SUM($O$9:$Z$9)/(1+$C$4)^($O$6-2013)+SUM($AA$9:AG9)/(1+$C$4)^($AA$6-2013),"")</f>
        <v>100576854.53547479</v>
      </c>
      <c r="AH10" s="14">
        <f>IF(AH9&lt;&gt;"",SUM($C$9:$N$9)/(1+$C$4)^($C$6-2013)+SUM($O$9:$Z$9)/(1+$C$4)^($O$6-2013)+SUM($AA$9:AH9)/(1+$C$4)^($AA$6-2013),"")</f>
        <v>105648868.49908522</v>
      </c>
      <c r="AI10" s="14">
        <f>IF(AI9&lt;&gt;"",SUM($C$9:$N$9)/(1+$C$4)^($C$6-2013)+SUM($O$9:$Z$9)/(1+$C$4)^($O$6-2013)+SUM($AA$9:AI9)/(1+$C$4)^($AA$6-2013),"")</f>
        <v>111199185.95222129</v>
      </c>
      <c r="AJ10" s="14">
        <f>IF(AJ9&lt;&gt;"",SUM($C$9:$N$9)/(1+$C$4)^($C$6-2013)+SUM($O$9:$Z$9)/(1+$C$4)^($O$6-2013)+SUM($AA$9:AJ9)/(1+$C$4)^($AA$6-2013),"")</f>
        <v>117463570.02494536</v>
      </c>
      <c r="AK10" s="14">
        <f>IF(AK9&lt;&gt;"",SUM($C$9:$N$9)/(1+$C$4)^($C$6-2013)+SUM($O$9:$Z$9)/(1+$C$4)^($O$6-2013)+SUM($AA$9:AK9)/(1+$C$4)^($AA$6-2013),"")</f>
        <v>125867163.12803036</v>
      </c>
      <c r="AL10" s="15">
        <f>IF(AL9&lt;&gt;"",SUM($C$9:$N$9)/(1+$C$4)^($C$6-2013)+SUM($O$9:$Z$9)/(1+$C$4)^($O$6-2013)+SUM($AA$9:AL9)/(1+$C$4)^($AA$6-2013),"")</f>
        <v>135523561.00699887</v>
      </c>
      <c r="AM10" s="3"/>
    </row>
    <row r="11" spans="1:39" s="5" customFormat="1" x14ac:dyDescent="0.25">
      <c r="A11" s="151"/>
      <c r="B11" s="5" t="s">
        <v>19</v>
      </c>
      <c r="C11" s="47">
        <f>IF(AND(C8&lt;&gt;"",C10&lt;&gt;""),C8-C10,"")</f>
        <v>-1206306.5299999998</v>
      </c>
      <c r="D11" s="14">
        <f>IF(AND(D8&lt;&gt;"",D10&lt;&gt;""),D8-D10,"")</f>
        <v>2664488.3400000003</v>
      </c>
      <c r="E11" s="14">
        <f t="shared" ref="E11" si="0">IF(AND(E8&lt;&gt;"",E10&lt;&gt;""),E8-E10,"")</f>
        <v>7139265.7800000012</v>
      </c>
      <c r="F11" s="14">
        <f t="shared" ref="F11" si="1">IF(AND(F8&lt;&gt;"",F10&lt;&gt;""),F8-F10,"")</f>
        <v>12693098.880000001</v>
      </c>
      <c r="G11" s="14">
        <f t="shared" ref="G11" si="2">IF(AND(G8&lt;&gt;"",G10&lt;&gt;""),G8-G10,"")</f>
        <v>25730075.620000005</v>
      </c>
      <c r="H11" s="14">
        <f t="shared" ref="H11" si="3">IF(AND(H8&lt;&gt;"",H10&lt;&gt;""),H8-H10,"")</f>
        <v>34636730.5</v>
      </c>
      <c r="I11" s="14">
        <f>IF(AND(I8&lt;&gt;"",I10&lt;&gt;""),I8-I10,"")</f>
        <v>48637341.640000001</v>
      </c>
      <c r="J11" s="14">
        <f>IF(AND(J8&lt;&gt;"",J10&lt;&gt;""),J8-J10,"")</f>
        <v>59021426.420000002</v>
      </c>
      <c r="K11" s="14">
        <f t="shared" ref="K11" si="4">IF(AND(K8&lt;&gt;"",K10&lt;&gt;""),K8-K10,"")</f>
        <v>76029025.849999994</v>
      </c>
      <c r="L11" s="14">
        <f t="shared" ref="L11" si="5">IF(AND(L8&lt;&gt;"",L10&lt;&gt;""),L8-L10,"")</f>
        <v>102917353.48080473</v>
      </c>
      <c r="M11" s="14">
        <f>IF(AND(M8&lt;&gt;"",M10&lt;&gt;""),M8-M10,"")</f>
        <v>121666425.11457177</v>
      </c>
      <c r="N11" s="15">
        <f t="shared" ref="N11" si="6">IF(AND(N8&lt;&gt;"",N10&lt;&gt;""),N8-N10,"")</f>
        <v>141010520.41681433</v>
      </c>
      <c r="O11" s="96">
        <f t="shared" ref="O11" si="7">IF(AND(O8&lt;&gt;"",O10&lt;&gt;""),O8-O10,"")</f>
        <v>149493829.63925397</v>
      </c>
      <c r="P11" s="97">
        <f t="shared" ref="P11" si="8">IF(AND(P8&lt;&gt;"",P10&lt;&gt;""),P8-P10,"")</f>
        <v>162181063.13759056</v>
      </c>
      <c r="Q11" s="97">
        <f t="shared" ref="Q11" si="9">IF(AND(Q8&lt;&gt;"",Q10&lt;&gt;""),Q8-Q10,"")</f>
        <v>173540025.06701672</v>
      </c>
      <c r="R11" s="97">
        <f>IF(AND(R8&lt;&gt;"",R10&lt;&gt;""),R8-R10,"")</f>
        <v>186777712.40197092</v>
      </c>
      <c r="S11" s="97">
        <f t="shared" ref="S11" si="10">IF(AND(S8&lt;&gt;"",S10&lt;&gt;""),S8-S10,"")</f>
        <v>201916779.84168184</v>
      </c>
      <c r="T11" s="97">
        <f t="shared" ref="T11" si="11">IF(AND(T8&lt;&gt;"",T10&lt;&gt;""),T8-T10,"")</f>
        <v>218121737.66390371</v>
      </c>
      <c r="U11" s="97">
        <f t="shared" ref="U11" si="12">IF(AND(U8&lt;&gt;"",U10&lt;&gt;""),U8-U10,"")</f>
        <v>235218370.11857459</v>
      </c>
      <c r="V11" s="97">
        <f t="shared" ref="V11" si="13">IF(AND(V8&lt;&gt;"",V10&lt;&gt;""),V8-V10,"")</f>
        <v>256136407.89313668</v>
      </c>
      <c r="W11" s="97">
        <f t="shared" ref="W11" si="14">IF(AND(W8&lt;&gt;"",W10&lt;&gt;""),W8-W10,"")</f>
        <v>272209692.02544403</v>
      </c>
      <c r="X11" s="97">
        <f t="shared" ref="X11" si="15">IF(AND(X8&lt;&gt;"",X10&lt;&gt;""),X8-X10,"")</f>
        <v>287014127.90830648</v>
      </c>
      <c r="Y11" s="97">
        <f t="shared" ref="Y11" si="16">IF(AND(Y8&lt;&gt;"",Y10&lt;&gt;""),Y8-Y10,"")</f>
        <v>304568759.42894346</v>
      </c>
      <c r="Z11" s="98">
        <f t="shared" ref="Z11" si="17">IF(AND(Z8&lt;&gt;"",Z10&lt;&gt;""),Z8-Z10,"")</f>
        <v>322973178.88756895</v>
      </c>
      <c r="AA11" s="83">
        <f t="shared" ref="AA11" si="18">IF(AND(AA8&lt;&gt;"",AA10&lt;&gt;""),AA8-AA10,"")</f>
        <v>336793786.77722764</v>
      </c>
      <c r="AB11" s="14">
        <f t="shared" ref="AB11" si="19">IF(AND(AB8&lt;&gt;"",AB10&lt;&gt;""),AB8-AB10,"")</f>
        <v>349885189.00526607</v>
      </c>
      <c r="AC11" s="14">
        <f t="shared" ref="AC11" si="20">IF(AND(AC8&lt;&gt;"",AC10&lt;&gt;""),AC8-AC10,"")</f>
        <v>363543381.6115914</v>
      </c>
      <c r="AD11" s="14">
        <f t="shared" ref="AD11" si="21">IF(AND(AD8&lt;&gt;"",AD10&lt;&gt;""),AD8-AD10,"")</f>
        <v>378320466.82914859</v>
      </c>
      <c r="AE11" s="14">
        <f t="shared" ref="AE11" si="22">IF(AND(AE8&lt;&gt;"",AE10&lt;&gt;""),AE8-AE10,"")</f>
        <v>395747840.28686142</v>
      </c>
      <c r="AF11" s="14">
        <f t="shared" ref="AF11" si="23">IF(AND(AF8&lt;&gt;"",AF10&lt;&gt;""),AF8-AF10,"")</f>
        <v>414633013.3544184</v>
      </c>
      <c r="AG11" s="14">
        <f t="shared" ref="AG11" si="24">IF(AND(AG8&lt;&gt;"",AG10&lt;&gt;""),AG8-AG10,"")</f>
        <v>436878814.46452522</v>
      </c>
      <c r="AH11" s="14">
        <f t="shared" ref="AH11" si="25">IF(AND(AH8&lt;&gt;"",AH10&lt;&gt;""),AH8-AH10,"")</f>
        <v>459197872.50091481</v>
      </c>
      <c r="AI11" s="14">
        <f t="shared" ref="AI11" si="26">IF(AND(AI8&lt;&gt;"",AI10&lt;&gt;""),AI8-AI10,"")</f>
        <v>479484682.04777873</v>
      </c>
      <c r="AJ11" s="14">
        <f t="shared" ref="AJ11" si="27">IF(AND(AJ8&lt;&gt;"",AJ10&lt;&gt;""),AJ8-AJ10,"")</f>
        <v>499124572.97505462</v>
      </c>
      <c r="AK11" s="14">
        <f t="shared" ref="AK11" si="28">IF(AND(AK8&lt;&gt;"",AK10&lt;&gt;""),AK8-AK10,"")</f>
        <v>515943985.87196964</v>
      </c>
      <c r="AL11" s="15">
        <f t="shared" ref="AL11" si="29">IF(AND(AL8&lt;&gt;"",AL10&lt;&gt;""),AL8-AL10,"")</f>
        <v>532241479.9930011</v>
      </c>
      <c r="AM11" s="3"/>
    </row>
    <row r="12" spans="1:39" s="5" customFormat="1" x14ac:dyDescent="0.25">
      <c r="A12" s="151"/>
      <c r="B12" s="5" t="s">
        <v>20</v>
      </c>
      <c r="C12" s="47">
        <f>IF(C11&lt;&gt;"",C11*$C$3,"")</f>
        <v>-317741.14000199997</v>
      </c>
      <c r="D12" s="14">
        <f t="shared" ref="D12:N12" si="30">IF(D11&lt;&gt;"",D11*$C$3,"")</f>
        <v>701826.22875600017</v>
      </c>
      <c r="E12" s="14">
        <f t="shared" si="30"/>
        <v>1880482.6064520006</v>
      </c>
      <c r="F12" s="14">
        <f t="shared" si="30"/>
        <v>3343362.2449920005</v>
      </c>
      <c r="G12" s="14">
        <f t="shared" si="30"/>
        <v>6777301.9183080019</v>
      </c>
      <c r="H12" s="14">
        <f t="shared" si="30"/>
        <v>9123314.8137000017</v>
      </c>
      <c r="I12" s="14">
        <f>IF(I11&lt;&gt;"",I11*$C$3,"")</f>
        <v>12811075.787976</v>
      </c>
      <c r="J12" s="14">
        <f>IF(J11&lt;&gt;"",J11*$C$3,"")</f>
        <v>15546243.719028002</v>
      </c>
      <c r="K12" s="14">
        <f t="shared" si="30"/>
        <v>20026045.408890001</v>
      </c>
      <c r="L12" s="14">
        <f t="shared" si="30"/>
        <v>27108430.906843968</v>
      </c>
      <c r="M12" s="14">
        <f>IF(M11&lt;&gt;"",M11*$C$3,"")</f>
        <v>32046936.375178207</v>
      </c>
      <c r="N12" s="15">
        <f t="shared" si="30"/>
        <v>37142171.077788897</v>
      </c>
      <c r="O12" s="96">
        <f t="shared" ref="O12" si="31">IF(O11&lt;&gt;"",O11*$C$3,"")</f>
        <v>39376674.726979502</v>
      </c>
      <c r="P12" s="97">
        <f t="shared" ref="P12" si="32">IF(P11&lt;&gt;"",P11*$C$3,"")</f>
        <v>42718492.030441359</v>
      </c>
      <c r="Q12" s="97">
        <f t="shared" ref="Q12" si="33">IF(Q11&lt;&gt;"",Q11*$C$3,"")</f>
        <v>45710442.602652207</v>
      </c>
      <c r="R12" s="97">
        <f>IF(R11&lt;&gt;"",R11*$C$3,"")</f>
        <v>49197249.446679145</v>
      </c>
      <c r="S12" s="97">
        <f t="shared" ref="S12" si="34">IF(S11&lt;&gt;"",S11*$C$3,"")</f>
        <v>53184879.810299002</v>
      </c>
      <c r="T12" s="97">
        <f t="shared" ref="T12" si="35">IF(T11&lt;&gt;"",T11*$C$3,"")</f>
        <v>57453265.700672247</v>
      </c>
      <c r="U12" s="97">
        <f t="shared" ref="U12" si="36">IF(U11&lt;&gt;"",U11*$C$3,"")</f>
        <v>61956518.689232551</v>
      </c>
      <c r="V12" s="97">
        <f t="shared" ref="V12" si="37">IF(V11&lt;&gt;"",V11*$C$3,"")</f>
        <v>67466329.8390522</v>
      </c>
      <c r="W12" s="97">
        <f t="shared" ref="W12" si="38">IF(W11&lt;&gt;"",W11*$C$3,"")</f>
        <v>71700032.879501969</v>
      </c>
      <c r="X12" s="97">
        <f t="shared" ref="X12" si="39">IF(X11&lt;&gt;"",X11*$C$3,"")</f>
        <v>75599521.291047931</v>
      </c>
      <c r="Y12" s="97">
        <f t="shared" ref="Y12" si="40">IF(Y11&lt;&gt;"",Y11*$C$3,"")</f>
        <v>80223411.233583719</v>
      </c>
      <c r="Z12" s="98">
        <f t="shared" ref="Z12" si="41">IF(Z11&lt;&gt;"",Z11*$C$3,"")</f>
        <v>85071135.318985671</v>
      </c>
      <c r="AA12" s="83">
        <f t="shared" ref="AA12" si="42">IF(AA11&lt;&gt;"",AA11*$C$3,"")</f>
        <v>88711483.437121764</v>
      </c>
      <c r="AB12" s="14">
        <f t="shared" ref="AB12" si="43">IF(AB11&lt;&gt;"",AB11*$C$3,"")</f>
        <v>92159758.78398709</v>
      </c>
      <c r="AC12" s="14">
        <f t="shared" ref="AC12" si="44">IF(AC11&lt;&gt;"",AC11*$C$3,"")</f>
        <v>95757326.716493189</v>
      </c>
      <c r="AD12" s="14">
        <f t="shared" ref="AD12" si="45">IF(AD11&lt;&gt;"",AD11*$C$3,"")</f>
        <v>99649610.962797746</v>
      </c>
      <c r="AE12" s="14">
        <f t="shared" ref="AE12" si="46">IF(AE11&lt;&gt;"",AE11*$C$3,"")</f>
        <v>104239981.13155931</v>
      </c>
      <c r="AF12" s="14">
        <f t="shared" ref="AF12" si="47">IF(AF11&lt;&gt;"",AF11*$C$3,"")</f>
        <v>109214335.71755381</v>
      </c>
      <c r="AG12" s="14">
        <f t="shared" ref="AG12" si="48">IF(AG11&lt;&gt;"",AG11*$C$3,"")</f>
        <v>115073879.72995596</v>
      </c>
      <c r="AH12" s="14">
        <f t="shared" ref="AH12" si="49">IF(AH11&lt;&gt;"",AH11*$C$3,"")</f>
        <v>120952719.61674097</v>
      </c>
      <c r="AI12" s="14">
        <f t="shared" ref="AI12" si="50">IF(AI11&lt;&gt;"",AI11*$C$3,"")</f>
        <v>126296265.25138493</v>
      </c>
      <c r="AJ12" s="14">
        <f t="shared" ref="AJ12" si="51">IF(AJ11&lt;&gt;"",AJ11*$C$3,"")</f>
        <v>131469412.52162939</v>
      </c>
      <c r="AK12" s="14">
        <f t="shared" ref="AK12" si="52">IF(AK11&lt;&gt;"",AK11*$C$3,"")</f>
        <v>135899645.8786768</v>
      </c>
      <c r="AL12" s="15">
        <f t="shared" ref="AL12" si="53">IF(AL11&lt;&gt;"",AL11*$C$3,"")</f>
        <v>140192405.83015651</v>
      </c>
      <c r="AM12" s="3"/>
    </row>
    <row r="13" spans="1:39" s="5" customFormat="1" x14ac:dyDescent="0.25">
      <c r="A13" s="151"/>
      <c r="B13" s="5" t="s">
        <v>21</v>
      </c>
      <c r="C13" s="47">
        <f>IF(C12&lt;&gt;"",C12,"")</f>
        <v>-317741.14000199997</v>
      </c>
      <c r="D13" s="14">
        <f>IF(D12&lt;&gt;"",D12-C12,"")</f>
        <v>1019567.3687580002</v>
      </c>
      <c r="E13" s="14">
        <f t="shared" ref="E13:N13" si="54">IF(E12&lt;&gt;"",E12-D12,"")</f>
        <v>1178656.3776960005</v>
      </c>
      <c r="F13" s="14">
        <f>IF(F12&lt;&gt;"",F12-E12,"")</f>
        <v>1462879.63854</v>
      </c>
      <c r="G13" s="14">
        <f>IF(G12&lt;&gt;"",G12-F12,"")</f>
        <v>3433939.6733160014</v>
      </c>
      <c r="H13" s="14">
        <f t="shared" si="54"/>
        <v>2346012.8953919997</v>
      </c>
      <c r="I13" s="14">
        <f>IF(I12&lt;&gt;"",I12-H12,"")</f>
        <v>3687760.9742759988</v>
      </c>
      <c r="J13" s="14">
        <f>IF(J12&lt;&gt;"",J12-I12,"")</f>
        <v>2735167.9310520012</v>
      </c>
      <c r="K13" s="14">
        <f t="shared" si="54"/>
        <v>4479801.6898619998</v>
      </c>
      <c r="L13" s="14">
        <f t="shared" si="54"/>
        <v>7082385.4979539663</v>
      </c>
      <c r="M13" s="14">
        <f>IF(M12&lt;&gt;"",M12-L12,"")</f>
        <v>4938505.468334239</v>
      </c>
      <c r="N13" s="15">
        <f t="shared" si="54"/>
        <v>5095234.7026106901</v>
      </c>
      <c r="O13" s="96">
        <f t="shared" ref="O13" si="55">IF(O12&lt;&gt;"",O12-N12,"")</f>
        <v>2234503.6491906047</v>
      </c>
      <c r="P13" s="97">
        <f t="shared" ref="P13" si="56">IF(P12&lt;&gt;"",P12-O12,"")</f>
        <v>3341817.3034618571</v>
      </c>
      <c r="Q13" s="97">
        <f>IF(Q12&lt;&gt;"",Q12-P12,"")</f>
        <v>2991950.5722108483</v>
      </c>
      <c r="R13" s="97">
        <f>IF(R12&lt;&gt;"",R12-Q12,"")</f>
        <v>3486806.8440269381</v>
      </c>
      <c r="S13" s="97">
        <f t="shared" ref="S13" si="57">IF(S12&lt;&gt;"",S12-R12,"")</f>
        <v>3987630.3636198565</v>
      </c>
      <c r="T13" s="97">
        <f t="shared" ref="T13" si="58">IF(T12&lt;&gt;"",T12-S12,"")</f>
        <v>4268385.8903732449</v>
      </c>
      <c r="U13" s="97">
        <f t="shared" ref="U13" si="59">IF(U12&lt;&gt;"",U12-T12,"")</f>
        <v>4503252.988560304</v>
      </c>
      <c r="V13" s="97">
        <f t="shared" ref="V13" si="60">IF(V12&lt;&gt;"",V12-U12,"")</f>
        <v>5509811.1498196498</v>
      </c>
      <c r="W13" s="97">
        <f t="shared" ref="W13" si="61">IF(W12&lt;&gt;"",W12-V12,"")</f>
        <v>4233703.0404497683</v>
      </c>
      <c r="X13" s="97">
        <f t="shared" ref="X13" si="62">IF(X12&lt;&gt;"",X12-W12,"")</f>
        <v>3899488.4115459621</v>
      </c>
      <c r="Y13" s="97">
        <f t="shared" ref="Y13" si="63">IF(Y12&lt;&gt;"",Y12-X12,"")</f>
        <v>4623889.9425357878</v>
      </c>
      <c r="Z13" s="98">
        <f t="shared" ref="Z13" si="64">IF(Z12&lt;&gt;"",Z12-Y12,"")</f>
        <v>4847724.0854019523</v>
      </c>
      <c r="AA13" s="83">
        <f t="shared" ref="AA13" si="65">IF(AA12&lt;&gt;"",AA12-Z12,"")</f>
        <v>3640348.118136093</v>
      </c>
      <c r="AB13" s="14">
        <f t="shared" ref="AB13" si="66">IF(AB12&lt;&gt;"",AB12-AA12,"")</f>
        <v>3448275.3468653262</v>
      </c>
      <c r="AC13" s="14">
        <f t="shared" ref="AC13" si="67">IF(AC12&lt;&gt;"",AC12-AB12,"")</f>
        <v>3597567.9325060993</v>
      </c>
      <c r="AD13" s="14">
        <f t="shared" ref="AD13" si="68">IF(AD12&lt;&gt;"",AD12-AC12,"")</f>
        <v>3892284.2463045567</v>
      </c>
      <c r="AE13" s="14">
        <f t="shared" ref="AE13" si="69">IF(AE12&lt;&gt;"",AE12-AD12,"")</f>
        <v>4590370.1687615663</v>
      </c>
      <c r="AF13" s="14">
        <f t="shared" ref="AF13" si="70">IF(AF12&lt;&gt;"",AF12-AE12,"")</f>
        <v>4974354.5859944969</v>
      </c>
      <c r="AG13" s="14">
        <f t="shared" ref="AG13" si="71">IF(AG12&lt;&gt;"",AG12-AF12,"")</f>
        <v>5859544.0124021471</v>
      </c>
      <c r="AH13" s="14">
        <f t="shared" ref="AH13" si="72">IF(AH12&lt;&gt;"",AH12-AG12,"")</f>
        <v>5878839.8867850155</v>
      </c>
      <c r="AI13" s="14">
        <f t="shared" ref="AI13" si="73">IF(AI12&lt;&gt;"",AI12-AH12,"")</f>
        <v>5343545.634643957</v>
      </c>
      <c r="AJ13" s="14">
        <f t="shared" ref="AJ13" si="74">IF(AJ12&lt;&gt;"",AJ12-AI12,"")</f>
        <v>5173147.2702444643</v>
      </c>
      <c r="AK13" s="14">
        <f t="shared" ref="AK13" si="75">IF(AK12&lt;&gt;"",AK12-AJ12,"")</f>
        <v>4430233.3570474088</v>
      </c>
      <c r="AL13" s="15">
        <f t="shared" ref="AL13" si="76">IF(AL12&lt;&gt;"",AL12-AK12,"")</f>
        <v>4292759.9514797032</v>
      </c>
      <c r="AM13" s="3"/>
    </row>
    <row r="14" spans="1:39" s="6" customFormat="1" x14ac:dyDescent="0.25">
      <c r="A14" s="151"/>
      <c r="B14" s="6" t="s">
        <v>22</v>
      </c>
      <c r="C14" s="48">
        <f>IF(C13&lt;&gt;"",C13*(1+$C$4)^($C$6-2013),"")</f>
        <v>-317741.14000199997</v>
      </c>
      <c r="D14" s="16">
        <f t="shared" ref="D14:N14" si="77">IF(D13&lt;&gt;"",D13*(1+$C$4)^($C$6-2013),"")</f>
        <v>1019567.3687580002</v>
      </c>
      <c r="E14" s="16">
        <f t="shared" si="77"/>
        <v>1178656.3776960005</v>
      </c>
      <c r="F14" s="16">
        <f t="shared" si="77"/>
        <v>1462879.63854</v>
      </c>
      <c r="G14" s="16">
        <f t="shared" si="77"/>
        <v>3433939.6733160014</v>
      </c>
      <c r="H14" s="16">
        <f t="shared" si="77"/>
        <v>2346012.8953919997</v>
      </c>
      <c r="I14" s="16">
        <f>IF(I13&lt;&gt;"",I13*(1+$C$4)^($C$6-2013),"")</f>
        <v>3687760.9742759988</v>
      </c>
      <c r="J14" s="16">
        <f>IF(J13&lt;&gt;"",J13*(1+$C$4)^($C$6-2013),"")</f>
        <v>2735167.9310520012</v>
      </c>
      <c r="K14" s="16">
        <f t="shared" si="77"/>
        <v>4479801.6898619998</v>
      </c>
      <c r="L14" s="16">
        <f t="shared" si="77"/>
        <v>7082385.4979539663</v>
      </c>
      <c r="M14" s="16">
        <f>IF(M13&lt;&gt;"",M13*(1+$C$4)^($C$6-2013),"")</f>
        <v>4938505.468334239</v>
      </c>
      <c r="N14" s="17">
        <f t="shared" si="77"/>
        <v>5095234.7026106901</v>
      </c>
      <c r="O14" s="99">
        <f t="shared" ref="O14:Z14" si="78">IF(O13&lt;&gt;"",O13*(1+$C$4)^($O$6-2013),"")</f>
        <v>2389801.6528093521</v>
      </c>
      <c r="P14" s="100">
        <f t="shared" si="78"/>
        <v>3574073.6060524564</v>
      </c>
      <c r="Q14" s="100">
        <f t="shared" si="78"/>
        <v>3199891.1369795026</v>
      </c>
      <c r="R14" s="100">
        <f t="shared" si="78"/>
        <v>3729139.9196868106</v>
      </c>
      <c r="S14" s="100">
        <f t="shared" si="78"/>
        <v>4264770.6738914372</v>
      </c>
      <c r="T14" s="100">
        <f t="shared" si="78"/>
        <v>4565038.7097541858</v>
      </c>
      <c r="U14" s="100">
        <f t="shared" si="78"/>
        <v>4816229.0712652458</v>
      </c>
      <c r="V14" s="100">
        <f t="shared" si="78"/>
        <v>5892743.0247321157</v>
      </c>
      <c r="W14" s="100">
        <f t="shared" si="78"/>
        <v>4527945.401761028</v>
      </c>
      <c r="X14" s="100">
        <f t="shared" si="78"/>
        <v>4170502.8561484069</v>
      </c>
      <c r="Y14" s="100">
        <f t="shared" si="78"/>
        <v>4945250.2935420256</v>
      </c>
      <c r="Z14" s="101">
        <f t="shared" si="78"/>
        <v>5184640.9093373884</v>
      </c>
      <c r="AA14" s="87">
        <f t="shared" ref="AA14:AL14" si="79">IF(AA13&lt;&gt;"",AA13*(1+$C$4)^($AA$6-2013),"")</f>
        <v>4163940.2980546374</v>
      </c>
      <c r="AB14" s="81">
        <f t="shared" si="79"/>
        <v>3944241.6520738034</v>
      </c>
      <c r="AC14" s="81">
        <f t="shared" si="79"/>
        <v>4115007.0276304353</v>
      </c>
      <c r="AD14" s="81">
        <f t="shared" si="79"/>
        <v>4452112.4625216033</v>
      </c>
      <c r="AE14" s="81">
        <f t="shared" si="79"/>
        <v>5250604.2577270856</v>
      </c>
      <c r="AF14" s="81">
        <f t="shared" si="79"/>
        <v>5689817.2496867329</v>
      </c>
      <c r="AG14" s="81">
        <f t="shared" si="79"/>
        <v>6702323.6925919522</v>
      </c>
      <c r="AH14" s="81">
        <f t="shared" si="79"/>
        <v>6724394.8974112766</v>
      </c>
      <c r="AI14" s="81">
        <f t="shared" si="79"/>
        <v>6112109.1391612068</v>
      </c>
      <c r="AJ14" s="81">
        <f t="shared" si="79"/>
        <v>5917202.3354105437</v>
      </c>
      <c r="AK14" s="81">
        <f t="shared" si="79"/>
        <v>5067434.9283498777</v>
      </c>
      <c r="AL14" s="82">
        <f t="shared" si="79"/>
        <v>4910188.6884910176</v>
      </c>
      <c r="AM14" s="3"/>
    </row>
    <row r="15" spans="1:39" s="5" customFormat="1" x14ac:dyDescent="0.25">
      <c r="A15" s="151"/>
      <c r="B15" s="61" t="s">
        <v>38</v>
      </c>
      <c r="C15" s="62"/>
      <c r="D15" s="63"/>
      <c r="E15" s="63"/>
      <c r="F15" s="63"/>
      <c r="G15" s="63"/>
      <c r="H15" s="63"/>
      <c r="I15" s="63"/>
      <c r="J15" s="63"/>
      <c r="K15" s="63"/>
      <c r="L15" s="63">
        <f>L14*0.9</f>
        <v>6374146.9481585696</v>
      </c>
      <c r="M15" s="63">
        <f>M14*0.9</f>
        <v>4444654.9215008151</v>
      </c>
      <c r="N15" s="63"/>
      <c r="O15" s="123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2"/>
      <c r="AA15" s="84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4"/>
      <c r="AM15" s="3"/>
    </row>
    <row r="16" spans="1:39" s="33" customFormat="1" ht="15" customHeight="1" x14ac:dyDescent="0.25">
      <c r="A16" s="152" t="s">
        <v>31</v>
      </c>
      <c r="B16" s="29" t="s">
        <v>24</v>
      </c>
      <c r="C16" s="49">
        <v>1099743.8600000001</v>
      </c>
      <c r="D16" s="30">
        <v>2604640.9300000002</v>
      </c>
      <c r="E16" s="30">
        <v>2570633.86</v>
      </c>
      <c r="F16" s="30">
        <v>2284520.85</v>
      </c>
      <c r="G16" s="30">
        <v>1957901.85</v>
      </c>
      <c r="H16" s="30">
        <v>2228912.27</v>
      </c>
      <c r="I16" s="30">
        <v>2754033.67</v>
      </c>
      <c r="J16" s="30">
        <v>2604052.73</v>
      </c>
      <c r="K16" s="30">
        <v>2769679.17</v>
      </c>
      <c r="L16" s="30">
        <v>2157299.86</v>
      </c>
      <c r="M16" s="30">
        <v>2018245.21</v>
      </c>
      <c r="N16" s="31">
        <v>2680997.69</v>
      </c>
      <c r="O16" s="109">
        <v>3386200.12</v>
      </c>
      <c r="P16" s="110">
        <v>4857630.97</v>
      </c>
      <c r="Q16" s="110">
        <v>4265920.49</v>
      </c>
      <c r="R16" s="110">
        <v>3413568.32</v>
      </c>
      <c r="S16" s="110">
        <v>3143662.56</v>
      </c>
      <c r="T16" s="110">
        <v>3807693.67</v>
      </c>
      <c r="U16" s="110">
        <v>4372439.68</v>
      </c>
      <c r="V16" s="110">
        <v>4118567.79</v>
      </c>
      <c r="W16" s="110">
        <v>4371786.34</v>
      </c>
      <c r="X16" s="110">
        <v>3215738.04</v>
      </c>
      <c r="Y16" s="137">
        <v>3215080.17</v>
      </c>
      <c r="Z16" s="138">
        <v>4066464.71</v>
      </c>
      <c r="AA16" s="139">
        <v>5160300.1900000004</v>
      </c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1"/>
      <c r="AM16" s="32"/>
    </row>
    <row r="17" spans="1:39" s="37" customFormat="1" x14ac:dyDescent="0.25">
      <c r="A17" s="152"/>
      <c r="B17" s="29" t="s">
        <v>25</v>
      </c>
      <c r="C17" s="34">
        <f>IF(OR(C16="",C14=""),"",C14-C16)</f>
        <v>-1417485.000002</v>
      </c>
      <c r="D17" s="35">
        <f>IF(OR(D16="",D14=""),"",D14-D16)</f>
        <v>-1585073.561242</v>
      </c>
      <c r="E17" s="35">
        <f t="shared" ref="E17:AL17" si="80">IF(OR(E16="",E14=""),"",E14-E16)</f>
        <v>-1391977.4823039994</v>
      </c>
      <c r="F17" s="35">
        <f>IF(OR(F16="",F14=""),"",F14-F16)</f>
        <v>-821641.21146000014</v>
      </c>
      <c r="G17" s="35">
        <f t="shared" si="80"/>
        <v>1476037.8233160013</v>
      </c>
      <c r="H17" s="35">
        <f t="shared" si="80"/>
        <v>117100.62539199973</v>
      </c>
      <c r="I17" s="35">
        <f>IF(OR(I16="",I14=""),"",I14-I16)</f>
        <v>933727.30427599885</v>
      </c>
      <c r="J17" s="35">
        <f>IF(OR(J16="",J14=""),"",J14-J16)</f>
        <v>131115.20105200121</v>
      </c>
      <c r="K17" s="35">
        <f t="shared" ref="K17:P17" si="81">IF(OR(K16="",K14=""),"",K14-K16)</f>
        <v>1710122.5198619999</v>
      </c>
      <c r="L17" s="35">
        <f t="shared" si="81"/>
        <v>4925085.6379539669</v>
      </c>
      <c r="M17" s="35">
        <f t="shared" si="81"/>
        <v>2920260.258334239</v>
      </c>
      <c r="N17" s="36">
        <f t="shared" si="81"/>
        <v>2414237.0126106902</v>
      </c>
      <c r="O17" s="111">
        <f t="shared" si="81"/>
        <v>-996398.46719064796</v>
      </c>
      <c r="P17" s="112">
        <f t="shared" si="81"/>
        <v>-1283557.3639475433</v>
      </c>
      <c r="Q17" s="112">
        <f t="shared" si="80"/>
        <v>-1066029.3530204976</v>
      </c>
      <c r="R17" s="112">
        <f t="shared" si="80"/>
        <v>315571.59968681075</v>
      </c>
      <c r="S17" s="112">
        <f t="shared" si="80"/>
        <v>1121108.1138914372</v>
      </c>
      <c r="T17" s="112">
        <f t="shared" si="80"/>
        <v>757345.03975418583</v>
      </c>
      <c r="U17" s="112">
        <f t="shared" si="80"/>
        <v>443789.39126524609</v>
      </c>
      <c r="V17" s="112">
        <f t="shared" si="80"/>
        <v>1774175.2347321156</v>
      </c>
      <c r="W17" s="112">
        <f t="shared" si="80"/>
        <v>156159.06176102813</v>
      </c>
      <c r="X17" s="112">
        <f>IF(OR(X16="",X14=""),"",X14-X16)</f>
        <v>954764.81614840683</v>
      </c>
      <c r="Y17" s="112">
        <f t="shared" si="80"/>
        <v>1730170.1235420257</v>
      </c>
      <c r="Z17" s="113">
        <f t="shared" si="80"/>
        <v>1118176.1993373884</v>
      </c>
      <c r="AA17" s="127">
        <f t="shared" si="80"/>
        <v>-996359.89194536302</v>
      </c>
      <c r="AB17" s="35" t="str">
        <f t="shared" si="80"/>
        <v/>
      </c>
      <c r="AC17" s="35" t="str">
        <f t="shared" si="80"/>
        <v/>
      </c>
      <c r="AD17" s="35" t="str">
        <f t="shared" si="80"/>
        <v/>
      </c>
      <c r="AE17" s="35" t="str">
        <f t="shared" si="80"/>
        <v/>
      </c>
      <c r="AF17" s="35" t="str">
        <f t="shared" si="80"/>
        <v/>
      </c>
      <c r="AG17" s="35" t="str">
        <f t="shared" si="80"/>
        <v/>
      </c>
      <c r="AH17" s="35" t="str">
        <f t="shared" si="80"/>
        <v/>
      </c>
      <c r="AI17" s="35" t="str">
        <f t="shared" si="80"/>
        <v/>
      </c>
      <c r="AJ17" s="35" t="str">
        <f t="shared" si="80"/>
        <v/>
      </c>
      <c r="AK17" s="35" t="str">
        <f t="shared" si="80"/>
        <v/>
      </c>
      <c r="AL17" s="36" t="str">
        <f t="shared" si="80"/>
        <v/>
      </c>
      <c r="AM17" s="32"/>
    </row>
    <row r="18" spans="1:39" s="37" customFormat="1" x14ac:dyDescent="0.25">
      <c r="A18" s="152"/>
      <c r="B18" s="65" t="s">
        <v>39</v>
      </c>
      <c r="C18" s="66"/>
      <c r="D18" s="67"/>
      <c r="E18" s="67"/>
      <c r="F18" s="67"/>
      <c r="G18" s="67"/>
      <c r="H18" s="67"/>
      <c r="I18" s="67"/>
      <c r="J18" s="67"/>
      <c r="K18" s="67"/>
      <c r="L18" s="67">
        <f>L15-L16</f>
        <v>4216847.0881585702</v>
      </c>
      <c r="M18" s="67">
        <f>M15-M16</f>
        <v>2426409.7115008151</v>
      </c>
      <c r="N18" s="67"/>
      <c r="O18" s="124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6"/>
      <c r="AA18" s="128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8"/>
      <c r="AM18" s="32"/>
    </row>
    <row r="19" spans="1:39" s="37" customFormat="1" x14ac:dyDescent="0.25">
      <c r="A19" s="152"/>
      <c r="B19" s="29" t="s">
        <v>58</v>
      </c>
      <c r="C19" s="51">
        <v>4.2750000000000002E-3</v>
      </c>
      <c r="D19" s="52">
        <v>4.2833300000000001E-3</v>
      </c>
      <c r="E19" s="56">
        <v>4.2249999999999996E-3</v>
      </c>
      <c r="F19" s="56">
        <v>4.2500000000000003E-3</v>
      </c>
      <c r="G19" s="56">
        <v>4.1999999999999997E-3</v>
      </c>
      <c r="H19" s="56">
        <v>4.2083299999999997E-3</v>
      </c>
      <c r="I19" s="56">
        <v>4.2500000000000003E-3</v>
      </c>
      <c r="J19" s="90">
        <v>4.29167E-3</v>
      </c>
      <c r="K19" s="56">
        <v>4.3333299999999998E-3</v>
      </c>
      <c r="L19" s="56">
        <v>4.2666700000000002E-3</v>
      </c>
      <c r="M19" s="56">
        <v>4.2083299999999997E-3</v>
      </c>
      <c r="N19" s="57">
        <v>4.0666699999999997E-3</v>
      </c>
      <c r="O19" s="134">
        <v>3.4499999999999999E-3</v>
      </c>
      <c r="P19" s="119">
        <v>0</v>
      </c>
      <c r="Q19" s="119">
        <v>0</v>
      </c>
      <c r="R19" s="119">
        <v>0</v>
      </c>
      <c r="S19" s="119">
        <v>0</v>
      </c>
      <c r="T19" s="119">
        <v>0</v>
      </c>
      <c r="U19" s="119">
        <v>0</v>
      </c>
      <c r="V19" s="119">
        <v>0</v>
      </c>
      <c r="W19" s="119">
        <v>0</v>
      </c>
      <c r="X19" s="119">
        <v>0</v>
      </c>
      <c r="Y19" s="119">
        <v>0</v>
      </c>
      <c r="Z19" s="57">
        <v>0</v>
      </c>
      <c r="AA19" s="134">
        <v>0</v>
      </c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7"/>
      <c r="AM19" s="32"/>
    </row>
    <row r="20" spans="1:39" s="37" customFormat="1" x14ac:dyDescent="0.25">
      <c r="A20" s="152"/>
      <c r="B20" s="29" t="s">
        <v>57</v>
      </c>
      <c r="C20" s="51">
        <v>2.2499999999999998E-3</v>
      </c>
      <c r="D20" s="52">
        <v>2.2416699999999999E-3</v>
      </c>
      <c r="E20" s="56">
        <v>2.2583299999999998E-3</v>
      </c>
      <c r="F20" s="56">
        <v>2.2583299999999998E-3</v>
      </c>
      <c r="G20" s="56">
        <v>2.29167E-3</v>
      </c>
      <c r="H20" s="56">
        <v>2.29167E-3</v>
      </c>
      <c r="I20" s="56">
        <v>2.2583299999999998E-3</v>
      </c>
      <c r="J20" s="90">
        <v>2.23333E-3</v>
      </c>
      <c r="K20" s="56">
        <v>2.2083300000000001E-3</v>
      </c>
      <c r="L20" s="56">
        <v>2.1083299999999998E-3</v>
      </c>
      <c r="M20" s="56">
        <v>2.1333300000000001E-3</v>
      </c>
      <c r="N20" s="57">
        <v>2.075E-3</v>
      </c>
      <c r="O20" s="134">
        <v>1.83333E-3</v>
      </c>
      <c r="P20" s="119">
        <v>0</v>
      </c>
      <c r="Q20" s="119">
        <v>0</v>
      </c>
      <c r="R20" s="119">
        <v>0</v>
      </c>
      <c r="S20" s="119">
        <v>0</v>
      </c>
      <c r="T20" s="119">
        <v>0</v>
      </c>
      <c r="U20" s="119">
        <v>0</v>
      </c>
      <c r="V20" s="119">
        <v>0</v>
      </c>
      <c r="W20" s="119">
        <v>0</v>
      </c>
      <c r="X20" s="119">
        <v>0</v>
      </c>
      <c r="Y20" s="119">
        <v>0</v>
      </c>
      <c r="Z20" s="57">
        <v>0</v>
      </c>
      <c r="AA20" s="134">
        <v>0</v>
      </c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7"/>
      <c r="AM20" s="32"/>
    </row>
    <row r="21" spans="1:39" s="37" customFormat="1" x14ac:dyDescent="0.25">
      <c r="A21" s="152"/>
      <c r="B21" s="140" t="s">
        <v>56</v>
      </c>
      <c r="C21" s="51"/>
      <c r="D21" s="52"/>
      <c r="E21" s="119"/>
      <c r="F21" s="119"/>
      <c r="G21" s="119"/>
      <c r="H21" s="119"/>
      <c r="I21" s="119"/>
      <c r="J21" s="119"/>
      <c r="K21" s="119"/>
      <c r="L21" s="119"/>
      <c r="M21" s="119"/>
      <c r="N21" s="57"/>
      <c r="O21" s="134"/>
      <c r="P21" s="119">
        <f>P33</f>
        <v>4.6197699999999996E-3</v>
      </c>
      <c r="Q21" s="119">
        <f t="shared" ref="Q21:AA21" si="82">Q33</f>
        <v>3.4344499999999999E-3</v>
      </c>
      <c r="R21" s="119">
        <f t="shared" si="82"/>
        <v>3.23025E-3</v>
      </c>
      <c r="S21" s="119">
        <f t="shared" si="82"/>
        <v>2.9896499999999999E-3</v>
      </c>
      <c r="T21" s="119">
        <f t="shared" si="82"/>
        <v>3.0693399999999998E-3</v>
      </c>
      <c r="U21" s="119">
        <f t="shared" si="82"/>
        <v>2.9848700000000001E-3</v>
      </c>
      <c r="V21" s="119">
        <f t="shared" si="82"/>
        <v>3.11941E-3</v>
      </c>
      <c r="W21" s="119">
        <f t="shared" si="82"/>
        <v>2.6448499999999998E-3</v>
      </c>
      <c r="X21" s="119">
        <f t="shared" si="82"/>
        <v>2.7227499999999999E-3</v>
      </c>
      <c r="Y21" s="119">
        <f t="shared" si="82"/>
        <v>2.7227499999999999E-3</v>
      </c>
      <c r="Z21" s="57">
        <f t="shared" si="82"/>
        <v>2.7227499999999999E-3</v>
      </c>
      <c r="AA21" s="134">
        <f t="shared" si="82"/>
        <v>2.7227499999999999E-3</v>
      </c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57"/>
      <c r="AM21" s="32"/>
    </row>
    <row r="22" spans="1:39" s="41" customFormat="1" x14ac:dyDescent="0.25">
      <c r="A22" s="152"/>
      <c r="B22" s="29" t="s">
        <v>29</v>
      </c>
      <c r="C22" s="38">
        <f>IF(OR(C19="",C16=""),"",C17*C19)</f>
        <v>-6059.7483750085503</v>
      </c>
      <c r="D22" s="39">
        <f>IF(OR(C29="",D17="",D19=""),"",(C29+D17)*D19)</f>
        <v>-12900.566065196768</v>
      </c>
      <c r="E22" s="39">
        <f>IF(OR(D29="",E17="",E19=""),"",(D29+E17)*E19)</f>
        <v>-18689.022077451089</v>
      </c>
      <c r="F22" s="39">
        <f t="shared" ref="F22:AL22" si="83">IF(OR(E29="",F17="",F19=""),"",(E29+F17)*F19)</f>
        <v>-22413.467218187863</v>
      </c>
      <c r="G22" s="39">
        <f>IF(OR(F29="",G17="",G19=""),"",(F29+G17)*G19)</f>
        <v>-16094.578626192711</v>
      </c>
      <c r="H22" s="39">
        <f>IF(OR(G29="",H17="",H19=""),"",(G29+H17)*H19)</f>
        <v>-15738.389378883949</v>
      </c>
      <c r="I22" s="39">
        <f t="shared" si="83"/>
        <v>-12029.199042050468</v>
      </c>
      <c r="J22" s="39">
        <f>IF(OR(I29="",J17="",J19=""),"",(I29+J17)*J19)</f>
        <v>-11663.496233154689</v>
      </c>
      <c r="K22" s="39">
        <f t="shared" ref="K22:P22" si="84">IF(OR(J29="",K17="",K19=""),"",(J29+K17)*K19)</f>
        <v>-4443.0337066292022</v>
      </c>
      <c r="L22" s="39">
        <f t="shared" si="84"/>
        <v>16610.411304880829</v>
      </c>
      <c r="M22" s="39">
        <f t="shared" si="84"/>
        <v>28777.152388590457</v>
      </c>
      <c r="N22" s="116">
        <f t="shared" si="84"/>
        <v>37802.718425202343</v>
      </c>
      <c r="O22" s="129">
        <f t="shared" si="84"/>
        <v>28829.703270352449</v>
      </c>
      <c r="P22" s="115">
        <f t="shared" si="84"/>
        <v>0</v>
      </c>
      <c r="Q22" s="115">
        <f t="shared" si="83"/>
        <v>0</v>
      </c>
      <c r="R22" s="115">
        <f t="shared" si="83"/>
        <v>0</v>
      </c>
      <c r="S22" s="115">
        <f t="shared" si="83"/>
        <v>0</v>
      </c>
      <c r="T22" s="115">
        <f t="shared" si="83"/>
        <v>0</v>
      </c>
      <c r="U22" s="115">
        <f t="shared" si="83"/>
        <v>0</v>
      </c>
      <c r="V22" s="115">
        <f t="shared" si="83"/>
        <v>0</v>
      </c>
      <c r="W22" s="115">
        <f t="shared" si="83"/>
        <v>0</v>
      </c>
      <c r="X22" s="115">
        <f t="shared" si="83"/>
        <v>0</v>
      </c>
      <c r="Y22" s="115">
        <f t="shared" si="83"/>
        <v>0</v>
      </c>
      <c r="Z22" s="116">
        <f t="shared" si="83"/>
        <v>0</v>
      </c>
      <c r="AA22" s="129">
        <f t="shared" si="83"/>
        <v>0</v>
      </c>
      <c r="AB22" s="39" t="str">
        <f t="shared" si="83"/>
        <v/>
      </c>
      <c r="AC22" s="39" t="str">
        <f t="shared" si="83"/>
        <v/>
      </c>
      <c r="AD22" s="39" t="str">
        <f t="shared" si="83"/>
        <v/>
      </c>
      <c r="AE22" s="39" t="str">
        <f t="shared" si="83"/>
        <v/>
      </c>
      <c r="AF22" s="39" t="str">
        <f t="shared" si="83"/>
        <v/>
      </c>
      <c r="AG22" s="39" t="str">
        <f t="shared" si="83"/>
        <v/>
      </c>
      <c r="AH22" s="39" t="str">
        <f t="shared" si="83"/>
        <v/>
      </c>
      <c r="AI22" s="39" t="str">
        <f t="shared" si="83"/>
        <v/>
      </c>
      <c r="AJ22" s="39" t="str">
        <f t="shared" si="83"/>
        <v/>
      </c>
      <c r="AK22" s="39" t="str">
        <f t="shared" si="83"/>
        <v/>
      </c>
      <c r="AL22" s="40" t="str">
        <f t="shared" si="83"/>
        <v/>
      </c>
    </row>
    <row r="23" spans="1:39" s="41" customFormat="1" x14ac:dyDescent="0.25">
      <c r="A23" s="152"/>
      <c r="B23" s="29" t="s">
        <v>30</v>
      </c>
      <c r="C23" s="38">
        <f>IF(OR(C20="",C17=""),"",C20*C17)</f>
        <v>-3189.3412500044997</v>
      </c>
      <c r="D23" s="39">
        <f>IF(OR(C29="",D17="",D20=""),"",(C29+D17)*D20)</f>
        <v>-6751.4788567235391</v>
      </c>
      <c r="E23" s="39">
        <f>IF(OR(D29="",E17="",E20=""),"",(D29+E17)*E20)</f>
        <v>-9989.5808824071282</v>
      </c>
      <c r="F23" s="39">
        <f t="shared" ref="F23:AL23" si="85">IF(OR(E29="",F17="",F20=""),"",(E29+F17)*F20)</f>
        <v>-11909.883628905927</v>
      </c>
      <c r="G23" s="39">
        <f t="shared" si="85"/>
        <v>-8781.7769048302507</v>
      </c>
      <c r="H23" s="39">
        <f t="shared" si="85"/>
        <v>-8570.429312317945</v>
      </c>
      <c r="I23" s="39">
        <f t="shared" si="85"/>
        <v>-6391.9767229726658</v>
      </c>
      <c r="J23" s="39">
        <f>IF(OR(I29="",J17="",J20=""),"",(I29+J17)*J20)</f>
        <v>-6069.5337811134968</v>
      </c>
      <c r="K23" s="39">
        <f t="shared" si="85"/>
        <v>-2264.236655265227</v>
      </c>
      <c r="L23" s="39">
        <f t="shared" si="85"/>
        <v>8207.8596344267062</v>
      </c>
      <c r="M23" s="39">
        <f>IF(OR(L29="",M17="",M20=""),"",(L29+M17)*M20)</f>
        <v>14588.010565985009</v>
      </c>
      <c r="N23" s="116">
        <f t="shared" si="85"/>
        <v>19288.666336903381</v>
      </c>
      <c r="O23" s="129">
        <f t="shared" si="85"/>
        <v>15320.104317865291</v>
      </c>
      <c r="P23" s="115">
        <f>IF(OR(O29="",P17="",P20=""),"",(O29+P17)*P20/12)</f>
        <v>0</v>
      </c>
      <c r="Q23" s="115">
        <f t="shared" ref="Q23:AA23" si="86">IF(OR(P29="",Q17="",Q20=""),"",(P29+Q17)*Q20/12)</f>
        <v>0</v>
      </c>
      <c r="R23" s="115">
        <f t="shared" si="86"/>
        <v>0</v>
      </c>
      <c r="S23" s="115">
        <f t="shared" si="86"/>
        <v>0</v>
      </c>
      <c r="T23" s="115">
        <f t="shared" si="86"/>
        <v>0</v>
      </c>
      <c r="U23" s="115">
        <f t="shared" si="86"/>
        <v>0</v>
      </c>
      <c r="V23" s="115">
        <f t="shared" si="86"/>
        <v>0</v>
      </c>
      <c r="W23" s="115">
        <f t="shared" si="86"/>
        <v>0</v>
      </c>
      <c r="X23" s="115">
        <f t="shared" si="86"/>
        <v>0</v>
      </c>
      <c r="Y23" s="115">
        <f t="shared" si="86"/>
        <v>0</v>
      </c>
      <c r="Z23" s="116">
        <f t="shared" si="86"/>
        <v>0</v>
      </c>
      <c r="AA23" s="129">
        <f t="shared" si="86"/>
        <v>0</v>
      </c>
      <c r="AB23" s="39" t="str">
        <f t="shared" si="85"/>
        <v/>
      </c>
      <c r="AC23" s="39" t="str">
        <f t="shared" si="85"/>
        <v/>
      </c>
      <c r="AD23" s="39" t="str">
        <f t="shared" si="85"/>
        <v/>
      </c>
      <c r="AE23" s="39" t="str">
        <f t="shared" si="85"/>
        <v/>
      </c>
      <c r="AF23" s="39" t="str">
        <f t="shared" si="85"/>
        <v/>
      </c>
      <c r="AG23" s="39" t="str">
        <f t="shared" si="85"/>
        <v/>
      </c>
      <c r="AH23" s="39" t="str">
        <f t="shared" si="85"/>
        <v/>
      </c>
      <c r="AI23" s="39" t="str">
        <f t="shared" si="85"/>
        <v/>
      </c>
      <c r="AJ23" s="39" t="str">
        <f t="shared" si="85"/>
        <v/>
      </c>
      <c r="AK23" s="39" t="str">
        <f t="shared" si="85"/>
        <v/>
      </c>
      <c r="AL23" s="40" t="str">
        <f t="shared" si="85"/>
        <v/>
      </c>
    </row>
    <row r="24" spans="1:39" s="41" customFormat="1" x14ac:dyDescent="0.25">
      <c r="A24" s="152"/>
      <c r="B24" s="140" t="s">
        <v>59</v>
      </c>
      <c r="C24" s="114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6"/>
      <c r="O24" s="129"/>
      <c r="P24" s="115">
        <f>IF(OR(O29="",P17="",P21=""),"",(O29+P17)*P21/12)</f>
        <v>2739.9194373517098</v>
      </c>
      <c r="Q24" s="115">
        <f t="shared" ref="Q24:AL24" si="87">IF(OR(P29="",Q17="",Q21=""),"",(P29+Q17)*Q21/12)</f>
        <v>1732.6052514695564</v>
      </c>
      <c r="R24" s="115">
        <f t="shared" si="87"/>
        <v>1715.0051229005974</v>
      </c>
      <c r="S24" s="115">
        <f t="shared" si="87"/>
        <v>1867.0030566561002</v>
      </c>
      <c r="T24" s="115">
        <f t="shared" si="87"/>
        <v>2110.9585631698324</v>
      </c>
      <c r="U24" s="115">
        <f t="shared" si="87"/>
        <v>2163.7766522918173</v>
      </c>
      <c r="V24" s="115">
        <f t="shared" si="87"/>
        <v>2723.067505386191</v>
      </c>
      <c r="W24" s="115">
        <f t="shared" si="87"/>
        <v>2343.8219005283031</v>
      </c>
      <c r="X24" s="115">
        <f t="shared" si="87"/>
        <v>2630.0195416049078</v>
      </c>
      <c r="Y24" s="115">
        <f t="shared" si="87"/>
        <v>3023.1846740699871</v>
      </c>
      <c r="Z24" s="116">
        <f t="shared" si="87"/>
        <v>3277.5801426380863</v>
      </c>
      <c r="AA24" s="129">
        <f t="shared" si="87"/>
        <v>3052.2539039330145</v>
      </c>
      <c r="AB24" s="115" t="str">
        <f t="shared" si="87"/>
        <v/>
      </c>
      <c r="AC24" s="115" t="str">
        <f t="shared" si="87"/>
        <v/>
      </c>
      <c r="AD24" s="115" t="str">
        <f t="shared" si="87"/>
        <v/>
      </c>
      <c r="AE24" s="115" t="str">
        <f t="shared" si="87"/>
        <v/>
      </c>
      <c r="AF24" s="115" t="str">
        <f t="shared" si="87"/>
        <v/>
      </c>
      <c r="AG24" s="115" t="str">
        <f t="shared" si="87"/>
        <v/>
      </c>
      <c r="AH24" s="115" t="str">
        <f t="shared" si="87"/>
        <v/>
      </c>
      <c r="AI24" s="115" t="str">
        <f t="shared" si="87"/>
        <v/>
      </c>
      <c r="AJ24" s="115" t="str">
        <f t="shared" si="87"/>
        <v/>
      </c>
      <c r="AK24" s="115" t="str">
        <f t="shared" si="87"/>
        <v/>
      </c>
      <c r="AL24" s="116" t="str">
        <f t="shared" si="87"/>
        <v/>
      </c>
      <c r="AM24" s="129"/>
    </row>
    <row r="25" spans="1:39" s="41" customFormat="1" x14ac:dyDescent="0.25">
      <c r="A25" s="152"/>
      <c r="B25" s="65" t="s">
        <v>41</v>
      </c>
      <c r="C25" s="66"/>
      <c r="D25" s="67"/>
      <c r="E25" s="67"/>
      <c r="F25" s="67"/>
      <c r="G25" s="67"/>
      <c r="H25" s="67"/>
      <c r="I25" s="67"/>
      <c r="J25" s="67"/>
      <c r="K25" s="67"/>
      <c r="L25" s="67">
        <f>IF(OR(K29="",L18="",L19=""),"",(K29+L18)*L19)</f>
        <v>13588.591131625304</v>
      </c>
      <c r="M25" s="67">
        <f>IF(OR(L29="",M18="",M19=""),"",(L29+M18)*M19)</f>
        <v>26698.866316834956</v>
      </c>
      <c r="N25" s="126" t="str">
        <f>IF(OR(M29="",N18="",N19=""),"",(M29+N18)*N19)</f>
        <v/>
      </c>
      <c r="O25" s="128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6"/>
      <c r="AA25" s="128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126"/>
    </row>
    <row r="26" spans="1:39" s="41" customFormat="1" x14ac:dyDescent="0.25">
      <c r="A26" s="152"/>
      <c r="B26" s="65" t="s">
        <v>42</v>
      </c>
      <c r="C26" s="66"/>
      <c r="D26" s="67"/>
      <c r="E26" s="67"/>
      <c r="F26" s="67"/>
      <c r="G26" s="67"/>
      <c r="H26" s="67"/>
      <c r="I26" s="67"/>
      <c r="J26" s="67"/>
      <c r="K26" s="67"/>
      <c r="L26" s="67">
        <f>IF(OR(K29="",L18="",L20=""),"",(K29+L18)*L20)</f>
        <v>6714.659052736577</v>
      </c>
      <c r="M26" s="67">
        <f>IF(OR(L29="",M18="",M20=""),"",(L29+M18)*M20)</f>
        <v>13534.46437890886</v>
      </c>
      <c r="N26" s="126" t="str">
        <f>IF(OR(M29="",N18="",N20=""),"",(M29+N18)*N20)</f>
        <v/>
      </c>
      <c r="O26" s="128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6"/>
      <c r="AA26" s="128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126"/>
    </row>
    <row r="27" spans="1:39" s="37" customFormat="1" x14ac:dyDescent="0.25">
      <c r="A27" s="152"/>
      <c r="B27" s="29" t="s">
        <v>36</v>
      </c>
      <c r="C27" s="34">
        <f>IF(OR(C23="",C17="",C22=""),"",C17+C22+C23)</f>
        <v>-1426734.0896270131</v>
      </c>
      <c r="D27" s="35">
        <f>IF(OR(D23="",D17="",D22=""),"",D17+D22+D23)</f>
        <v>-1604725.6061639204</v>
      </c>
      <c r="E27" s="35">
        <f>IF(OR(E23="",E17="",E22=""),"",E17+E22+E23)</f>
        <v>-1420656.0852638574</v>
      </c>
      <c r="F27" s="35">
        <f>IF(OR(F23="",F17="",F22=""),"",F17+F22+F23)-0.01</f>
        <v>-855964.572307094</v>
      </c>
      <c r="G27" s="35">
        <f>IF(OR(G23="",G17="",G22=""),"",G17+G22+G23)</f>
        <v>1451161.4677849784</v>
      </c>
      <c r="H27" s="35">
        <f>IF(OR(H23="",H17="",H22=""),"",H17+H22+H23)</f>
        <v>92791.806700797839</v>
      </c>
      <c r="I27" s="35">
        <f>IF(OR(I23="",I17="",I22=""),"",I17+I22+I23)</f>
        <v>915306.12851097563</v>
      </c>
      <c r="J27" s="35">
        <f>IF(OR(J23="",J17="",J22=""),"",J17+J22+J23)</f>
        <v>113382.17103773303</v>
      </c>
      <c r="K27" s="35">
        <f>IF(OR(K23="",K17="",K22=""),"",K17+K22+K23)</f>
        <v>1703415.2495001054</v>
      </c>
      <c r="L27" s="35">
        <f t="shared" ref="L27" si="88">IF(OR(L23="",L17="",L22=""),"",L17+L22+L23)</f>
        <v>4949903.9088932741</v>
      </c>
      <c r="M27" s="35">
        <f>IF(OR(M23="",M17="",M22=""),"",M17+M22+M23)</f>
        <v>2963625.4212888144</v>
      </c>
      <c r="N27" s="113">
        <f>IF(OR(N23="",N17="",N22=""),"",N17+N22+N23)</f>
        <v>2471328.3973727957</v>
      </c>
      <c r="O27" s="127">
        <f>IF(OR(O23="",O17="",O22=""),"",O17+O22+O23)</f>
        <v>-952248.65960243018</v>
      </c>
      <c r="P27" s="112">
        <f>IF(OR(P23="",P17="",P22=""),"",P17+P22+P23+P24)</f>
        <v>-1280817.4445101917</v>
      </c>
      <c r="Q27" s="112">
        <f t="shared" ref="Q27:AL27" si="89">IF(OR(Q23="",Q17="",Q22=""),"",Q17+Q22+Q23+Q24)</f>
        <v>-1064296.7477690279</v>
      </c>
      <c r="R27" s="112">
        <f t="shared" si="89"/>
        <v>317286.60480971134</v>
      </c>
      <c r="S27" s="112">
        <f t="shared" si="89"/>
        <v>1122975.1169480933</v>
      </c>
      <c r="T27" s="112">
        <f t="shared" si="89"/>
        <v>759455.99831735564</v>
      </c>
      <c r="U27" s="112">
        <f t="shared" si="89"/>
        <v>445953.16791753791</v>
      </c>
      <c r="V27" s="112">
        <f t="shared" si="89"/>
        <v>1776898.3022375018</v>
      </c>
      <c r="W27" s="112">
        <f t="shared" si="89"/>
        <v>158502.88366155644</v>
      </c>
      <c r="X27" s="112">
        <f t="shared" si="89"/>
        <v>957394.83569001174</v>
      </c>
      <c r="Y27" s="112">
        <f t="shared" si="89"/>
        <v>1733193.3082160957</v>
      </c>
      <c r="Z27" s="113">
        <f t="shared" si="89"/>
        <v>1121453.7794800266</v>
      </c>
      <c r="AA27" s="127">
        <f t="shared" si="89"/>
        <v>-993307.63804143004</v>
      </c>
      <c r="AB27" s="112" t="str">
        <f t="shared" si="89"/>
        <v/>
      </c>
      <c r="AC27" s="112" t="str">
        <f t="shared" si="89"/>
        <v/>
      </c>
      <c r="AD27" s="112" t="str">
        <f t="shared" si="89"/>
        <v/>
      </c>
      <c r="AE27" s="112" t="str">
        <f t="shared" si="89"/>
        <v/>
      </c>
      <c r="AF27" s="112" t="str">
        <f t="shared" si="89"/>
        <v/>
      </c>
      <c r="AG27" s="112" t="str">
        <f t="shared" si="89"/>
        <v/>
      </c>
      <c r="AH27" s="112" t="str">
        <f t="shared" si="89"/>
        <v/>
      </c>
      <c r="AI27" s="112" t="str">
        <f t="shared" si="89"/>
        <v/>
      </c>
      <c r="AJ27" s="112" t="str">
        <f t="shared" si="89"/>
        <v/>
      </c>
      <c r="AK27" s="112" t="str">
        <f t="shared" si="89"/>
        <v/>
      </c>
      <c r="AL27" s="113" t="str">
        <f t="shared" si="89"/>
        <v/>
      </c>
      <c r="AM27" s="32"/>
    </row>
    <row r="28" spans="1:39" s="37" customFormat="1" x14ac:dyDescent="0.25">
      <c r="A28" s="152"/>
      <c r="B28" s="65" t="s">
        <v>43</v>
      </c>
      <c r="C28" s="66"/>
      <c r="D28" s="67"/>
      <c r="E28" s="67"/>
      <c r="F28" s="67"/>
      <c r="G28" s="67"/>
      <c r="H28" s="67"/>
      <c r="I28" s="67"/>
      <c r="J28" s="67"/>
      <c r="K28" s="67"/>
      <c r="L28" s="67">
        <f>+L18+L25+L26</f>
        <v>4237150.3383429321</v>
      </c>
      <c r="M28" s="67">
        <f>+M18+M25+M26</f>
        <v>2466643.0421965588</v>
      </c>
      <c r="N28" s="126"/>
      <c r="O28" s="128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6"/>
      <c r="AA28" s="128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126"/>
      <c r="AM28" s="32"/>
    </row>
    <row r="29" spans="1:39" s="37" customFormat="1" x14ac:dyDescent="0.25">
      <c r="A29" s="152"/>
      <c r="B29" s="29" t="s">
        <v>37</v>
      </c>
      <c r="C29" s="34">
        <f>C27</f>
        <v>-1426734.0896270131</v>
      </c>
      <c r="D29" s="35">
        <f>IF(OR(D27="",C29=""),"",D27+C29)</f>
        <v>-3031459.6957909334</v>
      </c>
      <c r="E29" s="35">
        <f>IF(OR(E27="",D29=""),"",E27+D29)</f>
        <v>-4452115.7810547911</v>
      </c>
      <c r="F29" s="35">
        <f>IF(OR(F27="",E29=""),"",F27+E29)</f>
        <v>-5308080.3533618851</v>
      </c>
      <c r="G29" s="35">
        <f>IF(OR(G27="",F29=""),"",G27+F29)</f>
        <v>-3856918.8855769066</v>
      </c>
      <c r="H29" s="35">
        <f>IF(OR(H27="",G29=""),"",H27+G29)</f>
        <v>-3764127.0788761089</v>
      </c>
      <c r="I29" s="35">
        <f t="shared" ref="I29:AL29" si="90">IF(OR(I27="",H29=""),"",I27+H29)</f>
        <v>-2848820.9503651331</v>
      </c>
      <c r="J29" s="35">
        <f>IF(OR(J27="",I29=""),"",J27+I29)</f>
        <v>-2735438.7793274</v>
      </c>
      <c r="K29" s="35">
        <f t="shared" si="90"/>
        <v>-1032023.5298272946</v>
      </c>
      <c r="L29" s="35">
        <f>IF(OR(L27="",K29=""),"",L27+K29)</f>
        <v>3917880.3790659793</v>
      </c>
      <c r="M29" s="35">
        <f>IF(OR(M27="",L29=""),"",M27+L29)</f>
        <v>6881505.8003547937</v>
      </c>
      <c r="N29" s="113">
        <f>IF(OR(N27="",M29=""),"",N27+M29)</f>
        <v>9352834.1977275889</v>
      </c>
      <c r="O29" s="127">
        <f t="shared" si="90"/>
        <v>8400585.5381251592</v>
      </c>
      <c r="P29" s="112">
        <f t="shared" si="90"/>
        <v>7119768.0936149675</v>
      </c>
      <c r="Q29" s="112">
        <f t="shared" si="90"/>
        <v>6055471.3458459396</v>
      </c>
      <c r="R29" s="112">
        <f t="shared" si="90"/>
        <v>6372757.9506556513</v>
      </c>
      <c r="S29" s="112">
        <f t="shared" si="90"/>
        <v>7495733.0676037446</v>
      </c>
      <c r="T29" s="112">
        <f t="shared" si="90"/>
        <v>8255189.0659210999</v>
      </c>
      <c r="U29" s="112">
        <f t="shared" si="90"/>
        <v>8701142.2338386383</v>
      </c>
      <c r="V29" s="112">
        <f t="shared" si="90"/>
        <v>10478040.53607614</v>
      </c>
      <c r="W29" s="112">
        <f t="shared" si="90"/>
        <v>10636543.419737697</v>
      </c>
      <c r="X29" s="112">
        <f t="shared" si="90"/>
        <v>11593938.255427709</v>
      </c>
      <c r="Y29" s="112">
        <f t="shared" si="90"/>
        <v>13327131.563643804</v>
      </c>
      <c r="Z29" s="113">
        <f t="shared" si="90"/>
        <v>14448585.343123831</v>
      </c>
      <c r="AA29" s="127">
        <f t="shared" si="90"/>
        <v>13455277.705082402</v>
      </c>
      <c r="AB29" s="35" t="str">
        <f t="shared" si="90"/>
        <v/>
      </c>
      <c r="AC29" s="35" t="str">
        <f t="shared" si="90"/>
        <v/>
      </c>
      <c r="AD29" s="35" t="str">
        <f t="shared" si="90"/>
        <v/>
      </c>
      <c r="AE29" s="35" t="str">
        <f t="shared" si="90"/>
        <v/>
      </c>
      <c r="AF29" s="35" t="str">
        <f t="shared" si="90"/>
        <v/>
      </c>
      <c r="AG29" s="35" t="str">
        <f t="shared" si="90"/>
        <v/>
      </c>
      <c r="AH29" s="35" t="str">
        <f t="shared" si="90"/>
        <v/>
      </c>
      <c r="AI29" s="35" t="str">
        <f t="shared" si="90"/>
        <v/>
      </c>
      <c r="AJ29" s="35" t="str">
        <f t="shared" si="90"/>
        <v/>
      </c>
      <c r="AK29" s="35" t="str">
        <f t="shared" si="90"/>
        <v/>
      </c>
      <c r="AL29" s="113" t="str">
        <f t="shared" si="90"/>
        <v/>
      </c>
      <c r="AM29" s="32"/>
    </row>
    <row r="30" spans="1:39" s="37" customFormat="1" x14ac:dyDescent="0.25">
      <c r="A30" s="152"/>
      <c r="B30" s="65" t="s">
        <v>44</v>
      </c>
      <c r="C30" s="66"/>
      <c r="D30" s="67"/>
      <c r="E30" s="67"/>
      <c r="F30" s="67"/>
      <c r="G30" s="67"/>
      <c r="H30" s="67"/>
      <c r="I30" s="67"/>
      <c r="J30" s="67"/>
      <c r="K30" s="67"/>
      <c r="L30" s="67">
        <f>K29+L28</f>
        <v>3205126.8085156372</v>
      </c>
      <c r="M30" s="67">
        <f>L30+M28</f>
        <v>5671769.850712196</v>
      </c>
      <c r="N30" s="126"/>
      <c r="O30" s="128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6"/>
      <c r="AA30" s="128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126"/>
      <c r="AM30" s="32"/>
    </row>
    <row r="31" spans="1:39" s="22" customFormat="1" x14ac:dyDescent="0.25">
      <c r="A31" s="143" t="s">
        <v>33</v>
      </c>
      <c r="B31" s="18" t="s">
        <v>23</v>
      </c>
      <c r="C31" s="50">
        <v>1785114.49</v>
      </c>
      <c r="D31" s="19">
        <v>4324147.8499999996</v>
      </c>
      <c r="E31" s="19">
        <v>4264002.05</v>
      </c>
      <c r="F31" s="19">
        <v>3859331.62</v>
      </c>
      <c r="G31" s="19">
        <v>3378495.95</v>
      </c>
      <c r="H31" s="19">
        <v>3824206.53</v>
      </c>
      <c r="I31" s="19">
        <v>4621322.93</v>
      </c>
      <c r="J31" s="102">
        <v>4401496.92</v>
      </c>
      <c r="K31" s="88">
        <v>4645193.95</v>
      </c>
      <c r="L31" s="19">
        <v>3726839.08</v>
      </c>
      <c r="M31" s="19">
        <v>3470055.65</v>
      </c>
      <c r="N31" s="20">
        <v>4458071.32</v>
      </c>
      <c r="O31" s="153">
        <v>5175440.9800000004</v>
      </c>
      <c r="P31" s="102">
        <v>3618059.2</v>
      </c>
      <c r="Q31" s="102">
        <v>3110977.09</v>
      </c>
      <c r="R31" s="102">
        <v>2497915.75</v>
      </c>
      <c r="S31" s="102">
        <v>2299873.19</v>
      </c>
      <c r="T31" s="102">
        <v>2780404.4</v>
      </c>
      <c r="U31" s="102">
        <v>3189844.04</v>
      </c>
      <c r="V31" s="102">
        <v>3010211.02</v>
      </c>
      <c r="W31" s="102">
        <v>3188699.34</v>
      </c>
      <c r="X31" s="102">
        <v>2357159.1</v>
      </c>
      <c r="Y31" s="76">
        <v>2356690.7799999998</v>
      </c>
      <c r="Z31" s="77">
        <v>2968877.51</v>
      </c>
      <c r="AA31" s="130">
        <v>3755841.87</v>
      </c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20"/>
      <c r="AM31" s="21"/>
    </row>
    <row r="32" spans="1:39" s="22" customFormat="1" x14ac:dyDescent="0.25">
      <c r="A32" s="143"/>
      <c r="B32" s="18" t="s">
        <v>26</v>
      </c>
      <c r="C32" s="23">
        <f t="shared" ref="C32:AL32" si="91">IF(OR(C9="",C31=""),"",C9-C31)</f>
        <v>410725.86999999988</v>
      </c>
      <c r="D32" s="24">
        <f t="shared" si="91"/>
        <v>-3133981.4799999995</v>
      </c>
      <c r="E32" s="24">
        <f t="shared" si="91"/>
        <v>-2533434.84</v>
      </c>
      <c r="F32" s="24">
        <f t="shared" si="91"/>
        <v>-1416055.6</v>
      </c>
      <c r="G32" s="24">
        <f t="shared" si="91"/>
        <v>-192465.44000000041</v>
      </c>
      <c r="H32" s="24">
        <f t="shared" si="91"/>
        <v>-1386691.9099999997</v>
      </c>
      <c r="I32" s="24">
        <f t="shared" si="91"/>
        <v>-1485751.5499999998</v>
      </c>
      <c r="J32" s="24">
        <f>IF(OR(J9="",J31=""),"",J9-J31)</f>
        <v>-994049.58000000007</v>
      </c>
      <c r="K32" s="24">
        <f t="shared" si="91"/>
        <v>-1178614.7200000002</v>
      </c>
      <c r="L32" s="24">
        <f t="shared" si="91"/>
        <v>-435548.70999999996</v>
      </c>
      <c r="M32" s="24">
        <f>IF(OR(M9="",M31=""),"",M9-M31)</f>
        <v>-477610.94999999972</v>
      </c>
      <c r="N32" s="105">
        <f>IF(OR(N9="",N31=""),"",N9-N31)</f>
        <v>497602.47999999952</v>
      </c>
      <c r="O32" s="131">
        <f>IF(OR(O9="",O31=""),"",O9-O31)</f>
        <v>-2195820.3400000003</v>
      </c>
      <c r="P32" s="104">
        <f t="shared" si="91"/>
        <v>-1731570.5200000003</v>
      </c>
      <c r="Q32" s="104">
        <f>IF(OR(Q9="",Q31=""),"",Q9-Q31)</f>
        <v>703705.19</v>
      </c>
      <c r="R32" s="104">
        <f t="shared" si="91"/>
        <v>982329.23</v>
      </c>
      <c r="S32" s="104">
        <f>IF(OR(S9="",S31=""),"",S9-S31)</f>
        <v>1691482.88</v>
      </c>
      <c r="T32" s="104">
        <f t="shared" si="91"/>
        <v>1448343.5699999998</v>
      </c>
      <c r="U32" s="104">
        <f t="shared" si="91"/>
        <v>951705.25000000047</v>
      </c>
      <c r="V32" s="104">
        <f>IF(OR(V9="",V31=""),"",V9-V31)</f>
        <v>44750.799999999814</v>
      </c>
      <c r="W32" s="104">
        <f t="shared" si="91"/>
        <v>862376.98</v>
      </c>
      <c r="X32" s="104">
        <f t="shared" si="91"/>
        <v>1126445.6300000004</v>
      </c>
      <c r="Y32" s="104">
        <f t="shared" si="91"/>
        <v>1584640.2200000002</v>
      </c>
      <c r="Z32" s="105">
        <f t="shared" si="91"/>
        <v>1702782.4900000002</v>
      </c>
      <c r="AA32" s="131">
        <f t="shared" si="91"/>
        <v>-422270.87000000011</v>
      </c>
      <c r="AB32" s="24" t="str">
        <f t="shared" si="91"/>
        <v/>
      </c>
      <c r="AC32" s="24" t="str">
        <f t="shared" si="91"/>
        <v/>
      </c>
      <c r="AD32" s="24" t="str">
        <f t="shared" si="91"/>
        <v/>
      </c>
      <c r="AE32" s="24" t="str">
        <f t="shared" si="91"/>
        <v/>
      </c>
      <c r="AF32" s="24" t="str">
        <f t="shared" si="91"/>
        <v/>
      </c>
      <c r="AG32" s="24" t="str">
        <f t="shared" si="91"/>
        <v/>
      </c>
      <c r="AH32" s="24" t="str">
        <f t="shared" si="91"/>
        <v/>
      </c>
      <c r="AI32" s="24" t="str">
        <f t="shared" si="91"/>
        <v/>
      </c>
      <c r="AJ32" s="24" t="str">
        <f t="shared" si="91"/>
        <v/>
      </c>
      <c r="AK32" s="24" t="str">
        <f t="shared" si="91"/>
        <v/>
      </c>
      <c r="AL32" s="105" t="str">
        <f t="shared" si="91"/>
        <v/>
      </c>
      <c r="AM32" s="21"/>
    </row>
    <row r="33" spans="1:39" s="22" customFormat="1" x14ac:dyDescent="0.25">
      <c r="A33" s="143"/>
      <c r="B33" s="18" t="s">
        <v>27</v>
      </c>
      <c r="C33" s="53">
        <v>8.0328900000000009E-3</v>
      </c>
      <c r="D33" s="54">
        <v>0</v>
      </c>
      <c r="E33" s="55">
        <v>8.9999999999999998E-4</v>
      </c>
      <c r="F33" s="55">
        <v>9.8042000000000008E-4</v>
      </c>
      <c r="G33" s="55">
        <v>8.9999999999999998E-4</v>
      </c>
      <c r="H33" s="55">
        <v>5.06939E-3</v>
      </c>
      <c r="I33" s="55">
        <v>6.9999999999999999E-4</v>
      </c>
      <c r="J33" s="91">
        <v>5.0000000000000001E-3</v>
      </c>
      <c r="K33" s="89">
        <v>5.0000000000000001E-3</v>
      </c>
      <c r="L33" s="55">
        <v>3.53499E-3</v>
      </c>
      <c r="M33" s="55">
        <v>3.07793E-3</v>
      </c>
      <c r="N33" s="118">
        <v>4.3629999999999997E-3</v>
      </c>
      <c r="O33" s="132">
        <v>5.6504299999999997E-3</v>
      </c>
      <c r="P33" s="117">
        <v>4.6197699999999996E-3</v>
      </c>
      <c r="Q33" s="117">
        <v>3.4344499999999999E-3</v>
      </c>
      <c r="R33" s="117">
        <v>3.23025E-3</v>
      </c>
      <c r="S33" s="117">
        <v>2.9896499999999999E-3</v>
      </c>
      <c r="T33" s="117">
        <v>3.0693399999999998E-3</v>
      </c>
      <c r="U33" s="117">
        <v>2.9848700000000001E-3</v>
      </c>
      <c r="V33" s="117">
        <v>3.11941E-3</v>
      </c>
      <c r="W33" s="117">
        <v>2.6448499999999998E-3</v>
      </c>
      <c r="X33" s="117">
        <v>2.7227499999999999E-3</v>
      </c>
      <c r="Y33" s="117">
        <f>X33</f>
        <v>2.7227499999999999E-3</v>
      </c>
      <c r="Z33" s="118">
        <f t="shared" ref="Z33:AA33" si="92">Y33</f>
        <v>2.7227499999999999E-3</v>
      </c>
      <c r="AA33" s="132">
        <f t="shared" si="92"/>
        <v>2.7227499999999999E-3</v>
      </c>
      <c r="AB33" s="55" t="str">
        <f t="shared" ref="AB33:AL33" si="93">IF(AB20="","",AB20)</f>
        <v/>
      </c>
      <c r="AC33" s="55" t="str">
        <f t="shared" si="93"/>
        <v/>
      </c>
      <c r="AD33" s="55" t="str">
        <f t="shared" si="93"/>
        <v/>
      </c>
      <c r="AE33" s="55" t="str">
        <f t="shared" si="93"/>
        <v/>
      </c>
      <c r="AF33" s="55" t="str">
        <f t="shared" si="93"/>
        <v/>
      </c>
      <c r="AG33" s="55" t="str">
        <f t="shared" si="93"/>
        <v/>
      </c>
      <c r="AH33" s="55" t="str">
        <f t="shared" si="93"/>
        <v/>
      </c>
      <c r="AI33" s="55" t="str">
        <f t="shared" si="93"/>
        <v/>
      </c>
      <c r="AJ33" s="55" t="str">
        <f t="shared" si="93"/>
        <v/>
      </c>
      <c r="AK33" s="55" t="str">
        <f t="shared" si="93"/>
        <v/>
      </c>
      <c r="AL33" s="118" t="str">
        <f t="shared" si="93"/>
        <v/>
      </c>
      <c r="AM33" s="21"/>
    </row>
    <row r="34" spans="1:39" s="22" customFormat="1" x14ac:dyDescent="0.25">
      <c r="A34" s="143"/>
      <c r="B34" s="18" t="s">
        <v>28</v>
      </c>
      <c r="C34" s="23">
        <f>IF(OR(C33="",C32=""),"",(C33*C32)/12)</f>
        <v>274.94297782202494</v>
      </c>
      <c r="D34" s="24">
        <f>IF(OR(D33="",D32="",C36=""),"",((C36+D32)*D33)/12)</f>
        <v>0</v>
      </c>
      <c r="E34" s="24">
        <f>IF(OR(E33="",E32="",D36=""),"",((D36+E32)*E33)/12)</f>
        <v>-394.23116302666335</v>
      </c>
      <c r="F34" s="24">
        <f t="shared" ref="F34:H34" si="94">IF(OR(F33="",F32="",E36=""),"",((E36+F32)*F33)/12)</f>
        <v>-545.18421957196153</v>
      </c>
      <c r="G34" s="24">
        <f t="shared" si="94"/>
        <v>-514.94069718035826</v>
      </c>
      <c r="H34" s="24">
        <f t="shared" si="94"/>
        <v>-3486.5079568259102</v>
      </c>
      <c r="I34" s="24">
        <f t="shared" ref="I34:AL34" si="95">IF(OR(I33="",I32="",H36=""),"",((H36+I32)*I33)/12)</f>
        <v>-568.30205081176234</v>
      </c>
      <c r="J34" s="24">
        <f>IF(OR(J33="",J32="",I36=""),"",((I36+J32)*J33)/12)</f>
        <v>-4473.7244804623315</v>
      </c>
      <c r="K34" s="24">
        <f t="shared" si="95"/>
        <v>-4966.6779989958577</v>
      </c>
      <c r="L34" s="24">
        <f>IF(OR(L33="",L32="",K36=""),"",((K36+L32)*L33)/12)</f>
        <v>-3641.1995362192879</v>
      </c>
      <c r="M34" s="24">
        <f>IF(OR(M33="",M32="",L36=""),"",((L36+M32)*M33)/12)</f>
        <v>-3293.8454390903444</v>
      </c>
      <c r="N34" s="105">
        <f t="shared" si="95"/>
        <v>-4489.3401547301937</v>
      </c>
      <c r="O34" s="131">
        <f t="shared" si="95"/>
        <v>-6850.1084761040502</v>
      </c>
      <c r="P34" s="104">
        <f t="shared" si="95"/>
        <v>-6269.8811650589751</v>
      </c>
      <c r="Q34" s="104">
        <f t="shared" si="95"/>
        <v>-4461.574104177691</v>
      </c>
      <c r="R34" s="104">
        <f t="shared" si="95"/>
        <v>-3933.07526283177</v>
      </c>
      <c r="S34" s="104">
        <f t="shared" si="95"/>
        <v>-3219.6945087925524</v>
      </c>
      <c r="T34" s="104">
        <f t="shared" si="95"/>
        <v>-2935.8850364966916</v>
      </c>
      <c r="U34" s="104">
        <f t="shared" si="95"/>
        <v>-2619.0916925563893</v>
      </c>
      <c r="V34" s="104">
        <f t="shared" si="95"/>
        <v>-2726.19243216529</v>
      </c>
      <c r="W34" s="104">
        <f t="shared" si="95"/>
        <v>-2121.9825292750238</v>
      </c>
      <c r="X34" s="104">
        <f t="shared" si="95"/>
        <v>-1929.3779189853349</v>
      </c>
      <c r="Y34" s="104">
        <f t="shared" si="95"/>
        <v>-1570.2674235456614</v>
      </c>
      <c r="Z34" s="105">
        <f t="shared" si="95"/>
        <v>-1184.2694586273246</v>
      </c>
      <c r="AA34" s="131">
        <f t="shared" si="95"/>
        <v>-1280.3496653740729</v>
      </c>
      <c r="AB34" s="24" t="str">
        <f t="shared" si="95"/>
        <v/>
      </c>
      <c r="AC34" s="24" t="str">
        <f t="shared" si="95"/>
        <v/>
      </c>
      <c r="AD34" s="24" t="str">
        <f t="shared" si="95"/>
        <v/>
      </c>
      <c r="AE34" s="24" t="str">
        <f t="shared" si="95"/>
        <v/>
      </c>
      <c r="AF34" s="24" t="str">
        <f t="shared" si="95"/>
        <v/>
      </c>
      <c r="AG34" s="24" t="str">
        <f t="shared" si="95"/>
        <v/>
      </c>
      <c r="AH34" s="24" t="str">
        <f t="shared" si="95"/>
        <v/>
      </c>
      <c r="AI34" s="24" t="str">
        <f t="shared" si="95"/>
        <v/>
      </c>
      <c r="AJ34" s="24" t="str">
        <f t="shared" si="95"/>
        <v/>
      </c>
      <c r="AK34" s="24" t="str">
        <f t="shared" si="95"/>
        <v/>
      </c>
      <c r="AL34" s="105" t="str">
        <f t="shared" si="95"/>
        <v/>
      </c>
      <c r="AM34" s="21"/>
    </row>
    <row r="35" spans="1:39" s="22" customFormat="1" x14ac:dyDescent="0.25">
      <c r="A35" s="143"/>
      <c r="B35" s="18" t="s">
        <v>34</v>
      </c>
      <c r="C35" s="23">
        <f>IF(OR(C34="",C32=""),"",C32+C34)</f>
        <v>411000.81297782192</v>
      </c>
      <c r="D35" s="24">
        <f>IF(OR(D34="",D32=""),"",D32+D34)</f>
        <v>-3133981.4799999995</v>
      </c>
      <c r="E35" s="24">
        <f t="shared" ref="E35:AL35" si="96">IF(OR(E34="",E32=""),"",E32+E34)</f>
        <v>-2533829.0711630266</v>
      </c>
      <c r="F35" s="24">
        <f t="shared" si="96"/>
        <v>-1416600.7842195721</v>
      </c>
      <c r="G35" s="24">
        <f t="shared" si="96"/>
        <v>-192980.38069718078</v>
      </c>
      <c r="H35" s="24">
        <f>IF(OR(H34="",H32=""),"",H32+H34)</f>
        <v>-1390178.4179568256</v>
      </c>
      <c r="I35" s="24">
        <f t="shared" si="96"/>
        <v>-1486319.8520508115</v>
      </c>
      <c r="J35" s="24">
        <f>IF(OR(J34="",J32=""),"",J32+J34)</f>
        <v>-998523.30448046245</v>
      </c>
      <c r="K35" s="24">
        <f t="shared" si="96"/>
        <v>-1183581.3979989961</v>
      </c>
      <c r="L35" s="24">
        <f t="shared" si="96"/>
        <v>-439189.90953621926</v>
      </c>
      <c r="M35" s="24">
        <f>IF(OR(M34="",M32=""),"",M32+M34)</f>
        <v>-480904.79543909006</v>
      </c>
      <c r="N35" s="25">
        <f>IF(OR(N34="",N32=""),"",N32+N34)</f>
        <v>493113.13984526932</v>
      </c>
      <c r="O35" s="103">
        <f t="shared" si="96"/>
        <v>-2202670.4484761045</v>
      </c>
      <c r="P35" s="104">
        <f t="shared" si="96"/>
        <v>-1737840.4011650593</v>
      </c>
      <c r="Q35" s="104">
        <f t="shared" si="96"/>
        <v>699243.61589582229</v>
      </c>
      <c r="R35" s="104">
        <f t="shared" si="96"/>
        <v>978396.15473716822</v>
      </c>
      <c r="S35" s="104">
        <f>IF(OR(S34="",S32=""),"",S32+S34)</f>
        <v>1688263.1854912073</v>
      </c>
      <c r="T35" s="104">
        <f t="shared" si="96"/>
        <v>1445407.6849635032</v>
      </c>
      <c r="U35" s="104">
        <f t="shared" si="96"/>
        <v>949086.15830744407</v>
      </c>
      <c r="V35" s="104">
        <f t="shared" si="96"/>
        <v>42024.607567834522</v>
      </c>
      <c r="W35" s="104">
        <f t="shared" si="96"/>
        <v>860254.99747072498</v>
      </c>
      <c r="X35" s="104">
        <f t="shared" si="96"/>
        <v>1124516.2520810149</v>
      </c>
      <c r="Y35" s="104">
        <f t="shared" si="96"/>
        <v>1583069.9525764545</v>
      </c>
      <c r="Z35" s="105">
        <f t="shared" si="96"/>
        <v>1701598.2205413729</v>
      </c>
      <c r="AA35" s="131">
        <f t="shared" si="96"/>
        <v>-423551.2196653742</v>
      </c>
      <c r="AB35" s="24" t="str">
        <f t="shared" si="96"/>
        <v/>
      </c>
      <c r="AC35" s="24" t="str">
        <f t="shared" si="96"/>
        <v/>
      </c>
      <c r="AD35" s="24" t="str">
        <f t="shared" si="96"/>
        <v/>
      </c>
      <c r="AE35" s="24" t="str">
        <f t="shared" si="96"/>
        <v/>
      </c>
      <c r="AF35" s="24" t="str">
        <f t="shared" si="96"/>
        <v/>
      </c>
      <c r="AG35" s="24" t="str">
        <f t="shared" si="96"/>
        <v/>
      </c>
      <c r="AH35" s="24" t="str">
        <f t="shared" si="96"/>
        <v/>
      </c>
      <c r="AI35" s="24" t="str">
        <f t="shared" si="96"/>
        <v/>
      </c>
      <c r="AJ35" s="24" t="str">
        <f t="shared" si="96"/>
        <v/>
      </c>
      <c r="AK35" s="24" t="str">
        <f t="shared" si="96"/>
        <v/>
      </c>
      <c r="AL35" s="25" t="str">
        <f t="shared" si="96"/>
        <v/>
      </c>
      <c r="AM35" s="21"/>
    </row>
    <row r="36" spans="1:39" s="22" customFormat="1" ht="15.75" thickBot="1" x14ac:dyDescent="0.3">
      <c r="A36" s="143"/>
      <c r="B36" s="18" t="s">
        <v>35</v>
      </c>
      <c r="C36" s="26">
        <f>C35</f>
        <v>411000.81297782192</v>
      </c>
      <c r="D36" s="27">
        <f>IF(OR(D35="",C36=""),"",D35+C36)</f>
        <v>-2722980.6670221775</v>
      </c>
      <c r="E36" s="27">
        <f t="shared" ref="E36:AL36" si="97">IF(OR(E35="",D36=""),"",E35+D36)</f>
        <v>-5256809.7381852046</v>
      </c>
      <c r="F36" s="27">
        <f t="shared" si="97"/>
        <v>-6673410.5224047769</v>
      </c>
      <c r="G36" s="27">
        <f t="shared" si="97"/>
        <v>-6866390.9031019574</v>
      </c>
      <c r="H36" s="27">
        <f t="shared" si="97"/>
        <v>-8256569.3210587827</v>
      </c>
      <c r="I36" s="27">
        <f t="shared" si="97"/>
        <v>-9742889.1731095947</v>
      </c>
      <c r="J36" s="27">
        <f>IF(OR(J35="",I36=""),"",J35+I36)</f>
        <v>-10741412.477590058</v>
      </c>
      <c r="K36" s="27">
        <f t="shared" si="97"/>
        <v>-11924993.875589054</v>
      </c>
      <c r="L36" s="27">
        <f t="shared" si="97"/>
        <v>-12364183.785125274</v>
      </c>
      <c r="M36" s="27">
        <f>IF(OR(M35="",L36=""),"",M35+L36)</f>
        <v>-12845088.580564365</v>
      </c>
      <c r="N36" s="28">
        <f t="shared" si="97"/>
        <v>-12351975.440719096</v>
      </c>
      <c r="O36" s="106">
        <f t="shared" si="97"/>
        <v>-14554645.8891952</v>
      </c>
      <c r="P36" s="107">
        <f t="shared" si="97"/>
        <v>-16292486.290360259</v>
      </c>
      <c r="Q36" s="107">
        <f t="shared" si="97"/>
        <v>-15593242.674464436</v>
      </c>
      <c r="R36" s="107">
        <f t="shared" si="97"/>
        <v>-14614846.519727267</v>
      </c>
      <c r="S36" s="107">
        <f t="shared" si="97"/>
        <v>-12926583.334236059</v>
      </c>
      <c r="T36" s="107">
        <f t="shared" si="97"/>
        <v>-11481175.649272555</v>
      </c>
      <c r="U36" s="107">
        <f t="shared" si="97"/>
        <v>-10532089.490965111</v>
      </c>
      <c r="V36" s="107">
        <f t="shared" si="97"/>
        <v>-10490064.883397277</v>
      </c>
      <c r="W36" s="107">
        <f t="shared" si="97"/>
        <v>-9629809.8859265521</v>
      </c>
      <c r="X36" s="107">
        <f t="shared" si="97"/>
        <v>-8505293.6338455379</v>
      </c>
      <c r="Y36" s="107">
        <f t="shared" si="97"/>
        <v>-6922223.6812690832</v>
      </c>
      <c r="Z36" s="108">
        <f t="shared" si="97"/>
        <v>-5220625.4607277103</v>
      </c>
      <c r="AA36" s="133">
        <f t="shared" si="97"/>
        <v>-5644176.6803930849</v>
      </c>
      <c r="AB36" s="27" t="str">
        <f t="shared" si="97"/>
        <v/>
      </c>
      <c r="AC36" s="27" t="str">
        <f t="shared" si="97"/>
        <v/>
      </c>
      <c r="AD36" s="27" t="str">
        <f t="shared" si="97"/>
        <v/>
      </c>
      <c r="AE36" s="27" t="str">
        <f t="shared" si="97"/>
        <v/>
      </c>
      <c r="AF36" s="27" t="str">
        <f t="shared" si="97"/>
        <v/>
      </c>
      <c r="AG36" s="27" t="str">
        <f t="shared" si="97"/>
        <v/>
      </c>
      <c r="AH36" s="27" t="str">
        <f t="shared" si="97"/>
        <v/>
      </c>
      <c r="AI36" s="27" t="str">
        <f t="shared" si="97"/>
        <v/>
      </c>
      <c r="AJ36" s="27" t="str">
        <f t="shared" si="97"/>
        <v/>
      </c>
      <c r="AK36" s="27" t="str">
        <f t="shared" si="97"/>
        <v/>
      </c>
      <c r="AL36" s="28" t="str">
        <f t="shared" si="97"/>
        <v/>
      </c>
      <c r="AM36" s="21"/>
    </row>
    <row r="37" spans="1:39" ht="15.75" thickTop="1" x14ac:dyDescent="0.25">
      <c r="A37" s="142"/>
      <c r="B37" s="58" t="s">
        <v>45</v>
      </c>
      <c r="K37" s="60"/>
      <c r="L37" s="55">
        <v>5.5899999999999998E-2</v>
      </c>
      <c r="M37" s="55">
        <v>5.57E-2</v>
      </c>
      <c r="N37" s="55">
        <v>5.4100000000000002E-2</v>
      </c>
      <c r="O37" s="55">
        <v>4.6699999999999998E-2</v>
      </c>
      <c r="P37" s="55">
        <v>4.2099999999999999E-2</v>
      </c>
      <c r="Q37" s="55">
        <v>4.1000000000000002E-2</v>
      </c>
      <c r="R37" s="55">
        <v>4.4900000000000002E-2</v>
      </c>
      <c r="S37" s="55">
        <v>4.6600000000000003E-2</v>
      </c>
      <c r="T37" s="55">
        <v>4.2000000000000003E-2</v>
      </c>
      <c r="U37" s="55">
        <v>4.53E-2</v>
      </c>
      <c r="V37" s="55">
        <v>5.2200000000000003E-2</v>
      </c>
      <c r="W37" s="55">
        <v>5.3400000000000003E-2</v>
      </c>
      <c r="X37" s="55">
        <v>5.28E-2</v>
      </c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</row>
    <row r="38" spans="1:39" x14ac:dyDescent="0.25">
      <c r="A38" s="142"/>
      <c r="B38" s="58" t="s">
        <v>46</v>
      </c>
      <c r="K38" s="60"/>
      <c r="L38" s="59">
        <f t="shared" ref="L38:T38" si="98">L37/12</f>
        <v>4.6583333333333329E-3</v>
      </c>
      <c r="M38" s="59">
        <f t="shared" si="98"/>
        <v>4.6416666666666663E-3</v>
      </c>
      <c r="N38" s="59">
        <f t="shared" si="98"/>
        <v>4.5083333333333338E-3</v>
      </c>
      <c r="O38" s="59">
        <f t="shared" si="98"/>
        <v>3.8916666666666665E-3</v>
      </c>
      <c r="P38" s="59">
        <f t="shared" si="98"/>
        <v>3.5083333333333334E-3</v>
      </c>
      <c r="Q38" s="59">
        <f t="shared" si="98"/>
        <v>3.4166666666666668E-3</v>
      </c>
      <c r="R38" s="59">
        <f t="shared" si="98"/>
        <v>3.741666666666667E-3</v>
      </c>
      <c r="S38" s="59">
        <f t="shared" si="98"/>
        <v>3.8833333333333337E-3</v>
      </c>
      <c r="T38" s="59">
        <f t="shared" si="98"/>
        <v>3.5000000000000001E-3</v>
      </c>
      <c r="U38" s="59">
        <f t="shared" ref="U38" si="99">U37/12</f>
        <v>3.7750000000000001E-3</v>
      </c>
      <c r="V38" s="59">
        <f>V37/12</f>
        <v>4.3500000000000006E-3</v>
      </c>
      <c r="W38" s="59">
        <f>W37/12</f>
        <v>4.45E-3</v>
      </c>
      <c r="X38" s="59">
        <f>X37/12</f>
        <v>4.4000000000000003E-3</v>
      </c>
    </row>
    <row r="39" spans="1:39" x14ac:dyDescent="0.25">
      <c r="A39" s="142"/>
      <c r="B39" s="58" t="s">
        <v>39</v>
      </c>
      <c r="K39" s="60"/>
      <c r="L39" s="60">
        <f>L30</f>
        <v>3205126.8085156372</v>
      </c>
      <c r="M39" s="60">
        <f>M30</f>
        <v>5671769.850712196</v>
      </c>
      <c r="N39" s="60"/>
      <c r="O39" s="60"/>
    </row>
    <row r="40" spans="1:39" x14ac:dyDescent="0.25">
      <c r="A40" s="142"/>
      <c r="B40" s="58" t="s">
        <v>48</v>
      </c>
      <c r="L40" s="60">
        <f>L38*L39</f>
        <v>14930.549049668674</v>
      </c>
      <c r="M40" s="60">
        <f>M38*M39</f>
        <v>26326.465057055775</v>
      </c>
      <c r="N40" s="60"/>
    </row>
    <row r="41" spans="1:39" x14ac:dyDescent="0.25">
      <c r="A41" s="142"/>
      <c r="B41" s="58" t="s">
        <v>47</v>
      </c>
      <c r="L41" s="60">
        <f>+L25+L26</f>
        <v>20303.250184361881</v>
      </c>
      <c r="M41" s="60">
        <f>+M25+M26</f>
        <v>40233.330695743818</v>
      </c>
      <c r="N41" s="60"/>
    </row>
    <row r="42" spans="1:39" x14ac:dyDescent="0.25">
      <c r="A42" s="142"/>
      <c r="B42" s="58" t="s">
        <v>50</v>
      </c>
      <c r="L42" s="60">
        <f>+L40-L41</f>
        <v>-5372.7011346932068</v>
      </c>
      <c r="M42" s="60">
        <f>+M40-M41</f>
        <v>-13906.865638688043</v>
      </c>
      <c r="N42" s="60"/>
    </row>
    <row r="43" spans="1:39" x14ac:dyDescent="0.25">
      <c r="A43" s="142"/>
      <c r="B43" s="58" t="s">
        <v>49</v>
      </c>
      <c r="L43" s="60">
        <f>K43+L42</f>
        <v>-5372.7011346932068</v>
      </c>
      <c r="M43" s="60">
        <f>L43+M42</f>
        <v>-19279.566773381252</v>
      </c>
      <c r="N43" s="60"/>
    </row>
    <row r="44" spans="1:39" s="73" customFormat="1" x14ac:dyDescent="0.25">
      <c r="A44" s="141"/>
      <c r="B44" s="72" t="s">
        <v>51</v>
      </c>
      <c r="L44" s="74">
        <f>L29</f>
        <v>3917880.3790659793</v>
      </c>
      <c r="M44" s="74">
        <f>M29</f>
        <v>6881505.8003547937</v>
      </c>
      <c r="N44" s="74">
        <f t="shared" ref="N44" si="100">N29</f>
        <v>9352834.1977275889</v>
      </c>
      <c r="O44" s="74">
        <f t="shared" ref="O44" si="101">O29</f>
        <v>8400585.5381251592</v>
      </c>
      <c r="P44" s="74"/>
      <c r="Q44" s="74"/>
      <c r="R44" s="74"/>
      <c r="S44" s="74"/>
      <c r="T44" s="74"/>
      <c r="U44" s="74"/>
      <c r="V44" s="74"/>
      <c r="W44" s="74"/>
      <c r="X44" s="74"/>
    </row>
    <row r="45" spans="1:39" s="70" customFormat="1" x14ac:dyDescent="0.25">
      <c r="A45" s="141"/>
      <c r="B45" s="69" t="s">
        <v>52</v>
      </c>
      <c r="L45" s="71">
        <f>L38*L44</f>
        <v>18250.792765815684</v>
      </c>
      <c r="M45" s="71">
        <f>M38*M44</f>
        <v>31941.656089980166</v>
      </c>
      <c r="N45" s="71">
        <f t="shared" ref="N45" si="102">N38*N44</f>
        <v>42165.694174755219</v>
      </c>
      <c r="O45" s="71">
        <f t="shared" ref="O45" si="103">O38*O44</f>
        <v>32692.278719203743</v>
      </c>
      <c r="P45" s="71"/>
      <c r="Q45" s="71"/>
      <c r="R45" s="71"/>
      <c r="S45" s="71"/>
      <c r="T45" s="71"/>
      <c r="U45" s="71"/>
      <c r="V45" s="71"/>
      <c r="W45" s="71"/>
      <c r="X45" s="71"/>
    </row>
    <row r="46" spans="1:39" s="70" customFormat="1" x14ac:dyDescent="0.25">
      <c r="A46" s="141"/>
      <c r="B46" s="69" t="s">
        <v>53</v>
      </c>
      <c r="L46" s="71">
        <f>+L22+L23</f>
        <v>24818.270939307535</v>
      </c>
      <c r="M46" s="71">
        <f>+M22+M23</f>
        <v>43365.162954575469</v>
      </c>
      <c r="N46" s="71">
        <f t="shared" ref="N46" si="104">+N22+N23</f>
        <v>57091.384762105721</v>
      </c>
      <c r="O46" s="71">
        <f t="shared" ref="O46" si="105">+O22+O23</f>
        <v>44149.807588217736</v>
      </c>
      <c r="P46" s="71"/>
      <c r="Q46" s="71"/>
      <c r="R46" s="71"/>
      <c r="S46" s="71"/>
      <c r="T46" s="71"/>
      <c r="U46" s="71"/>
      <c r="V46" s="71"/>
      <c r="W46" s="71"/>
      <c r="X46" s="71"/>
    </row>
    <row r="47" spans="1:39" s="70" customFormat="1" x14ac:dyDescent="0.25">
      <c r="A47" s="141"/>
      <c r="B47" s="69" t="s">
        <v>54</v>
      </c>
      <c r="L47" s="71">
        <f>+L45-L46</f>
        <v>-6567.4781734918506</v>
      </c>
      <c r="M47" s="71">
        <f>+M45-M46</f>
        <v>-11423.506864595303</v>
      </c>
      <c r="N47" s="71">
        <f t="shared" ref="N47:O47" si="106">+N45-N46</f>
        <v>-14925.690587350502</v>
      </c>
      <c r="O47" s="71">
        <f t="shared" si="106"/>
        <v>-11457.528869013993</v>
      </c>
      <c r="P47" s="71"/>
      <c r="Q47" s="71"/>
      <c r="R47" s="71"/>
      <c r="S47" s="71"/>
      <c r="T47" s="71"/>
      <c r="U47" s="71"/>
      <c r="V47" s="71"/>
      <c r="W47" s="71"/>
      <c r="X47" s="71"/>
    </row>
    <row r="48" spans="1:39" s="70" customFormat="1" x14ac:dyDescent="0.25">
      <c r="A48" s="141"/>
      <c r="B48" s="69" t="s">
        <v>55</v>
      </c>
      <c r="L48" s="71">
        <f>K48+L47</f>
        <v>-6567.4781734918506</v>
      </c>
      <c r="M48" s="71">
        <f t="shared" ref="M48:O48" si="107">L48+M47</f>
        <v>-17990.985038087154</v>
      </c>
      <c r="N48" s="71">
        <f t="shared" si="107"/>
        <v>-32916.675625437652</v>
      </c>
      <c r="O48" s="71">
        <f t="shared" si="107"/>
        <v>-44374.204494451646</v>
      </c>
      <c r="P48" s="71"/>
      <c r="Q48" s="71"/>
      <c r="R48" s="71"/>
      <c r="S48" s="71"/>
      <c r="T48" s="71"/>
      <c r="U48" s="71"/>
      <c r="V48" s="71"/>
      <c r="W48" s="71"/>
      <c r="X48" s="71"/>
    </row>
    <row r="49" spans="1:39" x14ac:dyDescent="0.25">
      <c r="A49" s="44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spans="1:39" ht="21" customHeight="1" x14ac:dyDescent="0.25">
      <c r="A50" s="44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spans="1:39" x14ac:dyDescent="0.25"/>
    <row r="52" spans="1:39" x14ac:dyDescent="0.25">
      <c r="W52" s="135"/>
      <c r="X52" s="136"/>
    </row>
    <row r="53" spans="1:39" x14ac:dyDescent="0.25">
      <c r="W53" s="135"/>
      <c r="X53" s="136"/>
    </row>
    <row r="54" spans="1:39" x14ac:dyDescent="0.25"/>
  </sheetData>
  <mergeCells count="9">
    <mergeCell ref="A44:A48"/>
    <mergeCell ref="A37:A43"/>
    <mergeCell ref="A31:A36"/>
    <mergeCell ref="O6:Z6"/>
    <mergeCell ref="AA6:AL6"/>
    <mergeCell ref="C6:H6"/>
    <mergeCell ref="I6:N6"/>
    <mergeCell ref="A8:A15"/>
    <mergeCell ref="A16:A30"/>
  </mergeCells>
  <printOptions headings="1"/>
  <pageMargins left="0.7" right="0.2" top="0.75" bottom="0.75" header="0.3" footer="0.3"/>
  <pageSetup scale="52" orientation="landscape" cellComments="asDisplayed" r:id="rId1"/>
  <headerFooter>
    <oddHeader>&amp;C&amp;A</oddHeader>
  </headerFooter>
  <colBreaks count="2" manualBreakCount="2">
    <brk id="8" min="1" max="45" man="1"/>
    <brk id="14" max="41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B3B3C2A568948A3B61DE5471DEA1E" ma:contentTypeVersion="0" ma:contentTypeDescription="Create a new document." ma:contentTypeScope="" ma:versionID="e21325dc62556425e3e549579d3cac03">
  <xsd:schema xmlns:xsd="http://www.w3.org/2001/XMLSchema" xmlns:p="http://schemas.microsoft.com/office/2006/metadata/properties" xmlns:ns2="37C40F9E-044B-4F26-A90E-5C1316E52537" targetNamespace="http://schemas.microsoft.com/office/2006/metadata/properties" ma:root="true" ma:fieldsID="4b5ea1123175a8313d90db415902c5cf" ns2:_="">
    <xsd:import namespace="37C40F9E-044B-4F26-A90E-5C1316E52537"/>
    <xsd:element name="properties">
      <xsd:complexType>
        <xsd:sequence>
          <xsd:element name="documentManagement">
            <xsd:complexType>
              <xsd:all>
                <xsd:element ref="ns2:Comment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37C40F9E-044B-4F26-A90E-5C1316E52537" elementFormDefault="qualified">
    <xsd:import namespace="http://schemas.microsoft.com/office/2006/documentManagement/types"/>
    <xsd:element name="Comments0" ma:index="8" nillable="true" ma:displayName="Comments" ma:description="Comments" ma:internalName="Comments0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Comments0 xmlns="37C40F9E-044B-4F26-A90E-5C1316E525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3A678-6F99-4B47-B514-3F82A5AE7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C40F9E-044B-4F26-A90E-5C1316E5253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2F07B67-19EB-4B96-A323-3D485BBA4FF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37C40F9E-044B-4F26-A90E-5C1316E5253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9B4CCAA-8671-4113-8547-D2C9334702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MonthlyNSBCalculation</vt:lpstr>
      <vt:lpstr>MonthlyNSBCalculation!Print_Area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e21586</dc:creator>
  <cp:lastModifiedBy>Raysene Logan</cp:lastModifiedBy>
  <cp:lastPrinted>2014-11-21T17:20:14Z</cp:lastPrinted>
  <dcterms:created xsi:type="dcterms:W3CDTF">2013-01-09T19:50:07Z</dcterms:created>
  <dcterms:modified xsi:type="dcterms:W3CDTF">2014-11-21T19:41:12Z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0x0101009C8B3B3C2A568948A3B61DE5471DEA1E</vt:lpwstr>
  </property>
</Properties>
</file>