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seworks\DavWWWRoot\376\DataRequests\20563\Library\Red lines\"/>
    </mc:Choice>
  </mc:AlternateContent>
  <bookViews>
    <workbookView xWindow="120" yWindow="225" windowWidth="15240" windowHeight="5355"/>
  </bookViews>
  <sheets>
    <sheet name="tariff tables" sheetId="5" r:id="rId1"/>
    <sheet name="PPC" sheetId="4" r:id="rId2"/>
    <sheet name="PCR Cycle 1" sheetId="1" r:id="rId3"/>
    <sheet name="PCR Cycle 2" sheetId="15" r:id="rId4"/>
    <sheet name="PTD" sheetId="12" r:id="rId5"/>
    <sheet name="TDR Cycle 1" sheetId="11" r:id="rId6"/>
    <sheet name="TDR Cycle 2" sheetId="16" r:id="rId7"/>
    <sheet name="EO" sheetId="8" r:id="rId8"/>
    <sheet name="EOR" sheetId="9" r:id="rId9"/>
    <sheet name="OA" sheetId="10" r:id="rId10"/>
    <sheet name="OAR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7">EO!$A$1:$F$26</definedName>
    <definedName name="_xlnm.Print_Area" localSheetId="10">OAR!$A$1:$N$44</definedName>
    <definedName name="_xlnm.Print_Area" localSheetId="2">'PCR Cycle 1'!$A$1:$N$55</definedName>
    <definedName name="_xlnm.Print_Area" localSheetId="3">'PCR Cycle 2'!$A$1:$N$55</definedName>
    <definedName name="solver_adj" localSheetId="2" hidden="1">'PCR Cycle 1'!$E$38</definedName>
    <definedName name="solver_adj" localSheetId="3" hidden="1">'PCR Cycle 2'!$E$38</definedName>
    <definedName name="solver_adj" localSheetId="5" hidden="1">'TDR Cycle 1'!#REF!</definedName>
    <definedName name="solver_adj" localSheetId="6" hidden="1">'TDR Cycle 2'!#REF!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drv" localSheetId="2" hidden="1">1</definedName>
    <definedName name="solver_drv" localSheetId="3" hidden="1">1</definedName>
    <definedName name="solver_drv" localSheetId="5" hidden="1">2</definedName>
    <definedName name="solver_drv" localSheetId="6" hidden="1">2</definedName>
    <definedName name="solver_eng" localSheetId="2" hidden="1">1</definedName>
    <definedName name="solver_eng" localSheetId="3" hidden="1">1</definedName>
    <definedName name="solver_eng" localSheetId="5" hidden="1">1</definedName>
    <definedName name="solver_eng" localSheetId="6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opt" localSheetId="2" hidden="1">'PCR Cycle 1'!$E$43</definedName>
    <definedName name="solver_opt" localSheetId="3" hidden="1">'PCR Cycle 2'!$E$43</definedName>
    <definedName name="solver_opt" localSheetId="5" hidden="1">'TDR Cycle 1'!#REF!</definedName>
    <definedName name="solver_opt" localSheetId="6" hidden="1">'TDR Cycle 2'!#REF!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rbv" localSheetId="2" hidden="1">1</definedName>
    <definedName name="solver_rbv" localSheetId="3" hidden="1">1</definedName>
    <definedName name="solver_rbv" localSheetId="5" hidden="1">2</definedName>
    <definedName name="solver_rbv" localSheetId="6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scl" localSheetId="2" hidden="1">1</definedName>
    <definedName name="solver_scl" localSheetId="3" hidden="1">1</definedName>
    <definedName name="solver_scl" localSheetId="5" hidden="1">2</definedName>
    <definedName name="solver_scl" localSheetId="6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val" localSheetId="2" hidden="1">0</definedName>
    <definedName name="solver_val" localSheetId="3" hidden="1">0</definedName>
    <definedName name="solver_val" localSheetId="5" hidden="1">23888.44</definedName>
    <definedName name="solver_val" localSheetId="6" hidden="1">23888.44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</definedNames>
  <calcPr calcId="171027"/>
</workbook>
</file>

<file path=xl/calcChain.xml><?xml version="1.0" encoding="utf-8"?>
<calcChain xmlns="http://schemas.openxmlformats.org/spreadsheetml/2006/main">
  <c r="G15" i="13" l="1"/>
  <c r="K13" i="15" l="1"/>
  <c r="J13" i="15"/>
  <c r="K12" i="15"/>
  <c r="J12" i="15"/>
  <c r="K11" i="15"/>
  <c r="J11" i="15"/>
  <c r="K10" i="15"/>
  <c r="J10" i="15"/>
  <c r="I8" i="4"/>
  <c r="H8" i="4"/>
  <c r="G8" i="4"/>
  <c r="F8" i="4"/>
  <c r="C41" i="1" l="1"/>
  <c r="C40" i="1"/>
  <c r="E16" i="13" l="1"/>
  <c r="D16" i="13"/>
  <c r="E15" i="13"/>
  <c r="D15" i="13"/>
  <c r="I16" i="13"/>
  <c r="H16" i="13"/>
  <c r="G16" i="13"/>
  <c r="F16" i="13"/>
  <c r="I15" i="13"/>
  <c r="H15" i="13"/>
  <c r="F15" i="13"/>
  <c r="B6" i="4" l="1"/>
  <c r="B5" i="4"/>
  <c r="L22" i="1"/>
  <c r="K22" i="1"/>
  <c r="J22" i="1"/>
  <c r="L21" i="1"/>
  <c r="K21" i="1"/>
  <c r="J21" i="1"/>
  <c r="I16" i="9" l="1"/>
  <c r="H16" i="9"/>
  <c r="G16" i="9"/>
  <c r="F16" i="9"/>
  <c r="I15" i="9"/>
  <c r="H15" i="9"/>
  <c r="G15" i="9"/>
  <c r="F15" i="9"/>
  <c r="E16" i="9"/>
  <c r="D16" i="9"/>
  <c r="E15" i="9"/>
  <c r="D15" i="9"/>
  <c r="I16" i="11"/>
  <c r="H16" i="11"/>
  <c r="G16" i="11"/>
  <c r="F16" i="11"/>
  <c r="I15" i="11"/>
  <c r="H15" i="11"/>
  <c r="G15" i="11"/>
  <c r="F15" i="11"/>
  <c r="E16" i="11"/>
  <c r="D16" i="11"/>
  <c r="E15" i="11"/>
  <c r="D15" i="11"/>
  <c r="I26" i="15"/>
  <c r="H26" i="15"/>
  <c r="G26" i="15"/>
  <c r="F26" i="15"/>
  <c r="I25" i="15"/>
  <c r="H25" i="15"/>
  <c r="G25" i="15"/>
  <c r="F25" i="15"/>
  <c r="E26" i="15"/>
  <c r="D26" i="15"/>
  <c r="E25" i="15"/>
  <c r="D25" i="15"/>
  <c r="I22" i="15"/>
  <c r="H22" i="15"/>
  <c r="G22" i="15"/>
  <c r="F22" i="15"/>
  <c r="I21" i="15"/>
  <c r="H21" i="15"/>
  <c r="G21" i="15"/>
  <c r="F21" i="15"/>
  <c r="E22" i="15"/>
  <c r="D22" i="15"/>
  <c r="E21" i="15"/>
  <c r="D21" i="15"/>
  <c r="I22" i="1"/>
  <c r="H22" i="1"/>
  <c r="G22" i="1"/>
  <c r="F22" i="1"/>
  <c r="I21" i="1"/>
  <c r="H21" i="1"/>
  <c r="G21" i="1"/>
  <c r="F21" i="1"/>
  <c r="E22" i="1"/>
  <c r="D22" i="1"/>
  <c r="E21" i="1"/>
  <c r="D21" i="1"/>
  <c r="I26" i="1"/>
  <c r="H26" i="1"/>
  <c r="G26" i="1"/>
  <c r="F26" i="1"/>
  <c r="I25" i="1"/>
  <c r="H25" i="1"/>
  <c r="G25" i="1"/>
  <c r="F25" i="1"/>
  <c r="E26" i="1"/>
  <c r="D26" i="1"/>
  <c r="E25" i="1"/>
  <c r="D25" i="1"/>
  <c r="I16" i="16"/>
  <c r="H16" i="16"/>
  <c r="G16" i="16"/>
  <c r="F16" i="16"/>
  <c r="I15" i="16"/>
  <c r="H15" i="16"/>
  <c r="G15" i="16"/>
  <c r="F15" i="16"/>
  <c r="E16" i="16"/>
  <c r="D16" i="16"/>
  <c r="E15" i="16"/>
  <c r="D15" i="16"/>
  <c r="D20" i="16" l="1"/>
  <c r="D23" i="16"/>
  <c r="D19" i="16"/>
  <c r="E23" i="16" l="1"/>
  <c r="E19" i="16"/>
  <c r="E20" i="16"/>
  <c r="F20" i="16" l="1"/>
  <c r="F23" i="16"/>
  <c r="F19" i="16"/>
  <c r="D24" i="16" l="1"/>
  <c r="G20" i="16"/>
  <c r="G23" i="16"/>
  <c r="G19" i="16"/>
  <c r="E24" i="16" l="1"/>
  <c r="H20" i="16"/>
  <c r="H23" i="16"/>
  <c r="H19" i="16"/>
  <c r="F24" i="16" l="1"/>
  <c r="I20" i="16"/>
  <c r="I23" i="16"/>
  <c r="I19" i="16"/>
  <c r="G24" i="16" l="1"/>
  <c r="H24" i="16"/>
  <c r="I24" i="16" l="1"/>
  <c r="I38" i="1" l="1"/>
  <c r="I59" i="1" s="1"/>
  <c r="H38" i="1"/>
  <c r="H59" i="1" s="1"/>
  <c r="G38" i="1"/>
  <c r="G59" i="1" s="1"/>
  <c r="F38" i="1"/>
  <c r="F59" i="1" s="1"/>
  <c r="E38" i="1"/>
  <c r="E59" i="1" s="1"/>
  <c r="D38" i="1"/>
  <c r="D59" i="1" s="1"/>
  <c r="I13" i="15" l="1"/>
  <c r="H13" i="15"/>
  <c r="G13" i="15"/>
  <c r="F13" i="15"/>
  <c r="E13" i="15"/>
  <c r="I12" i="15"/>
  <c r="H12" i="15"/>
  <c r="G12" i="15"/>
  <c r="F12" i="15"/>
  <c r="E12" i="15"/>
  <c r="I11" i="15"/>
  <c r="H11" i="15"/>
  <c r="G11" i="15"/>
  <c r="F11" i="15"/>
  <c r="E11" i="15"/>
  <c r="I10" i="15"/>
  <c r="H10" i="15"/>
  <c r="G10" i="15"/>
  <c r="F10" i="15"/>
  <c r="E10" i="15"/>
  <c r="D13" i="15"/>
  <c r="D12" i="15"/>
  <c r="D11" i="15"/>
  <c r="D10" i="15"/>
  <c r="F9" i="1" l="1"/>
  <c r="G9" i="1" s="1"/>
  <c r="H9" i="1" s="1"/>
  <c r="I9" i="1" s="1"/>
  <c r="J9" i="1" s="1"/>
  <c r="K9" i="1" s="1"/>
  <c r="L9" i="1" s="1"/>
  <c r="E9" i="1"/>
  <c r="A2" i="8" l="1"/>
  <c r="A1" i="8"/>
  <c r="C10" i="10" l="1"/>
  <c r="G20" i="9" l="1"/>
  <c r="F20" i="9"/>
  <c r="E20" i="9"/>
  <c r="D20" i="9"/>
  <c r="G19" i="9"/>
  <c r="F19" i="9"/>
  <c r="E19" i="9"/>
  <c r="D19" i="9"/>
  <c r="C39" i="13" l="1"/>
  <c r="F26" i="13"/>
  <c r="E26" i="13"/>
  <c r="D26" i="13"/>
  <c r="C26" i="13"/>
  <c r="C30" i="13" s="1"/>
  <c r="F25" i="13"/>
  <c r="E25" i="13"/>
  <c r="D25" i="13"/>
  <c r="C25" i="13"/>
  <c r="C29" i="13" s="1"/>
  <c r="H26" i="13"/>
  <c r="J12" i="13"/>
  <c r="I12" i="13"/>
  <c r="I25" i="13"/>
  <c r="H25" i="13"/>
  <c r="G25" i="13"/>
  <c r="K12" i="13"/>
  <c r="G12" i="13"/>
  <c r="F12" i="13"/>
  <c r="E12" i="13"/>
  <c r="D12" i="13"/>
  <c r="D11" i="13"/>
  <c r="E11" i="13" s="1"/>
  <c r="F11" i="13" s="1"/>
  <c r="G11" i="13" s="1"/>
  <c r="H11" i="13" s="1"/>
  <c r="I11" i="13" s="1"/>
  <c r="J11" i="13" s="1"/>
  <c r="K11" i="13" s="1"/>
  <c r="L11" i="13" s="1"/>
  <c r="C10" i="13"/>
  <c r="B10" i="13"/>
  <c r="G5" i="13"/>
  <c r="G4" i="13"/>
  <c r="G6" i="13" s="1"/>
  <c r="A1" i="13"/>
  <c r="D30" i="13" l="1"/>
  <c r="D29" i="13"/>
  <c r="I26" i="13"/>
  <c r="E5" i="13"/>
  <c r="E4" i="13"/>
  <c r="G26" i="13"/>
  <c r="H12" i="13"/>
  <c r="K20" i="9"/>
  <c r="J20" i="9"/>
  <c r="I20" i="9"/>
  <c r="K19" i="9"/>
  <c r="J19" i="9"/>
  <c r="I19" i="9"/>
  <c r="H20" i="9"/>
  <c r="H19" i="9"/>
  <c r="E6" i="13" l="1"/>
  <c r="C39" i="9" l="1"/>
  <c r="D26" i="9"/>
  <c r="C26" i="9"/>
  <c r="C30" i="9" s="1"/>
  <c r="C25" i="9"/>
  <c r="C29" i="9" s="1"/>
  <c r="I26" i="9"/>
  <c r="H26" i="9"/>
  <c r="G26" i="9"/>
  <c r="F26" i="9"/>
  <c r="E26" i="9"/>
  <c r="I25" i="9"/>
  <c r="H25" i="9"/>
  <c r="G25" i="9"/>
  <c r="F25" i="9"/>
  <c r="E25" i="9"/>
  <c r="D25" i="9"/>
  <c r="K12" i="9"/>
  <c r="J12" i="9"/>
  <c r="I12" i="9"/>
  <c r="H12" i="9"/>
  <c r="G12" i="9"/>
  <c r="F12" i="9"/>
  <c r="E12" i="9"/>
  <c r="D12" i="9"/>
  <c r="D11" i="9"/>
  <c r="E11" i="9" s="1"/>
  <c r="F11" i="9" s="1"/>
  <c r="G11" i="9" s="1"/>
  <c r="H11" i="9" s="1"/>
  <c r="I11" i="9" s="1"/>
  <c r="J11" i="9" s="1"/>
  <c r="K11" i="9" s="1"/>
  <c r="L11" i="9" s="1"/>
  <c r="C10" i="9"/>
  <c r="B10" i="9"/>
  <c r="G5" i="9"/>
  <c r="E5" i="9"/>
  <c r="G4" i="9"/>
  <c r="E4" i="9"/>
  <c r="A1" i="9"/>
  <c r="A1" i="10"/>
  <c r="A2" i="10"/>
  <c r="E6" i="9" l="1"/>
  <c r="G6" i="9"/>
  <c r="D30" i="9"/>
  <c r="D29" i="9"/>
  <c r="L16" i="13" l="1"/>
  <c r="L26" i="13" s="1"/>
  <c r="L16" i="9"/>
  <c r="L26" i="9" s="1"/>
  <c r="J15" i="13"/>
  <c r="J15" i="9"/>
  <c r="L15" i="13"/>
  <c r="L25" i="13" s="1"/>
  <c r="L15" i="9"/>
  <c r="L25" i="9" s="1"/>
  <c r="K15" i="13"/>
  <c r="K25" i="13" s="1"/>
  <c r="K15" i="9"/>
  <c r="K25" i="9" s="1"/>
  <c r="J16" i="13"/>
  <c r="J16" i="9"/>
  <c r="K16" i="13"/>
  <c r="K26" i="13" s="1"/>
  <c r="K16" i="9"/>
  <c r="K26" i="9" s="1"/>
  <c r="J25" i="13" l="1"/>
  <c r="D4" i="13"/>
  <c r="J25" i="9"/>
  <c r="D4" i="9"/>
  <c r="J26" i="9"/>
  <c r="D5" i="9"/>
  <c r="F5" i="9" s="1"/>
  <c r="J26" i="13"/>
  <c r="D5" i="13"/>
  <c r="F5" i="13" s="1"/>
  <c r="D6" i="13" l="1"/>
  <c r="F4" i="13"/>
  <c r="F4" i="9"/>
  <c r="D6" i="9"/>
  <c r="F6" i="13" l="1"/>
  <c r="F6" i="9"/>
  <c r="I32" i="13" l="1"/>
  <c r="I32" i="9"/>
  <c r="H32" i="13" l="1"/>
  <c r="H32" i="9"/>
  <c r="G32" i="13" l="1"/>
  <c r="G32" i="9"/>
  <c r="D32" i="13"/>
  <c r="D32" i="9"/>
  <c r="E32" i="13"/>
  <c r="E32" i="9"/>
  <c r="F32" i="13"/>
  <c r="F32" i="9"/>
  <c r="D35" i="13" l="1"/>
  <c r="D34" i="13"/>
  <c r="D34" i="9"/>
  <c r="D35" i="9"/>
  <c r="D37" i="9" l="1"/>
  <c r="E34" i="9"/>
  <c r="D39" i="9"/>
  <c r="E29" i="9"/>
  <c r="E30" i="9"/>
  <c r="E35" i="9"/>
  <c r="D37" i="13"/>
  <c r="D39" i="13"/>
  <c r="E34" i="13"/>
  <c r="E29" i="13"/>
  <c r="E35" i="13"/>
  <c r="E30" i="13"/>
  <c r="E37" i="13" l="1"/>
  <c r="F29" i="9"/>
  <c r="F34" i="9"/>
  <c r="F29" i="13"/>
  <c r="F34" i="13"/>
  <c r="E39" i="9"/>
  <c r="D36" i="9"/>
  <c r="F35" i="13"/>
  <c r="F30" i="13"/>
  <c r="F35" i="9"/>
  <c r="F30" i="9"/>
  <c r="E37" i="9"/>
  <c r="E39" i="13"/>
  <c r="D36" i="13"/>
  <c r="E36" i="13" l="1"/>
  <c r="F39" i="13"/>
  <c r="G29" i="13"/>
  <c r="G34" i="13"/>
  <c r="G35" i="13"/>
  <c r="G30" i="13"/>
  <c r="G35" i="9"/>
  <c r="G30" i="9"/>
  <c r="F37" i="9"/>
  <c r="F37" i="13"/>
  <c r="F39" i="9"/>
  <c r="E36" i="9"/>
  <c r="G29" i="9"/>
  <c r="G34" i="9"/>
  <c r="B13" i="8"/>
  <c r="B12" i="8"/>
  <c r="G37" i="13" l="1"/>
  <c r="H29" i="13"/>
  <c r="H34" i="13"/>
  <c r="F36" i="9"/>
  <c r="G39" i="9"/>
  <c r="H30" i="9"/>
  <c r="H35" i="9"/>
  <c r="G37" i="9"/>
  <c r="H34" i="9"/>
  <c r="H29" i="9"/>
  <c r="H30" i="13"/>
  <c r="H35" i="13"/>
  <c r="G39" i="13"/>
  <c r="F36" i="13"/>
  <c r="D5" i="8"/>
  <c r="I30" i="13" l="1"/>
  <c r="I35" i="13"/>
  <c r="I29" i="9"/>
  <c r="I34" i="9"/>
  <c r="I35" i="9"/>
  <c r="I30" i="9"/>
  <c r="I29" i="13"/>
  <c r="I34" i="13"/>
  <c r="H37" i="9"/>
  <c r="H39" i="9"/>
  <c r="G36" i="9"/>
  <c r="G36" i="13"/>
  <c r="H39" i="13"/>
  <c r="H37" i="13"/>
  <c r="I39" i="9" l="1"/>
  <c r="I39" i="13"/>
  <c r="H36" i="13"/>
  <c r="H36" i="9"/>
  <c r="I37" i="13" l="1"/>
  <c r="I37" i="9"/>
  <c r="J30" i="9"/>
  <c r="J29" i="9"/>
  <c r="J29" i="13"/>
  <c r="J30" i="13"/>
  <c r="B14" i="8"/>
  <c r="I36" i="9" l="1"/>
  <c r="I36" i="13"/>
  <c r="C13" i="8"/>
  <c r="C12" i="8"/>
  <c r="C14" i="8" l="1"/>
  <c r="I18" i="15" l="1"/>
  <c r="I17" i="15"/>
  <c r="C18" i="15"/>
  <c r="C17" i="15"/>
  <c r="G18" i="15"/>
  <c r="C10" i="16"/>
  <c r="B10" i="16"/>
  <c r="C8" i="15"/>
  <c r="B8" i="15"/>
  <c r="G17" i="15" l="1"/>
  <c r="F18" i="15"/>
  <c r="E18" i="15"/>
  <c r="H18" i="15"/>
  <c r="H17" i="15"/>
  <c r="D17" i="15"/>
  <c r="E17" i="15"/>
  <c r="D18" i="15"/>
  <c r="F17" i="15"/>
  <c r="H36" i="16"/>
  <c r="G36" i="16"/>
  <c r="F36" i="16"/>
  <c r="E36" i="16"/>
  <c r="D36" i="16"/>
  <c r="H5" i="11"/>
  <c r="H4" i="11"/>
  <c r="C43" i="11"/>
  <c r="H38" i="15" l="1"/>
  <c r="G38" i="15"/>
  <c r="F38" i="15"/>
  <c r="E38" i="15"/>
  <c r="D38" i="15"/>
  <c r="I36" i="16" l="1"/>
  <c r="I38" i="15"/>
  <c r="C43" i="16" l="1"/>
  <c r="L22" i="15" l="1"/>
  <c r="K22" i="15"/>
  <c r="J22" i="15"/>
  <c r="L21" i="15"/>
  <c r="K21" i="15"/>
  <c r="J21" i="15"/>
  <c r="D9" i="15"/>
  <c r="E9" i="15" s="1"/>
  <c r="F9" i="15" s="1"/>
  <c r="G9" i="15" s="1"/>
  <c r="H9" i="15" s="1"/>
  <c r="I9" i="15" s="1"/>
  <c r="J9" i="15" s="1"/>
  <c r="K9" i="15" s="1"/>
  <c r="L9" i="15" s="1"/>
  <c r="M19" i="11" l="1"/>
  <c r="C10" i="11" l="1"/>
  <c r="B10" i="11"/>
  <c r="J38" i="1" l="1"/>
  <c r="C18" i="1"/>
  <c r="C17" i="1"/>
  <c r="J32" i="13" l="1"/>
  <c r="J32" i="9"/>
  <c r="J36" i="16"/>
  <c r="J38" i="15"/>
  <c r="C30" i="16"/>
  <c r="C34" i="16" s="1"/>
  <c r="C29" i="16"/>
  <c r="C33" i="16" s="1"/>
  <c r="L16" i="16"/>
  <c r="L30" i="16" s="1"/>
  <c r="K16" i="16"/>
  <c r="J16" i="16"/>
  <c r="L15" i="16"/>
  <c r="L29" i="16" s="1"/>
  <c r="K15" i="16"/>
  <c r="J15" i="16"/>
  <c r="D11" i="16"/>
  <c r="E11" i="16" s="1"/>
  <c r="F11" i="16" s="1"/>
  <c r="G11" i="16" s="1"/>
  <c r="H11" i="16" s="1"/>
  <c r="I11" i="16" s="1"/>
  <c r="J11" i="16" s="1"/>
  <c r="K11" i="16" s="1"/>
  <c r="L11" i="16" s="1"/>
  <c r="H5" i="16"/>
  <c r="H4" i="16"/>
  <c r="A1" i="16"/>
  <c r="C45" i="15"/>
  <c r="L43" i="15"/>
  <c r="C32" i="15"/>
  <c r="C36" i="15" s="1"/>
  <c r="C31" i="15"/>
  <c r="C35" i="15" s="1"/>
  <c r="L26" i="15"/>
  <c r="K26" i="15"/>
  <c r="J26" i="15"/>
  <c r="A26" i="15"/>
  <c r="L25" i="15"/>
  <c r="K25" i="15"/>
  <c r="J25" i="15"/>
  <c r="L18" i="15"/>
  <c r="I32" i="15"/>
  <c r="H32" i="15"/>
  <c r="F32" i="15"/>
  <c r="E32" i="15"/>
  <c r="D32" i="15"/>
  <c r="L17" i="15"/>
  <c r="I31" i="15"/>
  <c r="H31" i="15"/>
  <c r="G31" i="15"/>
  <c r="F31" i="15"/>
  <c r="E31" i="15"/>
  <c r="D31" i="15"/>
  <c r="H5" i="15"/>
  <c r="E5" i="15"/>
  <c r="H4" i="15"/>
  <c r="E4" i="15"/>
  <c r="A1" i="15"/>
  <c r="J34" i="9" l="1"/>
  <c r="J35" i="9"/>
  <c r="J35" i="13"/>
  <c r="J34" i="13"/>
  <c r="H6" i="15"/>
  <c r="D5" i="15"/>
  <c r="D36" i="15"/>
  <c r="D41" i="15"/>
  <c r="D40" i="15"/>
  <c r="D35" i="15"/>
  <c r="H6" i="16"/>
  <c r="E6" i="15"/>
  <c r="D4" i="15"/>
  <c r="L32" i="15"/>
  <c r="L31" i="15"/>
  <c r="D5" i="16"/>
  <c r="D4" i="16"/>
  <c r="G32" i="15"/>
  <c r="J37" i="13" l="1"/>
  <c r="K29" i="13"/>
  <c r="J39" i="13"/>
  <c r="K30" i="13"/>
  <c r="K30" i="9"/>
  <c r="J37" i="9"/>
  <c r="K29" i="9"/>
  <c r="J39" i="9"/>
  <c r="D6" i="15"/>
  <c r="E36" i="15"/>
  <c r="E41" i="15"/>
  <c r="E35" i="15"/>
  <c r="E40" i="15"/>
  <c r="D6" i="16"/>
  <c r="D43" i="15"/>
  <c r="D45" i="15"/>
  <c r="D42" i="15" s="1"/>
  <c r="J36" i="9" l="1"/>
  <c r="J36" i="13"/>
  <c r="F36" i="15"/>
  <c r="F41" i="15"/>
  <c r="F40" i="15"/>
  <c r="F35" i="15"/>
  <c r="E43" i="15"/>
  <c r="E45" i="15"/>
  <c r="E42" i="15" s="1"/>
  <c r="K16" i="11"/>
  <c r="J16" i="11"/>
  <c r="K15" i="11"/>
  <c r="J15" i="11"/>
  <c r="G41" i="15" l="1"/>
  <c r="G36" i="15"/>
  <c r="G35" i="15"/>
  <c r="G40" i="15"/>
  <c r="F45" i="15"/>
  <c r="F42" i="15" s="1"/>
  <c r="F43" i="15"/>
  <c r="F5" i="11"/>
  <c r="F4" i="11"/>
  <c r="G43" i="15" l="1"/>
  <c r="H35" i="15"/>
  <c r="H36" i="15"/>
  <c r="H41" i="15"/>
  <c r="H40" i="15"/>
  <c r="K38" i="1"/>
  <c r="J36" i="11"/>
  <c r="G45" i="15"/>
  <c r="G42" i="15" s="1"/>
  <c r="J29" i="11"/>
  <c r="K29" i="11"/>
  <c r="J30" i="11"/>
  <c r="K30" i="11"/>
  <c r="J12" i="11"/>
  <c r="K12" i="11"/>
  <c r="K26" i="1"/>
  <c r="J26" i="1"/>
  <c r="K25" i="1"/>
  <c r="J25" i="1"/>
  <c r="J17" i="1"/>
  <c r="K17" i="1"/>
  <c r="L17" i="1"/>
  <c r="J18" i="1"/>
  <c r="K18" i="1"/>
  <c r="L18" i="1"/>
  <c r="I36" i="15" l="1"/>
  <c r="I41" i="15"/>
  <c r="I35" i="15"/>
  <c r="I40" i="15"/>
  <c r="K32" i="13"/>
  <c r="K32" i="9"/>
  <c r="K36" i="16"/>
  <c r="K38" i="15"/>
  <c r="K36" i="11"/>
  <c r="H45" i="15"/>
  <c r="H42" i="15" s="1"/>
  <c r="H43" i="15"/>
  <c r="K31" i="1"/>
  <c r="J32" i="1"/>
  <c r="K32" i="1"/>
  <c r="J31" i="1"/>
  <c r="I45" i="15" l="1"/>
  <c r="K34" i="9"/>
  <c r="K35" i="9"/>
  <c r="K35" i="13"/>
  <c r="K34" i="13"/>
  <c r="H5" i="13" l="1"/>
  <c r="I5" i="13" s="1"/>
  <c r="F17" i="5" s="1"/>
  <c r="L30" i="13"/>
  <c r="L35" i="13"/>
  <c r="K37" i="13"/>
  <c r="H4" i="13"/>
  <c r="L29" i="13"/>
  <c r="L34" i="13"/>
  <c r="L37" i="13" s="1"/>
  <c r="K39" i="13"/>
  <c r="H5" i="9"/>
  <c r="I5" i="9" s="1"/>
  <c r="L35" i="9"/>
  <c r="L30" i="9"/>
  <c r="K37" i="9"/>
  <c r="H4" i="9"/>
  <c r="L34" i="9"/>
  <c r="K39" i="9"/>
  <c r="L29" i="9"/>
  <c r="I42" i="15"/>
  <c r="I43" i="15"/>
  <c r="G36" i="11"/>
  <c r="H36" i="11"/>
  <c r="E17" i="5" l="1"/>
  <c r="L37" i="9"/>
  <c r="J5" i="9"/>
  <c r="L39" i="9"/>
  <c r="L36" i="9" s="1"/>
  <c r="K36" i="9"/>
  <c r="J5" i="13"/>
  <c r="K36" i="13"/>
  <c r="L39" i="13"/>
  <c r="L36" i="13" s="1"/>
  <c r="H6" i="9"/>
  <c r="I4" i="9"/>
  <c r="I4" i="13"/>
  <c r="H6" i="13"/>
  <c r="H5" i="1"/>
  <c r="H4" i="1"/>
  <c r="I6" i="13" l="1"/>
  <c r="F16" i="5"/>
  <c r="J4" i="13"/>
  <c r="E16" i="5"/>
  <c r="J4" i="9"/>
  <c r="I6" i="9"/>
  <c r="H6" i="11"/>
  <c r="H6" i="1"/>
  <c r="C30" i="11"/>
  <c r="C34" i="11" s="1"/>
  <c r="C29" i="11"/>
  <c r="C33" i="11" s="1"/>
  <c r="I36" i="11" l="1"/>
  <c r="F36" i="11"/>
  <c r="E36" i="11"/>
  <c r="D36" i="11"/>
  <c r="C32" i="1" l="1"/>
  <c r="C36" i="1" s="1"/>
  <c r="C31" i="1"/>
  <c r="C35" i="1" s="1"/>
  <c r="I12" i="11" l="1"/>
  <c r="M20" i="11" l="1"/>
  <c r="E5" i="1"/>
  <c r="E4" i="1"/>
  <c r="C45" i="1" l="1"/>
  <c r="H12" i="11" l="1"/>
  <c r="G12" i="11"/>
  <c r="F12" i="11"/>
  <c r="E12" i="11"/>
  <c r="D12" i="11"/>
  <c r="H30" i="11" l="1"/>
  <c r="H29" i="11"/>
  <c r="G30" i="11"/>
  <c r="G29" i="11"/>
  <c r="F30" i="11"/>
  <c r="F29" i="11"/>
  <c r="H18" i="1"/>
  <c r="H32" i="1" s="1"/>
  <c r="H17" i="1"/>
  <c r="H31" i="1" s="1"/>
  <c r="G18" i="1"/>
  <c r="G17" i="1"/>
  <c r="F18" i="1"/>
  <c r="F32" i="1" s="1"/>
  <c r="F17" i="1"/>
  <c r="F31" i="1" s="1"/>
  <c r="G31" i="1" l="1"/>
  <c r="G32" i="1"/>
  <c r="L16" i="11" l="1"/>
  <c r="L15" i="11"/>
  <c r="L29" i="11" l="1"/>
  <c r="L30" i="11"/>
  <c r="L43" i="1"/>
  <c r="L26" i="1"/>
  <c r="L25" i="1"/>
  <c r="L32" i="1" l="1"/>
  <c r="L31" i="1"/>
  <c r="A1" i="5"/>
  <c r="A1" i="11"/>
  <c r="A1" i="12"/>
  <c r="A1" i="1"/>
  <c r="I18" i="1" l="1"/>
  <c r="E18" i="1"/>
  <c r="D18" i="1"/>
  <c r="F5" i="1" l="1"/>
  <c r="I17" i="1"/>
  <c r="D17" i="1"/>
  <c r="E17" i="1"/>
  <c r="F4" i="1" l="1"/>
  <c r="A2" i="12"/>
  <c r="D11" i="11" l="1"/>
  <c r="E11" i="11" s="1"/>
  <c r="F11" i="11" s="1"/>
  <c r="G11" i="11" s="1"/>
  <c r="H11" i="11" s="1"/>
  <c r="I11" i="11" s="1"/>
  <c r="J11" i="11" s="1"/>
  <c r="K11" i="11" s="1"/>
  <c r="L11" i="11" s="1"/>
  <c r="E6" i="1" l="1"/>
  <c r="E31" i="1" l="1"/>
  <c r="E32" i="1"/>
  <c r="D31" i="1" l="1"/>
  <c r="D32" i="1"/>
  <c r="D41" i="1" s="1"/>
  <c r="D40" i="1" l="1"/>
  <c r="D35" i="1"/>
  <c r="D36" i="1"/>
  <c r="E41" i="1" l="1"/>
  <c r="D45" i="1"/>
  <c r="E35" i="1"/>
  <c r="D43" i="1"/>
  <c r="E40" i="1"/>
  <c r="F40" i="1" l="1"/>
  <c r="D42" i="1"/>
  <c r="E43" i="1"/>
  <c r="F35" i="1"/>
  <c r="E30" i="11"/>
  <c r="E29" i="11"/>
  <c r="G40" i="1" l="1"/>
  <c r="G35" i="1"/>
  <c r="D30" i="11"/>
  <c r="D29" i="11"/>
  <c r="E4" i="11"/>
  <c r="H40" i="1" l="1"/>
  <c r="D34" i="11"/>
  <c r="D39" i="11"/>
  <c r="D33" i="11"/>
  <c r="D38" i="11"/>
  <c r="H35" i="1"/>
  <c r="E5" i="11"/>
  <c r="D43" i="11" l="1"/>
  <c r="E38" i="11"/>
  <c r="E33" i="11"/>
  <c r="F33" i="11" l="1"/>
  <c r="F38" i="11"/>
  <c r="D41" i="11"/>
  <c r="E39" i="11"/>
  <c r="E34" i="11"/>
  <c r="D40" i="11"/>
  <c r="G38" i="11" l="1"/>
  <c r="G33" i="11"/>
  <c r="F34" i="11"/>
  <c r="F39" i="11"/>
  <c r="F41" i="11" s="1"/>
  <c r="E43" i="11"/>
  <c r="E41" i="11"/>
  <c r="D5" i="11"/>
  <c r="H33" i="11" l="1"/>
  <c r="H38" i="11"/>
  <c r="D4" i="11"/>
  <c r="E40" i="11"/>
  <c r="F43" i="11"/>
  <c r="G34" i="11"/>
  <c r="G39" i="11"/>
  <c r="G41" i="11" s="1"/>
  <c r="F40" i="11" l="1"/>
  <c r="G43" i="11"/>
  <c r="H39" i="11"/>
  <c r="H41" i="11" s="1"/>
  <c r="H34" i="11"/>
  <c r="D6" i="11"/>
  <c r="F6" i="1"/>
  <c r="B7" i="4"/>
  <c r="F7" i="4"/>
  <c r="D4" i="1" l="1"/>
  <c r="D5" i="1"/>
  <c r="G40" i="11"/>
  <c r="H43" i="11"/>
  <c r="I32" i="1"/>
  <c r="I31" i="1"/>
  <c r="I35" i="1" l="1"/>
  <c r="I40" i="1"/>
  <c r="H40" i="11"/>
  <c r="D6" i="1"/>
  <c r="G4" i="1"/>
  <c r="G5" i="5" l="1"/>
  <c r="G4" i="5"/>
  <c r="A26" i="1"/>
  <c r="H7" i="4" l="1"/>
  <c r="G7" i="4"/>
  <c r="I7" i="4" l="1"/>
  <c r="G5" i="1"/>
  <c r="G6" i="1" l="1"/>
  <c r="E36" i="1" l="1"/>
  <c r="F41" i="1" s="1"/>
  <c r="F36" i="1" l="1"/>
  <c r="G41" i="1" s="1"/>
  <c r="F43" i="1"/>
  <c r="E45" i="1"/>
  <c r="G43" i="1" l="1"/>
  <c r="J40" i="1"/>
  <c r="J35" i="1"/>
  <c r="E42" i="1"/>
  <c r="F45" i="1"/>
  <c r="G36" i="1"/>
  <c r="K40" i="1" l="1"/>
  <c r="F42" i="1"/>
  <c r="G45" i="1"/>
  <c r="H36" i="1"/>
  <c r="H41" i="1"/>
  <c r="H43" i="1" s="1"/>
  <c r="I36" i="1" l="1"/>
  <c r="I41" i="1"/>
  <c r="G42" i="1"/>
  <c r="H45" i="1"/>
  <c r="I45" i="1" l="1"/>
  <c r="H42" i="1"/>
  <c r="J41" i="1" l="1"/>
  <c r="J36" i="1"/>
  <c r="K41" i="1" l="1"/>
  <c r="J45" i="1"/>
  <c r="I42" i="1"/>
  <c r="I43" i="1"/>
  <c r="K35" i="1" l="1"/>
  <c r="L35" i="1" l="1"/>
  <c r="I4" i="1"/>
  <c r="J4" i="1" s="1"/>
  <c r="K4" i="1" l="1"/>
  <c r="J43" i="1" l="1"/>
  <c r="K36" i="1" l="1"/>
  <c r="J42" i="1" l="1"/>
  <c r="K45" i="1"/>
  <c r="I5" i="1"/>
  <c r="K43" i="1"/>
  <c r="L36" i="1"/>
  <c r="I30" i="11"/>
  <c r="I29" i="11"/>
  <c r="I39" i="11" l="1"/>
  <c r="I34" i="11"/>
  <c r="I38" i="11"/>
  <c r="I33" i="11"/>
  <c r="J5" i="1"/>
  <c r="I6" i="1"/>
  <c r="K42" i="1"/>
  <c r="L45" i="1"/>
  <c r="L42" i="1" s="1"/>
  <c r="F6" i="11"/>
  <c r="E6" i="11"/>
  <c r="G5" i="11"/>
  <c r="G4" i="11"/>
  <c r="I43" i="11" l="1"/>
  <c r="I40" i="11" s="1"/>
  <c r="J38" i="11"/>
  <c r="J33" i="11"/>
  <c r="J34" i="11"/>
  <c r="J39" i="11"/>
  <c r="K5" i="1"/>
  <c r="J6" i="1"/>
  <c r="G6" i="11"/>
  <c r="I41" i="11"/>
  <c r="K34" i="11" l="1"/>
  <c r="K33" i="11"/>
  <c r="J43" i="11"/>
  <c r="K39" i="11" l="1"/>
  <c r="J41" i="11"/>
  <c r="J40" i="11"/>
  <c r="K38" i="11"/>
  <c r="I5" i="11" l="1"/>
  <c r="J5" i="11" s="1"/>
  <c r="L34" i="11"/>
  <c r="I4" i="11"/>
  <c r="J4" i="11" s="1"/>
  <c r="L33" i="11"/>
  <c r="L39" i="11"/>
  <c r="K43" i="11"/>
  <c r="K40" i="11" s="1"/>
  <c r="K41" i="11"/>
  <c r="L38" i="11"/>
  <c r="K5" i="11" l="1"/>
  <c r="I6" i="11"/>
  <c r="K4" i="11"/>
  <c r="J6" i="11"/>
  <c r="L41" i="11"/>
  <c r="L43" i="11"/>
  <c r="L40" i="11" s="1"/>
  <c r="D7" i="8" l="1"/>
  <c r="D9" i="8" l="1"/>
  <c r="D13" i="8" s="1"/>
  <c r="D12" i="8" l="1"/>
  <c r="E11" i="5"/>
  <c r="L5" i="5" s="1"/>
  <c r="E10" i="5"/>
  <c r="D14" i="8"/>
  <c r="D15" i="8" s="1"/>
  <c r="E5" i="5" l="1"/>
  <c r="E4" i="5"/>
  <c r="L4" i="5"/>
  <c r="I9" i="4" l="1"/>
  <c r="I10" i="4"/>
  <c r="H10" i="4" l="1"/>
  <c r="H9" i="4"/>
  <c r="K17" i="15" l="1"/>
  <c r="K31" i="15" s="1"/>
  <c r="J18" i="15"/>
  <c r="J32" i="15" l="1"/>
  <c r="J17" i="15"/>
  <c r="K18" i="15" l="1"/>
  <c r="J36" i="15"/>
  <c r="J41" i="15"/>
  <c r="F4" i="15"/>
  <c r="J31" i="15"/>
  <c r="J35" i="15" l="1"/>
  <c r="J40" i="15"/>
  <c r="G4" i="15"/>
  <c r="K32" i="15"/>
  <c r="F5" i="15"/>
  <c r="G5" i="15" s="1"/>
  <c r="K36" i="15" l="1"/>
  <c r="K41" i="15"/>
  <c r="G6" i="15"/>
  <c r="K35" i="15"/>
  <c r="K40" i="15"/>
  <c r="J43" i="15"/>
  <c r="J45" i="15"/>
  <c r="J42" i="15" s="1"/>
  <c r="F6" i="15"/>
  <c r="I5" i="15" l="1"/>
  <c r="J5" i="15" s="1"/>
  <c r="L36" i="15"/>
  <c r="K43" i="15"/>
  <c r="K45" i="15"/>
  <c r="I4" i="15"/>
  <c r="L35" i="15"/>
  <c r="C17" i="5" l="1"/>
  <c r="K5" i="15"/>
  <c r="I6" i="15"/>
  <c r="J4" i="15"/>
  <c r="K42" i="15"/>
  <c r="L45" i="15"/>
  <c r="L42" i="15" s="1"/>
  <c r="J6" i="15" l="1"/>
  <c r="K4" i="15"/>
  <c r="C16" i="5"/>
  <c r="D30" i="16" l="1"/>
  <c r="D39" i="16" s="1"/>
  <c r="D29" i="16"/>
  <c r="D38" i="16" s="1"/>
  <c r="D12" i="16"/>
  <c r="E30" i="16"/>
  <c r="E12" i="16" l="1"/>
  <c r="E29" i="16"/>
  <c r="D34" i="16"/>
  <c r="D33" i="16"/>
  <c r="F30" i="16"/>
  <c r="D43" i="16" l="1"/>
  <c r="D40" i="16" s="1"/>
  <c r="G29" i="16"/>
  <c r="D41" i="16"/>
  <c r="F12" i="16"/>
  <c r="F29" i="16"/>
  <c r="E39" i="16"/>
  <c r="E34" i="16"/>
  <c r="E33" i="16"/>
  <c r="E38" i="16"/>
  <c r="G30" i="16"/>
  <c r="H30" i="16"/>
  <c r="E41" i="16" l="1"/>
  <c r="F33" i="16"/>
  <c r="F38" i="16"/>
  <c r="H12" i="16"/>
  <c r="H29" i="16"/>
  <c r="E43" i="16"/>
  <c r="E40" i="16" s="1"/>
  <c r="G12" i="16"/>
  <c r="F34" i="16"/>
  <c r="F39" i="16"/>
  <c r="F43" i="16" l="1"/>
  <c r="F40" i="16" s="1"/>
  <c r="F41" i="16"/>
  <c r="G39" i="16"/>
  <c r="G34" i="16"/>
  <c r="G38" i="16"/>
  <c r="G33" i="16"/>
  <c r="I30" i="16"/>
  <c r="G43" i="16" l="1"/>
  <c r="G40" i="16" s="1"/>
  <c r="H38" i="16"/>
  <c r="H33" i="16"/>
  <c r="G41" i="16"/>
  <c r="I12" i="16"/>
  <c r="I29" i="16"/>
  <c r="H39" i="16"/>
  <c r="H34" i="16"/>
  <c r="I33" i="16" l="1"/>
  <c r="I38" i="16"/>
  <c r="I34" i="16"/>
  <c r="I39" i="16"/>
  <c r="H43" i="16"/>
  <c r="H40" i="16" s="1"/>
  <c r="H41" i="16"/>
  <c r="I43" i="16" l="1"/>
  <c r="I41" i="16"/>
  <c r="I40" i="16" l="1"/>
  <c r="G10" i="4" l="1"/>
  <c r="G9" i="4"/>
  <c r="F9" i="4" l="1"/>
  <c r="C5" i="4" s="1"/>
  <c r="F10" i="4"/>
  <c r="C6" i="4" s="1"/>
  <c r="C11" i="5" l="1"/>
  <c r="C10" i="5"/>
  <c r="C7" i="4"/>
  <c r="C8" i="4" s="1"/>
  <c r="J5" i="5" l="1"/>
  <c r="J4" i="5"/>
  <c r="C4" i="5"/>
  <c r="C5" i="5"/>
  <c r="D9" i="10" l="1"/>
  <c r="F11" i="5" s="1"/>
  <c r="D8" i="10"/>
  <c r="F10" i="5" l="1"/>
  <c r="D10" i="10"/>
  <c r="D11" i="10" s="1"/>
  <c r="F5" i="5"/>
  <c r="M5" i="5"/>
  <c r="F4" i="5" l="1"/>
  <c r="M4" i="5"/>
  <c r="J23" i="16" l="1"/>
  <c r="J19" i="16"/>
  <c r="J29" i="16" l="1"/>
  <c r="J20" i="16"/>
  <c r="K19" i="16"/>
  <c r="K23" i="16"/>
  <c r="F4" i="16" s="1"/>
  <c r="G4" i="16" l="1"/>
  <c r="J33" i="16"/>
  <c r="J38" i="16"/>
  <c r="K29" i="16"/>
  <c r="M19" i="16"/>
  <c r="E4" i="16" s="1"/>
  <c r="J24" i="16"/>
  <c r="K20" i="16"/>
  <c r="M20" i="16" s="1"/>
  <c r="E5" i="16" s="1"/>
  <c r="E6" i="16" l="1"/>
  <c r="K33" i="16"/>
  <c r="K38" i="16"/>
  <c r="I4" i="16" s="1"/>
  <c r="J4" i="16" s="1"/>
  <c r="J30" i="16"/>
  <c r="J12" i="16"/>
  <c r="K24" i="16"/>
  <c r="K30" i="16" l="1"/>
  <c r="K12" i="16"/>
  <c r="J34" i="16"/>
  <c r="J39" i="16"/>
  <c r="J43" i="16" s="1"/>
  <c r="D16" i="5"/>
  <c r="F5" i="16"/>
  <c r="L38" i="16"/>
  <c r="L33" i="16"/>
  <c r="K4" i="16" s="1"/>
  <c r="J40" i="16" l="1"/>
  <c r="K39" i="16"/>
  <c r="K41" i="16" s="1"/>
  <c r="K34" i="16"/>
  <c r="G5" i="16"/>
  <c r="F6" i="16"/>
  <c r="J41" i="16"/>
  <c r="K43" i="16" l="1"/>
  <c r="K40" i="16" s="1"/>
  <c r="I5" i="16"/>
  <c r="I6" i="16" s="1"/>
  <c r="G6" i="16"/>
  <c r="L39" i="16"/>
  <c r="L34" i="16"/>
  <c r="L43" i="16" l="1"/>
  <c r="L40" i="16" s="1"/>
  <c r="J5" i="16"/>
  <c r="D17" i="5" s="1"/>
  <c r="L41" i="16"/>
  <c r="C6" i="12"/>
  <c r="B6" i="12"/>
  <c r="K5" i="16" l="1"/>
  <c r="J6" i="16"/>
  <c r="D10" i="5"/>
  <c r="K4" i="5" l="1"/>
  <c r="D4" i="5"/>
  <c r="B7" i="12"/>
  <c r="B8" i="12" s="1"/>
  <c r="C7" i="12"/>
  <c r="D11" i="5" l="1"/>
  <c r="C8" i="12"/>
  <c r="H4" i="5"/>
  <c r="K5" i="5" l="1"/>
  <c r="D5" i="5"/>
  <c r="H5" i="5" l="1"/>
</calcChain>
</file>

<file path=xl/sharedStrings.xml><?xml version="1.0" encoding="utf-8"?>
<sst xmlns="http://schemas.openxmlformats.org/spreadsheetml/2006/main" count="378" uniqueCount="149">
  <si>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</si>
  <si>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</si>
  <si>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</si>
  <si>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</si>
  <si>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</si>
  <si>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</si>
  <si>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</si>
  <si>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</si>
  <si>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</si>
  <si>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</si>
  <si>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</si>
  <si>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</si>
  <si>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</si>
  <si>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</si>
  <si>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</si>
  <si>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</si>
  <si>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</si>
  <si>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</si>
  <si>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</si>
  <si>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</si>
  <si>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</si>
  <si>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</si>
  <si>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</si>
  <si>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</si>
  <si>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</si>
  <si>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</si>
  <si>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</si>
  <si>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</si>
  <si>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</si>
  <si>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</si>
  <si>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</si>
  <si>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</si>
  <si>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</si>
  <si>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</si>
  <si>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</si>
  <si>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</si>
  <si>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</si>
  <si>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</si>
  <si>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</si>
  <si>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</si>
  <si>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</si>
  <si>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</si>
  <si>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</si>
  <si>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</si>
  <si>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</si>
  <si>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</si>
  <si>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</si>
  <si>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</si>
  <si>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</si>
  <si>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</si>
  <si>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</si>
  <si>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</si>
  <si>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</si>
  <si>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</si>
  <si>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</si>
  <si>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</si>
  <si>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</si>
  <si>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</si>
  <si>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</si>
  <si>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</si>
  <si>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</si>
  <si>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</si>
  <si>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</si>
  <si>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</si>
  <si>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</si>
  <si>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</si>
  <si>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</si>
  <si>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</si>
  <si>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</si>
  <si>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</si>
  <si>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TD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</si>
  <si>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</si>
  <si>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</si>
  <si>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</si>
  <si>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</si>
  <si>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</si>
  <si>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</si>
  <si>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</si>
  <si>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</si>
  <si>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</si>
  <si>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</si>
  <si>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</si>
  <si>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</si>
  <si>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</si>
  <si>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</si>
  <si>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Program Costs (PPC) Calculation</t>
  </si>
  <si>
    <t>Cycle 1 Throughput Disincentive TD-NSB Reconciliation (TDR) Calculation</t>
  </si>
  <si>
    <t>Cycle 2 Projected Throughput Disincentive (PTD) TD Calculation</t>
  </si>
  <si>
    <t>1. Forecasted kWh Sales Impact</t>
  </si>
  <si>
    <t>3. kWh Sales Impact</t>
  </si>
  <si>
    <t>4. Actual/Forecasted TD-NSB</t>
  </si>
  <si>
    <t>5. Total monthly interest - Source: calculated</t>
  </si>
  <si>
    <t>7. Actual TD-NSB rate component of the tariff rate</t>
  </si>
  <si>
    <t>7. Current Tariff Rate</t>
  </si>
  <si>
    <t>4. Actual/Forecasted TD</t>
  </si>
  <si>
    <t>7. Actual TD rate component of the tariff rate</t>
  </si>
  <si>
    <t>Cumulative kWh Sales Impact</t>
  </si>
  <si>
    <t>Cycle 1 Earnings Opportunity (EO) Calculation</t>
  </si>
  <si>
    <t>Cycle 1 Ordered Adjustment (OA) Calculation</t>
  </si>
  <si>
    <t>EO Rate</t>
  </si>
  <si>
    <t>OA Rate</t>
  </si>
  <si>
    <t>1. Calculated Performance Incentive</t>
  </si>
  <si>
    <t>2. Performance Incentive Award</t>
  </si>
  <si>
    <t>5. Allocation % - Calculated % of Residential and Non-Residential kWh Savings to Total Savings.</t>
  </si>
  <si>
    <t>3. Performance Incentive Award Recovery in Effective Period</t>
  </si>
  <si>
    <t>4. Verified kWh Savings</t>
  </si>
  <si>
    <t>5. Allocation %</t>
  </si>
  <si>
    <t>1. Ordered Adjustment</t>
  </si>
  <si>
    <t>2. Carrying Costs on OA</t>
  </si>
  <si>
    <t>Cycle 1 Earnings Opportunity Reconciliation (EOR) Calculation</t>
  </si>
  <si>
    <t>1. Actual/Forecasted Earnings Opportunity</t>
  </si>
  <si>
    <t>2. Actual Revenues - EO Only</t>
  </si>
  <si>
    <t>4. Short-Term Interest Rate</t>
  </si>
  <si>
    <t>3. Actual/Forecasted EO Amortization</t>
  </si>
  <si>
    <t>Cycle 1 Ordered Adjustments Reconciliation (OAR) Calculation</t>
  </si>
  <si>
    <t>2. Actual Revenues - OA Only</t>
  </si>
  <si>
    <t>1. Actual/Forecasted Ordered Adjustments</t>
  </si>
  <si>
    <t>3. Actual/Forecasted Ordered Adjustments</t>
  </si>
  <si>
    <t>1. &amp; 4. Actual monthly TD-NSB - Source: None
    Forecasted monthly TD-NSB - Source: None</t>
  </si>
  <si>
    <t>3. Energy Savings (kWh) - Source: none</t>
  </si>
  <si>
    <t>1. &amp; 4. Actual monthly EO - Source: PI Annuity Calc KCPL.xlsx
    Forecasted monthly TD-NSB - Source: PI Annuity Calc KCPL.xlsx</t>
  </si>
  <si>
    <t>3. Actual/Forecasted EO Amortization - Source:  PI Annuity Calc KCPL.xlsx</t>
  </si>
  <si>
    <t>7. Actual EO rate component of the tariff rate</t>
  </si>
  <si>
    <t>Res/Non-Res Allocation - Verified kWh Savings from EM&amp;V</t>
  </si>
  <si>
    <t>Kansas City Power &amp; Light Company - DSIM Rider Update Filed 06/01/2018</t>
  </si>
  <si>
    <t>Projections for Cycle 2 August 2018 - January 2019 DSIM</t>
  </si>
  <si>
    <t>Cumulative Over/Under Carryover From 12/01/2017 Filing</t>
  </si>
  <si>
    <t>Reverse Nov-17 - January-18  Forecast From 12/01/2017 Filing</t>
  </si>
  <si>
    <t>None</t>
  </si>
  <si>
    <t>5. Monthly Short-Term Borrowing Rate - Source: KCPL Short-Term Borrowing Rate November 2017 - April 2018.xlsx</t>
  </si>
  <si>
    <t>3. Actual monthly billed revenues by Residential/Non-Residential (program cost revenues only) - KCPLMO MEEIA 2017 Revenue Analysis.xlsx, KCPLMO MEEIA 2018 Revenue Analysis.xlsx
    Forecasted monthly billed revenues by Residential/Non-Residential (program cost revenues only) - Source: calculated = Forecasted billed kWh sales X tariff rate</t>
  </si>
  <si>
    <t>1. Actual monthly program costs by allocation bucket Residential, Non-Residential, Low Income, Common/General, Programmable Thermostat) - Source: None</t>
  </si>
  <si>
    <t>2. Actual monthly kWh billed sales by Residential/Non-Residential (reduced for opt-out) - Source: KCPLMO MEEIA 2017 Revenue Analysis.xlsx, KCPLMO MEEIA 2018 Revenue Analysis.xlsx
    Forecasted monthly kWh billed sales by Residential/Non-Residential (reduced for opt-out) - Source: Billed kWh Budget KCPL 2018-2019.xlsx</t>
  </si>
  <si>
    <t>2. Actual monthly billed revenues by Residential/Non-Residential (TD-NSB revenues only) - KCPLMO MEEIA 2017 Revenue Analysis.xlsx, KCPLMO MEEIA 2018 Revenue Analysis.xlsx
Forecasted monthly billed revenues by Residential/Non-Residential (TD-NSB revenues only) - Source: calculated = Forecasted billed kWh sales X tariff rate</t>
  </si>
  <si>
    <t>2. Actual monthly billed revenues by Residential/Non-Residential (TD revenues only) - KCPLMO MEEIA 2017 Revenue Analysis.xlsx, KCPLMO MEEIA 2018 Revenue Analysis.xlsx
Forecasted monthly billed revenues by Residential/Non-Residential (TD revenues only) - Source: calculated = Forecasted billed kWh sales X tariff rate</t>
  </si>
  <si>
    <t>EO Fully amortized into rates over 18 months beginning February 1, 2017 - July 31, 2018.</t>
  </si>
  <si>
    <t>2. Actual monthly kWh billed sales by Residential/Non-Residential (reduced for opt-out) - Source: KCPLMO MEEIA 2017 Revenue Analysis.xlsx, KCPLMO MEEIA 2018 Revenue Analysis.xlsx
    Forecasted monthly kWh billed sales by Residential/Non-Residential (reduced for opt-out) - Source:Billed kWh Budget KCPL 2018-2019.xlsx</t>
  </si>
  <si>
    <t>2. Forecasted program costs by allocation bucket (Residential, Non-Residential, Income-Eligible, Common/General) - Source: KCPL MEEIA Cycle 2 Forecast 2017-2019 042018 actuals 05092018.xlsx</t>
  </si>
  <si>
    <t>1. Actual monthly program costs by allocation bucket Residential, Non-Residential, Income-Eligible, Common/General) - Source: SI Projects 112017-042018 KCPL.xlsx
    Forecasted monthly program costs by allocation bucket - Source: KCPL MEEIA Cycle 2 Forecast 2017-2019 042018 actuals 05092018.xlsx</t>
  </si>
  <si>
    <t>2. Forecasted Throughput Disincentive - Source: KCPL MEEIA Cycle 2 Forecast 2017-2019 042018 actuals 05092018.xlsx</t>
  </si>
  <si>
    <t>1. &amp; 4. Actual monthly TD - Source: TD Model KCPL-MO 042018 final 05082018.xlsx
    Forecasted monthly TD - Source: KCPL MEEIA Cycle 2 Forecast 2017-2019 042018 actuals 05092018.xlsx</t>
  </si>
  <si>
    <t>3. Actual kWh Sales Impact - Source:  TD Model KCPL-MO 042018 final 05082018.xls
    Forecasted kWh Sales Impact - Source: KCPL MEEIA Cycle 2 Forecast 2017-2019 042018 actuals 05092018.xlsx</t>
  </si>
  <si>
    <t>1. Calculated Performance Incentive - Source: None</t>
  </si>
  <si>
    <t>2. Performance Incentive Award - Source:  None</t>
  </si>
  <si>
    <t>3. Performance Incentive Award Recovery in Effective Period - None</t>
  </si>
  <si>
    <t>4. Verified kWh Savings per final EM&amp;V Report summarized by Residential/Non-Residential programs - Source: None</t>
  </si>
  <si>
    <t>2. Actual Revenues - OA Only - Source: KCPLMO MEEIA 2018 Revenue Analysis.xlsx</t>
  </si>
  <si>
    <t>1. Forecasted Residential/Non-Residential kWh savings  - Source: KCPL MEEIA Cycle 2 Forecast 2017-2019 042018 actuals 05092018.xlsx</t>
  </si>
  <si>
    <t>1. Forecasted kWh by Residential/Non-Residential (Reduced for Opt-Out) - Source: Billed kWh Budget KCPL 2018-2019.xlsx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</si>
</sst>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%"/>
    <numFmt numFmtId="169" formatCode="0.0000%"/>
    <numFmt numFmtId="170" formatCode="_(&quot;$&quot;* #,##0.00000_);_(&quot;$&quot;* \(#,##0.00000\);_(&quot;$&quot;* &quot;-&quot;?????_);_(@_)"/>
    <numFmt numFmtId="171" formatCode="0.000000%"/>
    <numFmt numFmtId="172" formatCode="_(&quot;$&quot;* #,##0.0_);_(&quot;$&quot;* \(#,##0.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6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244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168" fontId="0" fillId="0" borderId="0" xfId="2" applyNumberFormat="1" applyFont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9" fontId="0" fillId="0" borderId="9" xfId="0" applyNumberFormat="1" applyBorder="1"/>
    <xf numFmtId="170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6" fillId="6" borderId="2" xfId="1" applyNumberFormat="1" applyFont="1" applyFill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171" fontId="0" fillId="0" borderId="0" xfId="2" applyNumberFormat="1" applyFont="1" applyBorder="1"/>
    <xf numFmtId="171" fontId="0" fillId="0" borderId="9" xfId="2" applyNumberFormat="1" applyFont="1" applyBorder="1"/>
    <xf numFmtId="171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0" fontId="30" fillId="0" borderId="3" xfId="0" applyFont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1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1" fontId="0" fillId="0" borderId="9" xfId="0" applyNumberFormat="1" applyFill="1" applyBorder="1"/>
    <xf numFmtId="164" fontId="0" fillId="0" borderId="7" xfId="0" applyNumberFormat="1" applyFill="1" applyBorder="1"/>
    <xf numFmtId="171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1" fontId="10" fillId="0" borderId="6" xfId="0" applyNumberFormat="1" applyFont="1" applyBorder="1" applyAlignment="1">
      <alignment vertical="center"/>
    </xf>
    <xf numFmtId="170" fontId="10" fillId="0" borderId="6" xfId="0" applyNumberFormat="1" applyFont="1" applyFill="1" applyBorder="1" applyAlignment="1">
      <alignment vertical="center"/>
    </xf>
    <xf numFmtId="170" fontId="0" fillId="0" borderId="0" xfId="0" applyNumberFormat="1" applyFill="1" applyAlignment="1"/>
    <xf numFmtId="170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0" fontId="8" fillId="0" borderId="0" xfId="0" applyFont="1" applyAlignment="1">
      <alignment horizontal="left" vertical="center" wrapText="1"/>
    </xf>
    <xf numFmtId="42" fontId="5" fillId="5" borderId="1" xfId="6" applyNumberFormat="1" applyBorder="1"/>
    <xf numFmtId="44" fontId="6" fillId="6" borderId="54" xfId="7" applyNumberFormat="1" applyBorder="1"/>
    <xf numFmtId="165" fontId="5" fillId="0" borderId="11" xfId="6" applyNumberFormat="1" applyFill="1" applyBorder="1"/>
    <xf numFmtId="43" fontId="5" fillId="0" borderId="12" xfId="1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0" fillId="39" borderId="19" xfId="0" applyFill="1" applyBorder="1" applyAlignment="1">
      <alignment horizontal="center" wrapText="1"/>
    </xf>
    <xf numFmtId="43" fontId="8" fillId="0" borderId="0" xfId="1" applyNumberFormat="1" applyFont="1" applyAlignment="1">
      <alignment horizontal="center"/>
    </xf>
    <xf numFmtId="10" fontId="5" fillId="5" borderId="1" xfId="2" applyNumberFormat="1" applyFont="1" applyFill="1" applyBorder="1"/>
    <xf numFmtId="10" fontId="14" fillId="7" borderId="1" xfId="2" applyNumberFormat="1" applyFont="1" applyFill="1" applyBorder="1"/>
    <xf numFmtId="42" fontId="8" fillId="0" borderId="0" xfId="1" applyNumberFormat="1" applyFont="1" applyAlignment="1">
      <alignment horizontal="center"/>
    </xf>
    <xf numFmtId="42" fontId="11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32" fillId="3" borderId="20" xfId="4" applyFont="1" applyBorder="1" applyAlignment="1"/>
    <xf numFmtId="0" fontId="32" fillId="3" borderId="4" xfId="4" applyFont="1" applyBorder="1" applyAlignment="1"/>
    <xf numFmtId="165" fontId="4" fillId="4" borderId="55" xfId="5" applyNumberFormat="1" applyBorder="1"/>
    <xf numFmtId="41" fontId="4" fillId="4" borderId="56" xfId="5" applyNumberFormat="1" applyBorder="1"/>
    <xf numFmtId="165" fontId="4" fillId="4" borderId="56" xfId="5" applyNumberFormat="1" applyBorder="1"/>
    <xf numFmtId="165" fontId="4" fillId="4" borderId="57" xfId="11" applyNumberFormat="1" applyFont="1" applyFill="1" applyBorder="1"/>
    <xf numFmtId="165" fontId="14" fillId="7" borderId="52" xfId="13" applyNumberFormat="1" applyBorder="1"/>
    <xf numFmtId="44" fontId="6" fillId="6" borderId="58" xfId="7" applyNumberFormat="1" applyBorder="1"/>
    <xf numFmtId="44" fontId="6" fillId="6" borderId="59" xfId="7" applyNumberFormat="1" applyBorder="1"/>
    <xf numFmtId="165" fontId="5" fillId="5" borderId="14" xfId="6" applyNumberFormat="1" applyBorder="1"/>
    <xf numFmtId="0" fontId="7" fillId="0" borderId="10" xfId="8" applyBorder="1"/>
    <xf numFmtId="165" fontId="5" fillId="5" borderId="33" xfId="6" applyNumberFormat="1" applyBorder="1"/>
    <xf numFmtId="44" fontId="0" fillId="0" borderId="10" xfId="0" applyNumberFormat="1" applyFill="1" applyBorder="1"/>
    <xf numFmtId="44" fontId="7" fillId="0" borderId="10" xfId="8" applyNumberFormat="1" applyFill="1" applyBorder="1"/>
    <xf numFmtId="41" fontId="5" fillId="5" borderId="14" xfId="6" applyNumberFormat="1" applyBorder="1"/>
    <xf numFmtId="165" fontId="5" fillId="0" borderId="10" xfId="6" applyNumberFormat="1" applyFill="1" applyBorder="1"/>
    <xf numFmtId="165" fontId="5" fillId="5" borderId="60" xfId="11" applyNumberFormat="1" applyFont="1" applyFill="1" applyBorder="1"/>
    <xf numFmtId="165" fontId="5" fillId="0" borderId="10" xfId="11" applyNumberFormat="1" applyFont="1" applyFill="1" applyBorder="1"/>
    <xf numFmtId="10" fontId="5" fillId="0" borderId="10" xfId="2" applyNumberFormat="1" applyFont="1" applyFill="1" applyBorder="1"/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4" xfId="0" applyFont="1" applyBorder="1" applyAlignment="1"/>
    <xf numFmtId="165" fontId="4" fillId="4" borderId="56" xfId="11" applyNumberFormat="1" applyFont="1" applyFill="1" applyBorder="1"/>
    <xf numFmtId="3" fontId="4" fillId="4" borderId="56" xfId="5" applyNumberFormat="1" applyBorder="1"/>
    <xf numFmtId="165" fontId="4" fillId="4" borderId="57" xfId="5" applyNumberFormat="1" applyBorder="1"/>
    <xf numFmtId="42" fontId="5" fillId="5" borderId="14" xfId="1" applyNumberFormat="1" applyFont="1" applyFill="1" applyBorder="1"/>
    <xf numFmtId="165" fontId="5" fillId="5" borderId="21" xfId="11" applyNumberFormat="1" applyFont="1" applyFill="1" applyBorder="1"/>
    <xf numFmtId="42" fontId="5" fillId="5" borderId="14" xfId="6" applyNumberFormat="1" applyBorder="1"/>
    <xf numFmtId="41" fontId="5" fillId="5" borderId="23" xfId="6" applyNumberFormat="1" applyBorder="1"/>
    <xf numFmtId="41" fontId="5" fillId="5" borderId="33" xfId="6" applyNumberFormat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41" fontId="5" fillId="5" borderId="61" xfId="6" applyNumberFormat="1" applyBorder="1"/>
    <xf numFmtId="42" fontId="5" fillId="5" borderId="13" xfId="6" applyNumberFormat="1" applyBorder="1"/>
    <xf numFmtId="42" fontId="5" fillId="37" borderId="22" xfId="6" applyNumberFormat="1" applyFill="1" applyBorder="1"/>
    <xf numFmtId="41" fontId="5" fillId="5" borderId="62" xfId="6" applyNumberFormat="1" applyBorder="1"/>
    <xf numFmtId="10" fontId="8" fillId="0" borderId="0" xfId="0" applyNumberFormat="1" applyFont="1" applyAlignment="1">
      <alignment horizontal="center" wrapText="1"/>
    </xf>
    <xf numFmtId="44" fontId="33" fillId="0" borderId="0" xfId="1" applyNumberFormat="1" applyFont="1" applyAlignment="1">
      <alignment horizontal="right"/>
    </xf>
    <xf numFmtId="172" fontId="14" fillId="7" borderId="13" xfId="13" applyNumberFormat="1" applyBorder="1"/>
    <xf numFmtId="171" fontId="0" fillId="0" borderId="0" xfId="0" applyNumberFormat="1"/>
    <xf numFmtId="171" fontId="0" fillId="0" borderId="0" xfId="2" applyNumberFormat="1" applyFont="1" applyFill="1" applyBorder="1"/>
    <xf numFmtId="0" fontId="8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  <xf numFmtId="170" fontId="10" fillId="0" borderId="3" xfId="0" applyNumberFormat="1" applyFont="1" applyFill="1" applyBorder="1" applyAlignment="1">
      <alignment vertical="center"/>
    </xf>
  </cellXfs>
  <cellStyles count="302">
    <cellStyle name="20% - Accent1" xfId="24" builtinId="30" customBuiltin="1"/>
    <cellStyle name="20% - Accent1 2" xfId="54"/>
    <cellStyle name="20% - Accent2" xfId="28" builtinId="34" customBuiltin="1"/>
    <cellStyle name="20% - Accent2 2" xfId="56"/>
    <cellStyle name="20% - Accent3" xfId="32" builtinId="38" customBuiltin="1"/>
    <cellStyle name="20% - Accent3 2" xfId="58"/>
    <cellStyle name="20% - Accent4" xfId="36" builtinId="42" customBuiltin="1"/>
    <cellStyle name="20% - Accent4 2" xfId="60"/>
    <cellStyle name="20% - Accent5" xfId="40" builtinId="46" customBuiltin="1"/>
    <cellStyle name="20% - Accent5 2" xfId="62"/>
    <cellStyle name="20% - Accent6" xfId="44" builtinId="50" customBuiltin="1"/>
    <cellStyle name="20% - Accent6 2" xfId="64"/>
    <cellStyle name="40% - Accent1" xfId="25" builtinId="31" customBuiltin="1"/>
    <cellStyle name="40% - Accent1 2" xfId="55"/>
    <cellStyle name="40% - Accent2" xfId="29" builtinId="35" customBuiltin="1"/>
    <cellStyle name="40% - Accent2 2" xfId="57"/>
    <cellStyle name="40% - Accent3" xfId="33" builtinId="39" customBuiltin="1"/>
    <cellStyle name="40% - Accent3 2" xfId="59"/>
    <cellStyle name="40% - Accent4" xfId="37" builtinId="43" customBuiltin="1"/>
    <cellStyle name="40% - Accent4 2" xfId="61"/>
    <cellStyle name="40% - Accent5" xfId="41" builtinId="47" customBuiltin="1"/>
    <cellStyle name="40% - Accent5 2" xfId="63"/>
    <cellStyle name="40% - Accent6" xfId="45" builtinId="51" customBuiltin="1"/>
    <cellStyle name="40% - Accent6 2" xfId="65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/>
    <cellStyle name="Comma 2 2" xfId="282"/>
    <cellStyle name="Comma 3" xfId="66"/>
    <cellStyle name="Comma 3 2" xfId="9"/>
    <cellStyle name="Comma 4" xfId="192"/>
    <cellStyle name="Comma 5" xfId="52"/>
    <cellStyle name="Currency" xfId="11" builtinId="4"/>
    <cellStyle name="Currency [0] 2" xfId="114"/>
    <cellStyle name="Currency [0] 2 2" xfId="203"/>
    <cellStyle name="Currency 10" xfId="193"/>
    <cellStyle name="Currency 11" xfId="112"/>
    <cellStyle name="Currency 12" xfId="197"/>
    <cellStyle name="Currency 13" xfId="50"/>
    <cellStyle name="Currency 13 2" xfId="288"/>
    <cellStyle name="Currency 14" xfId="285"/>
    <cellStyle name="Currency 15" xfId="289"/>
    <cellStyle name="Currency 16" xfId="291"/>
    <cellStyle name="Currency 17" xfId="292"/>
    <cellStyle name="Currency 18" xfId="293"/>
    <cellStyle name="Currency 19" xfId="294"/>
    <cellStyle name="Currency 2" xfId="69"/>
    <cellStyle name="Currency 2 2" xfId="111"/>
    <cellStyle name="Currency 2 2 2" xfId="202"/>
    <cellStyle name="Currency 2 3" xfId="280"/>
    <cellStyle name="Currency 20" xfId="295"/>
    <cellStyle name="Currency 21" xfId="296"/>
    <cellStyle name="Currency 22" xfId="297"/>
    <cellStyle name="Currency 3" xfId="67"/>
    <cellStyle name="Currency 3 2" xfId="279"/>
    <cellStyle name="Currency 4" xfId="115"/>
    <cellStyle name="Currency 4 2" xfId="204"/>
    <cellStyle name="Currency 4 3" xfId="281"/>
    <cellStyle name="Currency 5" xfId="116"/>
    <cellStyle name="Currency 5 2" xfId="205"/>
    <cellStyle name="Currency 6" xfId="117"/>
    <cellStyle name="Currency 6 2" xfId="206"/>
    <cellStyle name="Currency 7" xfId="118"/>
    <cellStyle name="Currency 7 2" xfId="207"/>
    <cellStyle name="Currency 8" xfId="194"/>
    <cellStyle name="Currency 9" xfId="195"/>
    <cellStyle name="Data Field" xfId="119"/>
    <cellStyle name="Data Field 2" xfId="208"/>
    <cellStyle name="Data Name" xfId="120"/>
    <cellStyle name="Data Name 2" xfId="209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/>
    <cellStyle name="Hyperlink 3" xfId="122"/>
    <cellStyle name="Hyperlink 4" xfId="300"/>
    <cellStyle name="Hyperlink 5" xfId="298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/>
    <cellStyle name="Normal 10 2" xfId="124"/>
    <cellStyle name="Normal 10 2 2" xfId="211"/>
    <cellStyle name="Normal 10 3" xfId="210"/>
    <cellStyle name="Normal 11" xfId="125"/>
    <cellStyle name="Normal 11 2" xfId="212"/>
    <cellStyle name="Normal 12" xfId="126"/>
    <cellStyle name="Normal 12 2" xfId="213"/>
    <cellStyle name="Normal 13" xfId="127"/>
    <cellStyle name="Normal 13 2" xfId="214"/>
    <cellStyle name="Normal 14" xfId="128"/>
    <cellStyle name="Normal 14 2" xfId="215"/>
    <cellStyle name="Normal 15" xfId="129"/>
    <cellStyle name="Normal 16" xfId="130"/>
    <cellStyle name="Normal 16 2" xfId="216"/>
    <cellStyle name="Normal 17" xfId="48"/>
    <cellStyle name="Normal 18" xfId="131"/>
    <cellStyle name="Normal 18 2" xfId="217"/>
    <cellStyle name="Normal 19" xfId="132"/>
    <cellStyle name="Normal 19 2" xfId="218"/>
    <cellStyle name="Normal 2" xfId="51"/>
    <cellStyle name="Normal 2 2" xfId="71"/>
    <cellStyle name="Normal 2 2 2" xfId="72"/>
    <cellStyle name="Normal 2 2 3" xfId="73"/>
    <cellStyle name="Normal 2 2 4" xfId="74"/>
    <cellStyle name="Normal 2 2 5" xfId="75"/>
    <cellStyle name="Normal 2 2 6" xfId="76"/>
    <cellStyle name="Normal 2 2 7" xfId="77"/>
    <cellStyle name="Normal 2 2 8" xfId="78"/>
    <cellStyle name="Normal 2 2 9" xfId="79"/>
    <cellStyle name="Normal 2 3" xfId="80"/>
    <cellStyle name="Normal 2 4" xfId="81"/>
    <cellStyle name="Normal 2 4 2" xfId="82"/>
    <cellStyle name="Normal 2 5" xfId="110"/>
    <cellStyle name="Normal 2 5 2" xfId="201"/>
    <cellStyle name="Normal 2 6" xfId="47"/>
    <cellStyle name="Normal 2 6 2" xfId="70"/>
    <cellStyle name="Normal 2 7" xfId="299"/>
    <cellStyle name="Normal 26" xfId="106"/>
    <cellStyle name="Normal 26 2" xfId="199"/>
    <cellStyle name="Normal 27" xfId="107"/>
    <cellStyle name="Normal 27 2" xfId="200"/>
    <cellStyle name="Normal 28" xfId="133"/>
    <cellStyle name="Normal 28 2" xfId="219"/>
    <cellStyle name="Normal 3" xfId="83"/>
    <cellStyle name="Normal 3 2" xfId="84"/>
    <cellStyle name="Normal 3 2 2" xfId="85"/>
    <cellStyle name="Normal 3 2 3" xfId="86"/>
    <cellStyle name="Normal 3 2 4" xfId="87"/>
    <cellStyle name="Normal 3 2 5" xfId="88"/>
    <cellStyle name="Normal 3 2 6" xfId="89"/>
    <cellStyle name="Normal 3 2 7" xfId="90"/>
    <cellStyle name="Normal 3 2 8" xfId="91"/>
    <cellStyle name="Normal 3 2 9" xfId="92"/>
    <cellStyle name="Normal 3 3" xfId="108"/>
    <cellStyle name="Normal 3 40" xfId="109"/>
    <cellStyle name="Normal 33" xfId="277"/>
    <cellStyle name="Normal 35" xfId="301"/>
    <cellStyle name="Normal 36" xfId="134"/>
    <cellStyle name="Normal 36 2" xfId="220"/>
    <cellStyle name="Normal 37" xfId="135"/>
    <cellStyle name="Normal 37 2" xfId="221"/>
    <cellStyle name="Normal 38" xfId="136"/>
    <cellStyle name="Normal 38 2" xfId="222"/>
    <cellStyle name="Normal 39" xfId="137"/>
    <cellStyle name="Normal 39 2" xfId="223"/>
    <cellStyle name="Normal 4" xfId="10"/>
    <cellStyle name="Normal 4 2" xfId="94"/>
    <cellStyle name="Normal 4 3" xfId="93"/>
    <cellStyle name="Normal 4 4" xfId="278"/>
    <cellStyle name="Normal 40" xfId="138"/>
    <cellStyle name="Normal 40 2" xfId="224"/>
    <cellStyle name="Normal 41" xfId="139"/>
    <cellStyle name="Normal 41 2" xfId="225"/>
    <cellStyle name="Normal 42" xfId="140"/>
    <cellStyle name="Normal 42 2" xfId="226"/>
    <cellStyle name="Normal 43" xfId="141"/>
    <cellStyle name="Normal 43 2" xfId="227"/>
    <cellStyle name="Normal 44" xfId="142"/>
    <cellStyle name="Normal 44 2" xfId="228"/>
    <cellStyle name="Normal 45" xfId="143"/>
    <cellStyle name="Normal 45 2" xfId="229"/>
    <cellStyle name="Normal 46" xfId="144"/>
    <cellStyle name="Normal 46 2" xfId="230"/>
    <cellStyle name="Normal 47" xfId="145"/>
    <cellStyle name="Normal 47 2" xfId="231"/>
    <cellStyle name="Normal 48" xfId="146"/>
    <cellStyle name="Normal 48 2" xfId="232"/>
    <cellStyle name="Normal 49" xfId="147"/>
    <cellStyle name="Normal 49 2" xfId="233"/>
    <cellStyle name="Normal 5" xfId="95"/>
    <cellStyle name="Normal 5 2" xfId="96"/>
    <cellStyle name="Normal 5 3" xfId="97"/>
    <cellStyle name="Normal 5 4" xfId="98"/>
    <cellStyle name="Normal 50" xfId="148"/>
    <cellStyle name="Normal 50 2" xfId="234"/>
    <cellStyle name="Normal 51" xfId="149"/>
    <cellStyle name="Normal 51 2" xfId="235"/>
    <cellStyle name="Normal 52" xfId="150"/>
    <cellStyle name="Normal 52 2" xfId="236"/>
    <cellStyle name="Normal 53" xfId="151"/>
    <cellStyle name="Normal 53 2" xfId="237"/>
    <cellStyle name="Normal 54" xfId="152"/>
    <cellStyle name="Normal 54 2" xfId="238"/>
    <cellStyle name="Normal 55" xfId="153"/>
    <cellStyle name="Normal 55 2" xfId="239"/>
    <cellStyle name="Normal 56" xfId="154"/>
    <cellStyle name="Normal 56 2" xfId="240"/>
    <cellStyle name="Normal 57" xfId="155"/>
    <cellStyle name="Normal 57 2" xfId="241"/>
    <cellStyle name="Normal 58" xfId="156"/>
    <cellStyle name="Normal 58 2" xfId="242"/>
    <cellStyle name="Normal 59" xfId="157"/>
    <cellStyle name="Normal 59 2" xfId="243"/>
    <cellStyle name="Normal 6" xfId="99"/>
    <cellStyle name="Normal 6 2" xfId="100"/>
    <cellStyle name="Normal 6 3" xfId="101"/>
    <cellStyle name="Normal 60" xfId="158"/>
    <cellStyle name="Normal 60 2" xfId="244"/>
    <cellStyle name="Normal 61" xfId="159"/>
    <cellStyle name="Normal 61 2" xfId="245"/>
    <cellStyle name="Normal 62" xfId="160"/>
    <cellStyle name="Normal 62 2" xfId="246"/>
    <cellStyle name="Normal 63" xfId="161"/>
    <cellStyle name="Normal 63 2" xfId="247"/>
    <cellStyle name="Normal 64" xfId="162"/>
    <cellStyle name="Normal 64 2" xfId="248"/>
    <cellStyle name="Normal 65" xfId="163"/>
    <cellStyle name="Normal 65 2" xfId="249"/>
    <cellStyle name="Normal 66" xfId="164"/>
    <cellStyle name="Normal 66 2" xfId="250"/>
    <cellStyle name="Normal 67" xfId="165"/>
    <cellStyle name="Normal 67 2" xfId="251"/>
    <cellStyle name="Normal 69" xfId="166"/>
    <cellStyle name="Normal 69 2" xfId="252"/>
    <cellStyle name="Normal 7" xfId="102"/>
    <cellStyle name="Normal 70" xfId="167"/>
    <cellStyle name="Normal 70 2" xfId="253"/>
    <cellStyle name="Normal 71" xfId="168"/>
    <cellStyle name="Normal 71 2" xfId="254"/>
    <cellStyle name="Normal 72" xfId="169"/>
    <cellStyle name="Normal 72 2" xfId="255"/>
    <cellStyle name="Normal 73" xfId="170"/>
    <cellStyle name="Normal 73 2" xfId="256"/>
    <cellStyle name="Normal 74" xfId="171"/>
    <cellStyle name="Normal 74 2" xfId="257"/>
    <cellStyle name="Normal 75" xfId="172"/>
    <cellStyle name="Normal 75 2" xfId="258"/>
    <cellStyle name="Normal 76" xfId="173"/>
    <cellStyle name="Normal 76 2" xfId="259"/>
    <cellStyle name="Normal 77" xfId="174"/>
    <cellStyle name="Normal 77 2" xfId="260"/>
    <cellStyle name="Normal 78" xfId="175"/>
    <cellStyle name="Normal 78 2" xfId="261"/>
    <cellStyle name="Normal 79" xfId="176"/>
    <cellStyle name="Normal 79 2" xfId="262"/>
    <cellStyle name="Normal 8" xfId="103"/>
    <cellStyle name="Normal 80" xfId="177"/>
    <cellStyle name="Normal 80 2" xfId="263"/>
    <cellStyle name="Normal 81" xfId="178"/>
    <cellStyle name="Normal 81 2" xfId="264"/>
    <cellStyle name="Normal 82" xfId="179"/>
    <cellStyle name="Normal 82 2" xfId="265"/>
    <cellStyle name="Normal 83" xfId="180"/>
    <cellStyle name="Normal 83 2" xfId="266"/>
    <cellStyle name="Normal 84" xfId="181"/>
    <cellStyle name="Normal 84 2" xfId="267"/>
    <cellStyle name="Normal 85" xfId="182"/>
    <cellStyle name="Normal 85 2" xfId="268"/>
    <cellStyle name="Normal 86" xfId="183"/>
    <cellStyle name="Normal 86 2" xfId="269"/>
    <cellStyle name="Normal 87" xfId="184"/>
    <cellStyle name="Normal 87 2" xfId="270"/>
    <cellStyle name="Normal 9" xfId="104"/>
    <cellStyle name="Normal 9 2" xfId="105"/>
    <cellStyle name="Normal 9 2 2" xfId="198"/>
    <cellStyle name="Note" xfId="14" builtinId="10" customBuiltin="1"/>
    <cellStyle name="Note 2" xfId="53"/>
    <cellStyle name="Output" xfId="12" builtinId="21" customBuiltin="1"/>
    <cellStyle name="Percent" xfId="2" builtinId="5"/>
    <cellStyle name="Percent 10" xfId="113"/>
    <cellStyle name="Percent 11" xfId="49"/>
    <cellStyle name="Percent 11 2" xfId="290"/>
    <cellStyle name="Percent 2" xfId="185"/>
    <cellStyle name="Percent 2 2" xfId="271"/>
    <cellStyle name="Percent 3" xfId="186"/>
    <cellStyle name="Percent 3 2" xfId="272"/>
    <cellStyle name="Percent 3 3" xfId="283"/>
    <cellStyle name="Percent 4" xfId="187"/>
    <cellStyle name="Percent 4 2" xfId="273"/>
    <cellStyle name="Percent 4 3" xfId="284"/>
    <cellStyle name="Percent 5" xfId="188"/>
    <cellStyle name="Percent 5 2" xfId="274"/>
    <cellStyle name="Percent 6" xfId="189"/>
    <cellStyle name="Percent 6 2" xfId="275"/>
    <cellStyle name="Percent 7" xfId="190"/>
    <cellStyle name="Percent 8" xfId="191"/>
    <cellStyle name="Percent 8 2" xfId="276"/>
    <cellStyle name="Percent 9" xfId="196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00FF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Billed%20kWh%20Budget%20KCPL%202018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KCPL%20MEEIA%20Cycle%202%20Forecast%20Model%202017-2019%20042018%20actuals%200509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KCPLMO%20MEEIA%202017%20Revenue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KCPLMO%20MEEIA%202018%20Revenue%20Analysi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KCPL%20Short-Term%20Borrowing%20Rate%20November%202017%20-%20April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SI%20Projects%20112017-042018%20KCP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TD%20Model%20KCPL-MO%20042018%20final%200508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CorpAcctg/MEEIA/KCPL%20MEEIA%20DSIM%20RIDER/20161201%20Filing/PI%20Annuity%20Calc%20KCP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PI%20Annuity%20Calc%20KC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kWh Sales"/>
    </sheetNames>
    <sheetDataSet>
      <sheetData sheetId="0">
        <row r="19">
          <cell r="G19">
            <v>147649425</v>
          </cell>
          <cell r="H19">
            <v>187486105</v>
          </cell>
          <cell r="I19">
            <v>274956823</v>
          </cell>
        </row>
        <row r="20">
          <cell r="G20">
            <v>368634803</v>
          </cell>
          <cell r="H20">
            <v>406527628</v>
          </cell>
          <cell r="I20">
            <v>448674815</v>
          </cell>
        </row>
        <row r="25">
          <cell r="O25">
            <v>1381850604</v>
          </cell>
        </row>
        <row r="26">
          <cell r="O26">
            <v>2482288222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 Budget Sumry"/>
      <sheetName val="EEIA Non-labor loadfile"/>
      <sheetName val="Base Rate EE Non-labor loadfile"/>
      <sheetName val="KCPL Monthly TD Calc"/>
      <sheetName val="Program Costs - KCP&amp;L"/>
    </sheetNames>
    <sheetDataSet>
      <sheetData sheetId="0" refreshError="1"/>
      <sheetData sheetId="1" refreshError="1"/>
      <sheetData sheetId="2" refreshError="1"/>
      <sheetData sheetId="3">
        <row r="351">
          <cell r="AB351">
            <v>292072.71999999997</v>
          </cell>
          <cell r="AC351">
            <v>536854.92000000004</v>
          </cell>
        </row>
        <row r="352">
          <cell r="AB352">
            <v>404774.29</v>
          </cell>
          <cell r="AC352">
            <v>565110.27</v>
          </cell>
        </row>
        <row r="355">
          <cell r="AI355">
            <v>2521670.61</v>
          </cell>
        </row>
        <row r="356">
          <cell r="AI356">
            <v>2753655.17</v>
          </cell>
        </row>
        <row r="372">
          <cell r="AB372">
            <v>4282784.38881562</v>
          </cell>
          <cell r="AC372">
            <v>5430224.9385411292</v>
          </cell>
        </row>
        <row r="373">
          <cell r="AB373">
            <v>9606179.4678424969</v>
          </cell>
          <cell r="AC373">
            <v>9875938.2039176915</v>
          </cell>
        </row>
        <row r="377">
          <cell r="AI377">
            <v>28996850.573092222</v>
          </cell>
        </row>
        <row r="378">
          <cell r="AI378">
            <v>55356378.546444759</v>
          </cell>
        </row>
      </sheetData>
      <sheetData sheetId="4">
        <row r="153">
          <cell r="AD153">
            <v>303861.90409999999</v>
          </cell>
          <cell r="AE153">
            <v>385545.94630737178</v>
          </cell>
        </row>
        <row r="154">
          <cell r="AD154">
            <v>529803.6888</v>
          </cell>
          <cell r="AE154">
            <v>869038.58880000003</v>
          </cell>
        </row>
        <row r="155">
          <cell r="AD155">
            <v>79724.539999999994</v>
          </cell>
          <cell r="AE155">
            <v>107878.84999999999</v>
          </cell>
        </row>
        <row r="159">
          <cell r="AK159">
            <v>2626881.3484130464</v>
          </cell>
        </row>
        <row r="160">
          <cell r="AK160">
            <v>4630914.0228000004</v>
          </cell>
        </row>
        <row r="161">
          <cell r="AK161">
            <v>892449.62000000011</v>
          </cell>
        </row>
        <row r="162">
          <cell r="AK1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PL-MO Revenue Analysis"/>
      <sheetName val="KCP&amp;L MO DSIM Rate Table"/>
      <sheetName val="DSIM Rates - Initial RP"/>
      <sheetName val="DSIM Rates - 2nd RP"/>
      <sheetName val="DSIM Rates - 3rd RP"/>
      <sheetName val="DSIM Rates - 4th RP"/>
      <sheetName val="DSIM Rates - 4th RP Cycle 2"/>
      <sheetName val="DSIM Rates 5th RP"/>
      <sheetName val="DSIM Rates 6th RP"/>
      <sheetName val="DSIM Rates 7th RP"/>
    </sheetNames>
    <sheetDataSet>
      <sheetData sheetId="0">
        <row r="150">
          <cell r="M150">
            <v>67.400000000000006</v>
          </cell>
          <cell r="N150">
            <v>17.37</v>
          </cell>
        </row>
        <row r="151">
          <cell r="M151">
            <v>21.45</v>
          </cell>
          <cell r="N151">
            <v>3.74</v>
          </cell>
        </row>
        <row r="155">
          <cell r="M155">
            <v>-67.400000000000006</v>
          </cell>
          <cell r="N155">
            <v>-17.37</v>
          </cell>
        </row>
        <row r="156">
          <cell r="M156">
            <v>-127390.26</v>
          </cell>
          <cell r="N156">
            <v>-136813.53</v>
          </cell>
        </row>
        <row r="160">
          <cell r="M160">
            <v>-6263.6</v>
          </cell>
          <cell r="N160">
            <v>-8065.78</v>
          </cell>
        </row>
        <row r="161">
          <cell r="M161">
            <v>-42441.61</v>
          </cell>
          <cell r="N161">
            <v>-45586.48</v>
          </cell>
        </row>
        <row r="165">
          <cell r="M165">
            <v>116054.81</v>
          </cell>
          <cell r="N165">
            <v>149353.24</v>
          </cell>
        </row>
        <row r="166">
          <cell r="M166">
            <v>329633.17</v>
          </cell>
          <cell r="N166">
            <v>354472.94</v>
          </cell>
        </row>
        <row r="170">
          <cell r="M170"/>
          <cell r="N170"/>
        </row>
        <row r="171">
          <cell r="M171"/>
          <cell r="N171"/>
        </row>
        <row r="175">
          <cell r="M175">
            <v>401609.79</v>
          </cell>
          <cell r="N175">
            <v>516696.26</v>
          </cell>
        </row>
        <row r="176">
          <cell r="M176">
            <v>464418.55</v>
          </cell>
          <cell r="N176">
            <v>499443.92</v>
          </cell>
        </row>
        <row r="180">
          <cell r="M180">
            <v>158354.78</v>
          </cell>
          <cell r="N180">
            <v>203788.63999999998</v>
          </cell>
        </row>
        <row r="181">
          <cell r="M181">
            <v>953046.5</v>
          </cell>
          <cell r="N181">
            <v>1024910.23</v>
          </cell>
        </row>
        <row r="185">
          <cell r="M185">
            <v>181938.04</v>
          </cell>
          <cell r="N185">
            <v>234112.51</v>
          </cell>
        </row>
        <row r="186">
          <cell r="M186">
            <v>201977.45</v>
          </cell>
          <cell r="N186">
            <v>217206.09</v>
          </cell>
        </row>
        <row r="194">
          <cell r="M194">
            <v>156924426</v>
          </cell>
          <cell r="N194">
            <v>201843064</v>
          </cell>
        </row>
        <row r="195">
          <cell r="M195">
            <v>354449201</v>
          </cell>
          <cell r="N195">
            <v>381180579</v>
          </cell>
        </row>
        <row r="200">
          <cell r="M200">
            <v>156890733</v>
          </cell>
          <cell r="N200">
            <v>201835476</v>
          </cell>
        </row>
        <row r="201">
          <cell r="M201">
            <v>354439300</v>
          </cell>
          <cell r="N201">
            <v>381178956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PL-MO Revenue Analysis"/>
    </sheetNames>
    <sheetDataSet>
      <sheetData sheetId="0">
        <row r="196">
          <cell r="C196">
            <v>115.53</v>
          </cell>
          <cell r="D196">
            <v>-12.03</v>
          </cell>
          <cell r="E196">
            <v>91.52</v>
          </cell>
          <cell r="F196">
            <v>58.56</v>
          </cell>
        </row>
        <row r="197">
          <cell r="C197">
            <v>-538.64</v>
          </cell>
          <cell r="D197">
            <v>0</v>
          </cell>
          <cell r="E197">
            <v>0</v>
          </cell>
          <cell r="F197">
            <v>-15458.81</v>
          </cell>
        </row>
        <row r="201">
          <cell r="C201">
            <v>-115.53</v>
          </cell>
          <cell r="D201">
            <v>12.03</v>
          </cell>
          <cell r="E201">
            <v>-91.52</v>
          </cell>
          <cell r="F201">
            <v>-58.56</v>
          </cell>
        </row>
        <row r="202">
          <cell r="C202">
            <v>-152344.92000000001</v>
          </cell>
          <cell r="D202">
            <v>-96636.93</v>
          </cell>
          <cell r="E202">
            <v>-37265.53</v>
          </cell>
          <cell r="F202">
            <v>-67503</v>
          </cell>
        </row>
        <row r="206">
          <cell r="C206">
            <v>-11185.93</v>
          </cell>
          <cell r="D206">
            <v>-3875.4</v>
          </cell>
          <cell r="E206">
            <v>4031.37</v>
          </cell>
          <cell r="F206">
            <v>3573.03</v>
          </cell>
        </row>
        <row r="207">
          <cell r="C207">
            <v>-51052.12</v>
          </cell>
          <cell r="D207">
            <v>-33314.410000000003</v>
          </cell>
          <cell r="E207">
            <v>-14810.58</v>
          </cell>
          <cell r="F207">
            <v>-33035.72</v>
          </cell>
        </row>
        <row r="211">
          <cell r="C211">
            <v>207453.45</v>
          </cell>
          <cell r="D211">
            <v>188758.89</v>
          </cell>
          <cell r="E211">
            <v>171442.53</v>
          </cell>
          <cell r="F211">
            <v>152701.71</v>
          </cell>
        </row>
        <row r="212">
          <cell r="C212">
            <v>390490.39</v>
          </cell>
          <cell r="D212">
            <v>388311.19999999995</v>
          </cell>
          <cell r="E212">
            <v>389363.41</v>
          </cell>
          <cell r="F212">
            <v>412504.72</v>
          </cell>
        </row>
        <row r="216">
          <cell r="D216">
            <v>-1430.22</v>
          </cell>
        </row>
        <row r="217">
          <cell r="D217">
            <v>-3405.91</v>
          </cell>
        </row>
        <row r="221">
          <cell r="C221">
            <v>717754.49</v>
          </cell>
          <cell r="D221">
            <v>559906.39</v>
          </cell>
          <cell r="E221">
            <v>405846.98</v>
          </cell>
          <cell r="F221">
            <v>361215.09</v>
          </cell>
        </row>
        <row r="222">
          <cell r="C222">
            <v>549770.89</v>
          </cell>
          <cell r="D222">
            <v>604548.66</v>
          </cell>
          <cell r="E222">
            <v>683798.72</v>
          </cell>
          <cell r="F222">
            <v>720426.82</v>
          </cell>
        </row>
        <row r="226">
          <cell r="C226">
            <v>283271.78000000003</v>
          </cell>
          <cell r="D226">
            <v>336140.92000000004</v>
          </cell>
          <cell r="E226">
            <v>405169.47</v>
          </cell>
          <cell r="F226">
            <v>361169.06999999995</v>
          </cell>
        </row>
        <row r="227">
          <cell r="C227">
            <v>1129760.55</v>
          </cell>
          <cell r="D227">
            <v>849201.19</v>
          </cell>
          <cell r="E227">
            <v>552845.1</v>
          </cell>
          <cell r="F227">
            <v>580452.4</v>
          </cell>
        </row>
        <row r="231">
          <cell r="C231">
            <v>325216.94</v>
          </cell>
          <cell r="D231">
            <v>334148.76</v>
          </cell>
          <cell r="E231">
            <v>354864.57</v>
          </cell>
          <cell r="F231">
            <v>316186.3</v>
          </cell>
        </row>
        <row r="232">
          <cell r="C232">
            <v>239361.84</v>
          </cell>
          <cell r="D232">
            <v>383893.79</v>
          </cell>
          <cell r="E232">
            <v>559737.77</v>
          </cell>
          <cell r="F232">
            <v>601079.41</v>
          </cell>
        </row>
        <row r="242">
          <cell r="C242">
            <v>280441491</v>
          </cell>
          <cell r="D242">
            <v>239052636</v>
          </cell>
          <cell r="E242">
            <v>201847667</v>
          </cell>
          <cell r="F242">
            <v>179721282</v>
          </cell>
        </row>
        <row r="243">
          <cell r="C243">
            <v>419405782</v>
          </cell>
          <cell r="D243">
            <v>387305502</v>
          </cell>
          <cell r="E243">
            <v>360966325</v>
          </cell>
          <cell r="F243">
            <v>368366508</v>
          </cell>
        </row>
        <row r="248">
          <cell r="C248">
            <v>280381293</v>
          </cell>
          <cell r="D248">
            <v>239058020</v>
          </cell>
          <cell r="E248">
            <v>201804011</v>
          </cell>
          <cell r="F248">
            <v>179689702</v>
          </cell>
        </row>
        <row r="249">
          <cell r="C249">
            <v>419698487</v>
          </cell>
          <cell r="D249">
            <v>387305502</v>
          </cell>
          <cell r="E249">
            <v>360966325</v>
          </cell>
          <cell r="F249">
            <v>376589288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17"/>
      <sheetName val="Dec 2017"/>
      <sheetName val="Jan 2018"/>
      <sheetName val="Feb 2018"/>
      <sheetName val="Mar 2018"/>
      <sheetName val="Apr 2018"/>
    </sheetNames>
    <sheetDataSet>
      <sheetData sheetId="0">
        <row r="51">
          <cell r="F51">
            <v>2.1128200000000001E-3</v>
          </cell>
        </row>
      </sheetData>
      <sheetData sheetId="1">
        <row r="51">
          <cell r="F51">
            <v>2.28459E-3</v>
          </cell>
        </row>
      </sheetData>
      <sheetData sheetId="2">
        <row r="51">
          <cell r="F51">
            <v>2.3424800000000001E-3</v>
          </cell>
        </row>
      </sheetData>
      <sheetData sheetId="3">
        <row r="51">
          <cell r="F51">
            <v>2.37535E-3</v>
          </cell>
        </row>
      </sheetData>
      <sheetData sheetId="4">
        <row r="51">
          <cell r="F51">
            <v>2.5423099999999999E-3</v>
          </cell>
        </row>
      </sheetData>
      <sheetData sheetId="5">
        <row r="51">
          <cell r="F51">
            <v>2.6220499999999999E-3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112017-042018"/>
    </sheetNames>
    <sheetDataSet>
      <sheetData sheetId="0">
        <row r="25">
          <cell r="C25">
            <v>386158.81</v>
          </cell>
          <cell r="D25">
            <v>658190.39000000013</v>
          </cell>
          <cell r="E25">
            <v>245082.48999999987</v>
          </cell>
          <cell r="F25">
            <v>311741.12999999995</v>
          </cell>
          <cell r="G25">
            <v>507877.90000000014</v>
          </cell>
          <cell r="H25">
            <v>241411.55000000005</v>
          </cell>
        </row>
        <row r="26">
          <cell r="C26">
            <v>867418.33000000007</v>
          </cell>
          <cell r="D26">
            <v>452235.86</v>
          </cell>
          <cell r="E26">
            <v>444548.32000000007</v>
          </cell>
          <cell r="F26">
            <v>535208.33000000019</v>
          </cell>
          <cell r="G26">
            <v>829857.64</v>
          </cell>
          <cell r="H26">
            <v>635254.9</v>
          </cell>
        </row>
        <row r="27">
          <cell r="C27">
            <v>385003.26999999996</v>
          </cell>
          <cell r="D27">
            <v>19055.920000000035</v>
          </cell>
          <cell r="E27">
            <v>44646.15</v>
          </cell>
          <cell r="F27">
            <v>32360.170000000002</v>
          </cell>
          <cell r="G27">
            <v>167970.81999999995</v>
          </cell>
          <cell r="H27">
            <v>43686.240000000013</v>
          </cell>
        </row>
        <row r="28">
          <cell r="C28">
            <v>6.8212102632969618E-13</v>
          </cell>
          <cell r="D28">
            <v>1.6939338820520788E-11</v>
          </cell>
          <cell r="E28">
            <v>-4.5474735088646412E-13</v>
          </cell>
          <cell r="F28">
            <v>4.5474735088646412E-13</v>
          </cell>
          <cell r="G28">
            <v>-1.546140993013978E-11</v>
          </cell>
          <cell r="H28">
            <v>9.0949470177292824E-13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</sheetNames>
    <sheetDataSet>
      <sheetData sheetId="0" refreshError="1"/>
      <sheetData sheetId="1">
        <row r="43">
          <cell r="X43">
            <v>5204975.8410999998</v>
          </cell>
        </row>
        <row r="285">
          <cell r="V285">
            <v>2997924.2807435985</v>
          </cell>
          <cell r="W285">
            <v>3362968.3626524503</v>
          </cell>
          <cell r="X285">
            <v>3910487.5739592416</v>
          </cell>
          <cell r="Y285">
            <v>3622099.822090907</v>
          </cell>
          <cell r="Z285">
            <v>3662765.9315365604</v>
          </cell>
          <cell r="AA285">
            <v>3733932.0094775534</v>
          </cell>
        </row>
        <row r="286">
          <cell r="V286">
            <v>6465316.9915423328</v>
          </cell>
          <cell r="W286">
            <v>6712009.0776307862</v>
          </cell>
          <cell r="X286">
            <v>7229760.4918277897</v>
          </cell>
          <cell r="Y286">
            <v>6701262.0049435701</v>
          </cell>
          <cell r="Z286">
            <v>8338684.6643292597</v>
          </cell>
          <cell r="AA286">
            <v>8717607.3999374975</v>
          </cell>
        </row>
        <row r="318">
          <cell r="V318">
            <v>203845.75</v>
          </cell>
          <cell r="W318">
            <v>197399.88</v>
          </cell>
          <cell r="X318">
            <v>216689.01</v>
          </cell>
          <cell r="Y318">
            <v>210712.2</v>
          </cell>
          <cell r="Z318">
            <v>217038.23</v>
          </cell>
          <cell r="AA318">
            <v>247417.27</v>
          </cell>
        </row>
        <row r="319">
          <cell r="V319">
            <v>294239.06</v>
          </cell>
          <cell r="W319">
            <v>292217.03999999998</v>
          </cell>
          <cell r="X319">
            <v>297964.69</v>
          </cell>
          <cell r="Y319">
            <v>287846.17</v>
          </cell>
          <cell r="Z319">
            <v>343142.58</v>
          </cell>
          <cell r="AA319">
            <v>372583.97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 Annuity Calc"/>
      <sheetName val="kWh Savings Alloc"/>
      <sheetName val="Sheet3"/>
    </sheetNames>
    <sheetDataSet>
      <sheetData sheetId="0">
        <row r="4">
          <cell r="C4">
            <v>9917518.1799999997</v>
          </cell>
        </row>
        <row r="10">
          <cell r="E10">
            <v>10412605.24395318</v>
          </cell>
        </row>
      </sheetData>
      <sheetData sheetId="1">
        <row r="20">
          <cell r="B20">
            <v>55891906.5</v>
          </cell>
        </row>
        <row r="21">
          <cell r="B21">
            <v>133100849.5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 Annuity Calc"/>
      <sheetName val="kWh Savings Alloc"/>
      <sheetName val="2016"/>
    </sheetNames>
    <sheetDataSet>
      <sheetData sheetId="0">
        <row r="13">
          <cell r="G13">
            <v>171076.62090909091</v>
          </cell>
          <cell r="H13">
            <v>407401.44818181818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2" max="2" width="18.7109375" customWidth="1"/>
    <col min="3" max="3" width="16" bestFit="1" customWidth="1"/>
    <col min="4" max="4" width="15.5703125" customWidth="1"/>
    <col min="5" max="5" width="14.85546875" bestFit="1" customWidth="1"/>
    <col min="6" max="6" width="11.28515625" bestFit="1" customWidth="1"/>
    <col min="7" max="7" width="18.42578125" bestFit="1" customWidth="1"/>
    <col min="8" max="8" width="13.42578125" customWidth="1"/>
    <col min="9" max="9" width="3.5703125" customWidth="1"/>
    <col min="10" max="12" width="13.85546875" customWidth="1"/>
    <col min="13" max="13" width="11.28515625" bestFit="1" customWidth="1"/>
  </cols>
  <sheetData>
    <row r="1" spans="1:13" x14ac:dyDescent="0.25">
      <c r="A1" s="3" t="str">
        <f>+PPC!A1</f>
        <v>Kansas City Power &amp; Light Company - DSIM Rider Update Filed 06/01/2018</v>
      </c>
    </row>
    <row r="2" spans="1:13" ht="15.75" thickBot="1" x14ac:dyDescent="0.3">
      <c r="H2" s="62"/>
      <c r="I2" s="62"/>
      <c r="J2" s="64"/>
      <c r="K2" s="64"/>
    </row>
    <row r="3" spans="1:13" ht="27.75" thickBot="1" x14ac:dyDescent="0.3">
      <c r="B3" s="109" t="s">
        <v>8</v>
      </c>
      <c r="C3" s="153" t="s">
        <v>22</v>
      </c>
      <c r="D3" s="153" t="s">
        <v>23</v>
      </c>
      <c r="E3" s="153" t="s">
        <v>76</v>
      </c>
      <c r="F3" s="153" t="s">
        <v>24</v>
      </c>
      <c r="G3" s="153" t="s">
        <v>47</v>
      </c>
      <c r="H3" s="111" t="s">
        <v>33</v>
      </c>
      <c r="I3" s="53"/>
      <c r="J3" s="110" t="s">
        <v>15</v>
      </c>
      <c r="K3" s="111" t="s">
        <v>75</v>
      </c>
      <c r="L3" s="111" t="s">
        <v>99</v>
      </c>
      <c r="M3" s="111" t="s">
        <v>100</v>
      </c>
    </row>
    <row r="4" spans="1:13" ht="15.75" thickBot="1" x14ac:dyDescent="0.3">
      <c r="B4" s="112" t="s">
        <v>29</v>
      </c>
      <c r="C4" s="151">
        <f t="shared" ref="C4:F5" si="0">C10+C16</f>
        <v>3087685.1409400012</v>
      </c>
      <c r="D4" s="152">
        <f t="shared" si="0"/>
        <v>2761056.9436565801</v>
      </c>
      <c r="E4" s="152">
        <f t="shared" si="0"/>
        <v>14184.999950000009</v>
      </c>
      <c r="F4" s="152">
        <f t="shared" si="0"/>
        <v>0</v>
      </c>
      <c r="G4" s="155">
        <f>PPC!B5</f>
        <v>1381850604</v>
      </c>
      <c r="H4" s="156">
        <f>ROUND(SUM(C4:F4)/G4,5)</f>
        <v>4.2399999999999998E-3</v>
      </c>
      <c r="I4" s="157"/>
      <c r="J4" s="243">
        <f>ROUND((C10+C16)/G4,5)</f>
        <v>2.2300000000000002E-3</v>
      </c>
      <c r="K4" s="158">
        <f>ROUND((D10+D16)/G4,5)</f>
        <v>2E-3</v>
      </c>
      <c r="L4" s="158">
        <f>ROUND((E10+E16)/G4,5)</f>
        <v>1.0000000000000001E-5</v>
      </c>
      <c r="M4" s="158">
        <f>ROUND((F10+F16)/G4,5)</f>
        <v>0</v>
      </c>
    </row>
    <row r="5" spans="1:13" ht="15.75" thickBot="1" x14ac:dyDescent="0.3">
      <c r="B5" s="112" t="s">
        <v>30</v>
      </c>
      <c r="C5" s="151">
        <f t="shared" si="0"/>
        <v>4711261.4783476377</v>
      </c>
      <c r="D5" s="152">
        <f t="shared" si="0"/>
        <v>2983146.2328539873</v>
      </c>
      <c r="E5" s="152">
        <f t="shared" si="0"/>
        <v>74171.494320000347</v>
      </c>
      <c r="F5" s="152">
        <f t="shared" si="0"/>
        <v>0</v>
      </c>
      <c r="G5" s="155">
        <f>PPC!B6</f>
        <v>2482288222</v>
      </c>
      <c r="H5" s="156">
        <f>ROUND(SUM(C5:F5)/G5,5)</f>
        <v>3.13E-3</v>
      </c>
      <c r="I5" s="157"/>
      <c r="J5" s="243">
        <f>ROUND((C11+C17)/G5,5)</f>
        <v>1.9E-3</v>
      </c>
      <c r="K5" s="158">
        <f>ROUND((D11+D17)/G5,5)</f>
        <v>1.1999999999999999E-3</v>
      </c>
      <c r="L5" s="158">
        <f>ROUND((E11+E17)/G5,5)</f>
        <v>3.0000000000000001E-5</v>
      </c>
      <c r="M5" s="158">
        <f>ROUND((F11+F17)/G5,5)</f>
        <v>0</v>
      </c>
    </row>
    <row r="6" spans="1:13" x14ac:dyDescent="0.25">
      <c r="C6" s="150"/>
      <c r="D6" s="150"/>
      <c r="E6" s="150"/>
      <c r="F6" s="150"/>
      <c r="G6" s="149"/>
    </row>
    <row r="7" spans="1:13" x14ac:dyDescent="0.25">
      <c r="C7" s="150"/>
      <c r="D7" s="150"/>
      <c r="E7" s="150"/>
      <c r="F7" s="150"/>
      <c r="G7" s="149"/>
    </row>
    <row r="8" spans="1:13" ht="15.75" thickBot="1" x14ac:dyDescent="0.3">
      <c r="C8" s="150"/>
      <c r="D8" s="150"/>
      <c r="E8" s="150"/>
      <c r="F8" s="150"/>
      <c r="G8" s="149"/>
    </row>
    <row r="9" spans="1:13" ht="15.75" thickBot="1" x14ac:dyDescent="0.3">
      <c r="B9" s="109" t="s">
        <v>8</v>
      </c>
      <c r="C9" s="154" t="s">
        <v>7</v>
      </c>
      <c r="D9" s="154" t="s">
        <v>19</v>
      </c>
      <c r="E9" s="154" t="s">
        <v>77</v>
      </c>
      <c r="F9" s="154" t="s">
        <v>20</v>
      </c>
      <c r="G9" s="149"/>
      <c r="J9" s="17"/>
      <c r="K9" s="17"/>
    </row>
    <row r="10" spans="1:13" ht="15.75" thickBot="1" x14ac:dyDescent="0.3">
      <c r="B10" s="112" t="s">
        <v>29</v>
      </c>
      <c r="C10" s="152">
        <f>PPC!C5</f>
        <v>3073106.16</v>
      </c>
      <c r="D10" s="152">
        <f>PTD!C6</f>
        <v>2521670.61</v>
      </c>
      <c r="E10" s="152">
        <f>+EO!D12</f>
        <v>0</v>
      </c>
      <c r="F10" s="151">
        <f>+OA!D8</f>
        <v>0</v>
      </c>
      <c r="G10" s="149"/>
      <c r="J10" s="184"/>
      <c r="K10" s="17"/>
    </row>
    <row r="11" spans="1:13" ht="15.75" thickBot="1" x14ac:dyDescent="0.3">
      <c r="B11" s="112" t="s">
        <v>30</v>
      </c>
      <c r="C11" s="152">
        <f>PPC!C6</f>
        <v>5077138.8299999991</v>
      </c>
      <c r="D11" s="152">
        <f>PTD!C7</f>
        <v>2753655.17</v>
      </c>
      <c r="E11" s="152">
        <f>+EO!D13</f>
        <v>0</v>
      </c>
      <c r="F11" s="151">
        <f>+OA!D9</f>
        <v>0</v>
      </c>
      <c r="G11" s="149"/>
      <c r="J11" s="184"/>
      <c r="K11" s="17"/>
    </row>
    <row r="12" spans="1:13" x14ac:dyDescent="0.25">
      <c r="C12" s="150"/>
      <c r="D12" s="150"/>
      <c r="E12" s="150"/>
      <c r="F12" s="150"/>
      <c r="G12" s="149"/>
      <c r="J12" s="17"/>
      <c r="K12" s="17"/>
    </row>
    <row r="13" spans="1:13" x14ac:dyDescent="0.25">
      <c r="C13" s="150"/>
      <c r="D13" s="150"/>
      <c r="E13" s="150"/>
      <c r="F13" s="150"/>
      <c r="G13" s="149"/>
      <c r="J13" s="17"/>
      <c r="K13" s="17"/>
    </row>
    <row r="14" spans="1:13" ht="15.75" thickBot="1" x14ac:dyDescent="0.3">
      <c r="C14" s="150"/>
      <c r="D14" s="150"/>
      <c r="E14" s="150"/>
      <c r="F14" s="150"/>
      <c r="G14" s="149"/>
      <c r="J14" s="17"/>
      <c r="K14" s="17"/>
    </row>
    <row r="15" spans="1:13" ht="15.75" thickBot="1" x14ac:dyDescent="0.3">
      <c r="B15" s="109" t="s">
        <v>8</v>
      </c>
      <c r="C15" s="154" t="s">
        <v>4</v>
      </c>
      <c r="D15" s="154" t="s">
        <v>10</v>
      </c>
      <c r="E15" s="154" t="s">
        <v>78</v>
      </c>
      <c r="F15" s="154" t="s">
        <v>21</v>
      </c>
      <c r="G15" s="149"/>
    </row>
    <row r="16" spans="1:13" ht="15.75" thickBot="1" x14ac:dyDescent="0.3">
      <c r="B16" s="112" t="s">
        <v>29</v>
      </c>
      <c r="C16" s="152">
        <f>+'PCR Cycle 1'!J4+'PCR Cycle 2'!J4</f>
        <v>14578.980940001049</v>
      </c>
      <c r="D16" s="152">
        <f>+'TDR Cycle 1'!J4+'TDR Cycle 2'!J4</f>
        <v>239386.33365658013</v>
      </c>
      <c r="E16" s="152">
        <f>+EOR!I4</f>
        <v>14184.999950000009</v>
      </c>
      <c r="F16" s="151">
        <f>+OAR!I4</f>
        <v>0</v>
      </c>
      <c r="G16" s="149"/>
    </row>
    <row r="17" spans="2:7" ht="15.75" thickBot="1" x14ac:dyDescent="0.3">
      <c r="B17" s="112" t="s">
        <v>30</v>
      </c>
      <c r="C17" s="152">
        <f>+'PCR Cycle 1'!J5+'PCR Cycle 2'!J5</f>
        <v>-365877.35165236169</v>
      </c>
      <c r="D17" s="152">
        <f>+'TDR Cycle 1'!J5+'TDR Cycle 2'!J5</f>
        <v>229491.0628539871</v>
      </c>
      <c r="E17" s="152">
        <f>+EOR!I5</f>
        <v>74171.494320000347</v>
      </c>
      <c r="F17" s="151">
        <f>+OAR!I5</f>
        <v>0</v>
      </c>
      <c r="G17" s="149"/>
    </row>
    <row r="19" spans="2:7" x14ac:dyDescent="0.25">
      <c r="B19" s="116" t="s">
        <v>48</v>
      </c>
    </row>
    <row r="20" spans="2:7" x14ac:dyDescent="0.25">
      <c r="B20" s="117" t="s">
        <v>49</v>
      </c>
    </row>
    <row r="21" spans="2:7" x14ac:dyDescent="0.25">
      <c r="B21" s="117" t="s">
        <v>59</v>
      </c>
    </row>
    <row r="22" spans="2:7" x14ac:dyDescent="0.25">
      <c r="B22" s="117" t="s">
        <v>50</v>
      </c>
    </row>
    <row r="23" spans="2:7" x14ac:dyDescent="0.25">
      <c r="B23" s="117" t="s">
        <v>51</v>
      </c>
    </row>
    <row r="24" spans="2:7" x14ac:dyDescent="0.25">
      <c r="B24" s="117" t="s">
        <v>52</v>
      </c>
    </row>
    <row r="25" spans="2:7" x14ac:dyDescent="0.25">
      <c r="B25" s="117" t="s">
        <v>53</v>
      </c>
    </row>
    <row r="26" spans="2:7" x14ac:dyDescent="0.25">
      <c r="B26" s="117" t="s">
        <v>64</v>
      </c>
    </row>
    <row r="27" spans="2:7" x14ac:dyDescent="0.25">
      <c r="B27" s="117" t="s">
        <v>54</v>
      </c>
    </row>
    <row r="28" spans="2:7" x14ac:dyDescent="0.25">
      <c r="B28" s="117" t="s">
        <v>72</v>
      </c>
    </row>
    <row r="29" spans="2:7" x14ac:dyDescent="0.25">
      <c r="B29" s="117" t="s">
        <v>74</v>
      </c>
    </row>
    <row r="30" spans="2:7" x14ac:dyDescent="0.25">
      <c r="B30" s="117" t="s">
        <v>73</v>
      </c>
    </row>
    <row r="31" spans="2:7" x14ac:dyDescent="0.25">
      <c r="B31" s="117" t="s">
        <v>55</v>
      </c>
    </row>
    <row r="32" spans="2:7" x14ac:dyDescent="0.25">
      <c r="B32" s="117" t="s">
        <v>56</v>
      </c>
    </row>
    <row r="33" spans="2:2" x14ac:dyDescent="0.25">
      <c r="B33" s="117" t="s">
        <v>57</v>
      </c>
    </row>
    <row r="34" spans="2:2" x14ac:dyDescent="0.25">
      <c r="B34" s="117" t="s">
        <v>58</v>
      </c>
    </row>
  </sheetData>
  <pageMargins left="0.2" right="0.2" top="0.75" bottom="0.25" header="0.3" footer="0.3"/>
  <pageSetup scale="77" orientation="landscape" r:id="rId1"/>
  <headerFooter>
    <oddHeader>&amp;C&amp;F 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zoomScaleNormal="100" workbookViewId="0">
      <selection activeCell="H1" sqref="H1"/>
    </sheetView>
  </sheetViews>
  <sheetFormatPr defaultRowHeight="15" x14ac:dyDescent="0.25"/>
  <cols>
    <col min="1" max="1" width="43.140625" style="62" customWidth="1"/>
    <col min="2" max="2" width="14.28515625" style="62" bestFit="1" customWidth="1"/>
    <col min="3" max="3" width="14.28515625" style="62" customWidth="1"/>
    <col min="4" max="4" width="13.28515625" style="62" bestFit="1" customWidth="1"/>
    <col min="5" max="16384" width="9.140625" style="62"/>
  </cols>
  <sheetData>
    <row r="1" spans="1:5" x14ac:dyDescent="0.25">
      <c r="A1" s="79" t="str">
        <f>+PPC!A1</f>
        <v>Kansas City Power &amp; Light Company - DSIM Rider Update Filed 06/01/2018</v>
      </c>
    </row>
    <row r="2" spans="1:5" x14ac:dyDescent="0.25">
      <c r="A2" s="9" t="str">
        <f>+PPC!A2</f>
        <v>Projections for Cycle 2 August 2018 - January 2019 DSIM</v>
      </c>
    </row>
    <row r="3" spans="1:5" ht="45.75" customHeight="1" x14ac:dyDescent="0.25">
      <c r="B3" s="228" t="s">
        <v>98</v>
      </c>
      <c r="C3" s="228"/>
      <c r="D3" s="228"/>
    </row>
    <row r="4" spans="1:5" x14ac:dyDescent="0.25">
      <c r="B4" s="86"/>
      <c r="C4" s="86"/>
      <c r="D4" s="64" t="s">
        <v>20</v>
      </c>
    </row>
    <row r="5" spans="1:5" x14ac:dyDescent="0.25">
      <c r="A5" s="22" t="s">
        <v>107</v>
      </c>
      <c r="B5" s="86"/>
      <c r="C5" s="86"/>
      <c r="D5" s="223">
        <v>0</v>
      </c>
    </row>
    <row r="6" spans="1:5" x14ac:dyDescent="0.25">
      <c r="A6" s="22" t="s">
        <v>108</v>
      </c>
      <c r="B6" s="86"/>
      <c r="C6" s="86"/>
      <c r="D6" s="223">
        <v>0</v>
      </c>
    </row>
    <row r="7" spans="1:5" ht="75" x14ac:dyDescent="0.25">
      <c r="A7" s="22"/>
      <c r="B7" s="86"/>
      <c r="C7" s="86" t="s">
        <v>123</v>
      </c>
      <c r="D7" s="180"/>
    </row>
    <row r="8" spans="1:5" x14ac:dyDescent="0.25">
      <c r="A8" s="22" t="s">
        <v>29</v>
      </c>
      <c r="B8" s="86"/>
      <c r="C8" s="222">
        <v>0.29573570798660664</v>
      </c>
      <c r="D8" s="36">
        <f>ROUND(SUM(D5:D6)*C8,2)</f>
        <v>0</v>
      </c>
      <c r="E8" s="4"/>
    </row>
    <row r="9" spans="1:5" x14ac:dyDescent="0.25">
      <c r="A9" s="22" t="s">
        <v>30</v>
      </c>
      <c r="B9" s="86"/>
      <c r="C9" s="222">
        <v>0.70426429201339336</v>
      </c>
      <c r="D9" s="36">
        <f>ROUND(SUM(D5:D6)*C9,2)</f>
        <v>0</v>
      </c>
      <c r="E9" s="4"/>
    </row>
    <row r="10" spans="1:5" ht="15.75" thickBot="1" x14ac:dyDescent="0.3">
      <c r="A10" s="22" t="s">
        <v>6</v>
      </c>
      <c r="B10" s="86"/>
      <c r="C10" s="222">
        <f>SUM(C8:C9)</f>
        <v>1</v>
      </c>
      <c r="D10" s="24">
        <f>SUM(D8:D9)</f>
        <v>0</v>
      </c>
      <c r="E10" s="4"/>
    </row>
    <row r="11" spans="1:5" ht="16.5" thickTop="1" thickBot="1" x14ac:dyDescent="0.3">
      <c r="B11" s="33"/>
      <c r="C11" s="33"/>
      <c r="D11" s="21">
        <f>ROUND(D5+D6,2)-D10</f>
        <v>0</v>
      </c>
      <c r="E11" s="2"/>
    </row>
    <row r="12" spans="1:5" ht="15.75" thickTop="1" x14ac:dyDescent="0.25">
      <c r="E12" s="4"/>
    </row>
    <row r="13" spans="1:5" x14ac:dyDescent="0.25">
      <c r="E13" s="4"/>
    </row>
    <row r="17" spans="1:1" x14ac:dyDescent="0.25">
      <c r="A17" s="69" t="s">
        <v>13</v>
      </c>
    </row>
    <row r="18" spans="1:1" s="53" customFormat="1" x14ac:dyDescent="0.25">
      <c r="A18" s="79" t="s">
        <v>128</v>
      </c>
    </row>
    <row r="19" spans="1:1" s="53" customFormat="1" x14ac:dyDescent="0.25">
      <c r="A19" s="79"/>
    </row>
  </sheetData>
  <mergeCells count="1">
    <mergeCell ref="B3:D3"/>
  </mergeCells>
  <pageMargins left="0.2" right="0.2" top="0.75" bottom="0.25" header="0.3" footer="0.3"/>
  <pageSetup orientation="landscape" r:id="rId1"/>
  <headerFooter>
    <oddHeader>&amp;C&amp;F 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zoomScaleNormal="100" workbookViewId="0">
      <selection activeCell="H1" sqref="H1"/>
    </sheetView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7.85546875" style="62" customWidth="1"/>
    <col min="16" max="16" width="15.28515625" style="62" bestFit="1" customWidth="1"/>
    <col min="17" max="17" width="17.42578125" style="62" bestFit="1" customWidth="1"/>
    <col min="18" max="18" width="16.28515625" style="62" bestFit="1" customWidth="1"/>
    <col min="19" max="19" width="15.28515625" style="62" bestFit="1" customWidth="1"/>
    <col min="20" max="20" width="12.42578125" style="62" customWidth="1"/>
    <col min="21" max="22" width="14.28515625" style="62" bestFit="1" customWidth="1"/>
    <col min="23" max="16384" width="9.140625" style="62"/>
  </cols>
  <sheetData>
    <row r="1" spans="1:35" x14ac:dyDescent="0.25">
      <c r="A1" s="3" t="str">
        <f>+PPC!A1</f>
        <v>Kansas City Power &amp; Light Company - DSIM Rider Update Filed 06/01/2018</v>
      </c>
      <c r="B1" s="3"/>
      <c r="C1" s="3"/>
    </row>
    <row r="2" spans="1:35" x14ac:dyDescent="0.25">
      <c r="D2" s="3" t="s">
        <v>114</v>
      </c>
    </row>
    <row r="3" spans="1:35" ht="30" x14ac:dyDescent="0.25">
      <c r="D3" s="64" t="s">
        <v>62</v>
      </c>
      <c r="E3" s="86" t="s">
        <v>20</v>
      </c>
      <c r="F3" s="64" t="s">
        <v>3</v>
      </c>
      <c r="G3" s="86" t="s">
        <v>71</v>
      </c>
      <c r="H3" s="64" t="s">
        <v>11</v>
      </c>
      <c r="I3" s="64" t="s">
        <v>21</v>
      </c>
      <c r="S3" s="64"/>
    </row>
    <row r="4" spans="1:35" x14ac:dyDescent="0.25">
      <c r="A4" s="22" t="s">
        <v>29</v>
      </c>
      <c r="B4" s="22"/>
      <c r="C4" s="22"/>
      <c r="D4" s="24">
        <f>SUM(C15:L15)</f>
        <v>-1430.22</v>
      </c>
      <c r="E4" s="24">
        <f>SUM(C19:K19)</f>
        <v>-1430.22</v>
      </c>
      <c r="F4" s="24">
        <f>E4-D4</f>
        <v>0</v>
      </c>
      <c r="G4" s="24">
        <f>+B29</f>
        <v>0</v>
      </c>
      <c r="H4" s="24">
        <f>SUM(C34:K34)</f>
        <v>0</v>
      </c>
      <c r="I4" s="36">
        <f>SUM(F4:H4)</f>
        <v>0</v>
      </c>
      <c r="J4" s="63">
        <f>+I4-L29</f>
        <v>0</v>
      </c>
      <c r="M4" s="63"/>
    </row>
    <row r="5" spans="1:35" ht="15.75" thickBot="1" x14ac:dyDescent="0.3">
      <c r="A5" s="22" t="s">
        <v>30</v>
      </c>
      <c r="B5" s="22"/>
      <c r="C5" s="22"/>
      <c r="D5" s="24">
        <f>SUM(C16:L16)</f>
        <v>-3405.91</v>
      </c>
      <c r="E5" s="24">
        <f>SUM(C20:K20)</f>
        <v>-3405.91</v>
      </c>
      <c r="F5" s="24">
        <f>E5-D5</f>
        <v>0</v>
      </c>
      <c r="G5" s="24">
        <f>+B30</f>
        <v>0</v>
      </c>
      <c r="H5" s="24">
        <f>SUM(C35:K35)</f>
        <v>0</v>
      </c>
      <c r="I5" s="36">
        <f>SUM(F5:H5)</f>
        <v>0</v>
      </c>
      <c r="J5" s="63">
        <f>+I5-L30</f>
        <v>0</v>
      </c>
      <c r="M5" s="63"/>
    </row>
    <row r="6" spans="1:35" ht="16.5" thickTop="1" thickBot="1" x14ac:dyDescent="0.3">
      <c r="D6" s="40">
        <f t="shared" ref="D6" si="0">SUM(D4:D5)</f>
        <v>-4836.13</v>
      </c>
      <c r="E6" s="40">
        <f>SUM(E4:E5)</f>
        <v>-4836.13</v>
      </c>
      <c r="F6" s="40">
        <f>SUM(F4:F5)</f>
        <v>0</v>
      </c>
      <c r="G6" s="40">
        <f>SUM(G4:G5)</f>
        <v>0</v>
      </c>
      <c r="H6" s="40">
        <f>SUM(H4:H5)</f>
        <v>0</v>
      </c>
      <c r="I6" s="40">
        <f>SUM(I4:I5)</f>
        <v>0</v>
      </c>
      <c r="T6" s="5"/>
    </row>
    <row r="7" spans="1:35" ht="15.75" thickTop="1" x14ac:dyDescent="0.25"/>
    <row r="8" spans="1:35" x14ac:dyDescent="0.25">
      <c r="I8" s="4"/>
      <c r="V8" s="4"/>
    </row>
    <row r="9" spans="1:35" ht="15.75" thickBot="1" x14ac:dyDescent="0.3">
      <c r="V9" s="4"/>
      <c r="W9" s="5"/>
    </row>
    <row r="10" spans="1:35" ht="90.75" thickBot="1" x14ac:dyDescent="0.3">
      <c r="B10" s="141" t="str">
        <f>+'PCR Cycle 1'!B8</f>
        <v>Cumulative Over/Under Carryover From 12/01/2017 Filing</v>
      </c>
      <c r="C10" s="179" t="str">
        <f>+'PCR Cycle 1'!C8</f>
        <v>Reverse Nov-17 - January-18  Forecast From 12/01/2017 Filing</v>
      </c>
      <c r="D10" s="234" t="s">
        <v>39</v>
      </c>
      <c r="E10" s="234"/>
      <c r="F10" s="235"/>
      <c r="G10" s="240" t="s">
        <v>39</v>
      </c>
      <c r="H10" s="241"/>
      <c r="I10" s="242"/>
      <c r="J10" s="236" t="s">
        <v>9</v>
      </c>
      <c r="K10" s="237"/>
      <c r="L10" s="238"/>
    </row>
    <row r="11" spans="1:35" x14ac:dyDescent="0.25">
      <c r="A11" s="62" t="s">
        <v>116</v>
      </c>
      <c r="C11" s="128"/>
      <c r="D11" s="20">
        <f>+'PCR Cycle 1'!D9</f>
        <v>43069</v>
      </c>
      <c r="E11" s="20">
        <f t="shared" ref="E11:L11" si="1">EOMONTH(D11,1)</f>
        <v>43100</v>
      </c>
      <c r="F11" s="20">
        <f t="shared" si="1"/>
        <v>43131</v>
      </c>
      <c r="G11" s="14">
        <f t="shared" si="1"/>
        <v>43159</v>
      </c>
      <c r="H11" s="20">
        <f t="shared" si="1"/>
        <v>43190</v>
      </c>
      <c r="I11" s="15">
        <f t="shared" si="1"/>
        <v>43220</v>
      </c>
      <c r="J11" s="20">
        <f t="shared" si="1"/>
        <v>43251</v>
      </c>
      <c r="K11" s="20">
        <f t="shared" si="1"/>
        <v>43281</v>
      </c>
      <c r="L11" s="15">
        <f t="shared" si="1"/>
        <v>43312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2" t="s">
        <v>6</v>
      </c>
      <c r="C12" s="120">
        <v>0</v>
      </c>
      <c r="D12" s="132">
        <f>SUM(D19:D20)</f>
        <v>0</v>
      </c>
      <c r="E12" s="132">
        <f t="shared" ref="E12:H12" si="2">SUM(E19:E20)</f>
        <v>0</v>
      </c>
      <c r="F12" s="133">
        <f t="shared" si="2"/>
        <v>0</v>
      </c>
      <c r="G12" s="16">
        <f t="shared" si="2"/>
        <v>-4836.13</v>
      </c>
      <c r="H12" s="71">
        <f t="shared" si="2"/>
        <v>0</v>
      </c>
      <c r="I12" s="195">
        <f>+I19+I20</f>
        <v>0</v>
      </c>
      <c r="J12" s="188">
        <f t="shared" ref="J12:K12" si="3">+J19+J20</f>
        <v>0</v>
      </c>
      <c r="K12" s="97">
        <f t="shared" si="3"/>
        <v>0</v>
      </c>
      <c r="L12" s="98"/>
    </row>
    <row r="13" spans="1:35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5" x14ac:dyDescent="0.25">
      <c r="A14" s="62" t="s">
        <v>115</v>
      </c>
      <c r="C14" s="122"/>
      <c r="D14" s="18"/>
      <c r="E14" s="18"/>
      <c r="F14" s="18"/>
      <c r="G14" s="114"/>
      <c r="H14" s="18"/>
      <c r="I14" s="196"/>
      <c r="J14" s="44"/>
      <c r="K14" s="44"/>
      <c r="L14" s="42"/>
      <c r="M14" s="3" t="s">
        <v>93</v>
      </c>
      <c r="N14" s="53"/>
    </row>
    <row r="15" spans="1:35" x14ac:dyDescent="0.25">
      <c r="A15" s="62" t="s">
        <v>29</v>
      </c>
      <c r="C15" s="120">
        <v>0</v>
      </c>
      <c r="D15" s="159">
        <f>ROUND('[3]KCPL-MO Revenue Analysis'!M170,2)</f>
        <v>0</v>
      </c>
      <c r="E15" s="159">
        <f>ROUND('[3]KCPL-MO Revenue Analysis'!N170,2)</f>
        <v>0</v>
      </c>
      <c r="F15" s="220">
        <f>ROUND('[4]KCPL-MO Revenue Analysis'!C216,2)</f>
        <v>0</v>
      </c>
      <c r="G15" s="16">
        <f>ROUND('[4]KCPL-MO Revenue Analysis'!D216,2)</f>
        <v>-1430.22</v>
      </c>
      <c r="H15" s="144">
        <f>ROUND('[4]KCPL-MO Revenue Analysis'!E216,2)</f>
        <v>0</v>
      </c>
      <c r="I15" s="197">
        <f>ROUND('[4]KCPL-MO Revenue Analysis'!F216,2)</f>
        <v>0</v>
      </c>
      <c r="J15" s="146">
        <f>'PCR Cycle 1'!J21*$M15</f>
        <v>0</v>
      </c>
      <c r="K15" s="55">
        <f>'PCR Cycle 1'!K21*$M15</f>
        <v>0</v>
      </c>
      <c r="L15" s="77">
        <f>'PCR Cycle 1'!L21*$M15</f>
        <v>0</v>
      </c>
      <c r="M15" s="88">
        <v>0</v>
      </c>
      <c r="N15" s="4"/>
    </row>
    <row r="16" spans="1:35" x14ac:dyDescent="0.25">
      <c r="A16" s="62" t="s">
        <v>30</v>
      </c>
      <c r="C16" s="120">
        <v>0</v>
      </c>
      <c r="D16" s="159">
        <f>ROUND('[3]KCPL-MO Revenue Analysis'!M171,2)</f>
        <v>0</v>
      </c>
      <c r="E16" s="159">
        <f>ROUND('[3]KCPL-MO Revenue Analysis'!N171,2)</f>
        <v>0</v>
      </c>
      <c r="F16" s="220">
        <f>ROUND('[4]KCPL-MO Revenue Analysis'!C217,2)</f>
        <v>0</v>
      </c>
      <c r="G16" s="16">
        <f>ROUND('[4]KCPL-MO Revenue Analysis'!D217,2)</f>
        <v>-3405.91</v>
      </c>
      <c r="H16" s="144">
        <f>ROUND('[4]KCPL-MO Revenue Analysis'!E217,2)</f>
        <v>0</v>
      </c>
      <c r="I16" s="197">
        <f>ROUND('[4]KCPL-MO Revenue Analysis'!F217,2)</f>
        <v>0</v>
      </c>
      <c r="J16" s="146">
        <f>'PCR Cycle 1'!J22*$M16</f>
        <v>0</v>
      </c>
      <c r="K16" s="55">
        <f>'PCR Cycle 1'!K22*$M16</f>
        <v>0</v>
      </c>
      <c r="L16" s="77">
        <f>'PCR Cycle 1'!L22*$M16</f>
        <v>0</v>
      </c>
      <c r="M16" s="88">
        <v>0</v>
      </c>
      <c r="N16" s="4"/>
    </row>
    <row r="17" spans="1:14" x14ac:dyDescent="0.25">
      <c r="C17" s="83"/>
      <c r="D17" s="84"/>
      <c r="E17" s="84"/>
      <c r="F17" s="84"/>
      <c r="G17" s="121"/>
      <c r="H17" s="84"/>
      <c r="I17" s="198"/>
      <c r="J17" s="72"/>
      <c r="K17" s="72"/>
      <c r="L17" s="13"/>
      <c r="N17" s="4"/>
    </row>
    <row r="18" spans="1:14" x14ac:dyDescent="0.25">
      <c r="A18" s="62" t="s">
        <v>117</v>
      </c>
      <c r="C18" s="50"/>
      <c r="D18" s="51"/>
      <c r="E18" s="51"/>
      <c r="F18" s="51"/>
      <c r="G18" s="50"/>
      <c r="H18" s="51"/>
      <c r="I18" s="201"/>
      <c r="J18" s="68"/>
      <c r="K18" s="68"/>
      <c r="L18" s="52"/>
    </row>
    <row r="19" spans="1:14" x14ac:dyDescent="0.25">
      <c r="A19" s="62" t="s">
        <v>29</v>
      </c>
      <c r="C19" s="120">
        <v>0</v>
      </c>
      <c r="D19" s="132">
        <v>0</v>
      </c>
      <c r="E19" s="132">
        <v>0</v>
      </c>
      <c r="F19" s="133">
        <v>0</v>
      </c>
      <c r="G19" s="16">
        <v>-1430.22</v>
      </c>
      <c r="H19" s="71">
        <v>0</v>
      </c>
      <c r="I19" s="195">
        <v>0</v>
      </c>
      <c r="J19" s="190">
        <v>0</v>
      </c>
      <c r="K19" s="167">
        <v>0</v>
      </c>
      <c r="L19" s="98"/>
    </row>
    <row r="20" spans="1:14" x14ac:dyDescent="0.25">
      <c r="A20" s="62" t="s">
        <v>30</v>
      </c>
      <c r="C20" s="120">
        <v>0</v>
      </c>
      <c r="D20" s="132">
        <v>0</v>
      </c>
      <c r="E20" s="132">
        <v>0</v>
      </c>
      <c r="F20" s="133">
        <v>0</v>
      </c>
      <c r="G20" s="16">
        <v>-3405.91</v>
      </c>
      <c r="H20" s="71">
        <v>0</v>
      </c>
      <c r="I20" s="195">
        <v>0</v>
      </c>
      <c r="J20" s="190">
        <v>0</v>
      </c>
      <c r="K20" s="167">
        <v>0</v>
      </c>
      <c r="L20" s="98"/>
      <c r="N20" s="63"/>
    </row>
    <row r="21" spans="1:14" x14ac:dyDescent="0.25">
      <c r="C21" s="122"/>
      <c r="D21" s="18"/>
      <c r="E21" s="18"/>
      <c r="F21" s="18"/>
      <c r="G21" s="114"/>
      <c r="H21" s="18"/>
      <c r="I21" s="196"/>
      <c r="J21" s="72"/>
      <c r="K21" s="72"/>
      <c r="L21" s="13"/>
    </row>
    <row r="22" spans="1:14" ht="15.75" thickBot="1" x14ac:dyDescent="0.3">
      <c r="A22" s="3" t="s">
        <v>16</v>
      </c>
      <c r="B22" s="3"/>
      <c r="C22" s="126">
        <v>0</v>
      </c>
      <c r="D22" s="159">
        <v>0</v>
      </c>
      <c r="E22" s="159">
        <v>0</v>
      </c>
      <c r="F22" s="160">
        <v>0</v>
      </c>
      <c r="G22" s="39">
        <v>0</v>
      </c>
      <c r="H22" s="145">
        <v>0</v>
      </c>
      <c r="I22" s="202">
        <v>0</v>
      </c>
      <c r="J22" s="191"/>
      <c r="K22" s="169"/>
      <c r="L22" s="101"/>
    </row>
    <row r="23" spans="1:14" x14ac:dyDescent="0.25">
      <c r="C23" s="80"/>
      <c r="D23" s="174"/>
      <c r="E23" s="174"/>
      <c r="F23" s="175"/>
      <c r="G23" s="80"/>
      <c r="H23" s="47"/>
      <c r="I23" s="203"/>
      <c r="J23" s="48"/>
      <c r="K23" s="48"/>
      <c r="L23" s="76"/>
    </row>
    <row r="24" spans="1:14" x14ac:dyDescent="0.25">
      <c r="A24" s="62" t="s">
        <v>68</v>
      </c>
      <c r="C24" s="81"/>
      <c r="D24" s="175"/>
      <c r="E24" s="175"/>
      <c r="F24" s="175"/>
      <c r="G24" s="81"/>
      <c r="H24" s="49"/>
      <c r="I24" s="204"/>
      <c r="J24" s="48"/>
      <c r="K24" s="48"/>
      <c r="L24" s="76"/>
    </row>
    <row r="25" spans="1:14" x14ac:dyDescent="0.25">
      <c r="A25" s="62" t="s">
        <v>29</v>
      </c>
      <c r="C25" s="123">
        <f t="shared" ref="C25:L25" si="4">C19-C15</f>
        <v>0</v>
      </c>
      <c r="D25" s="55">
        <f t="shared" si="4"/>
        <v>0</v>
      </c>
      <c r="E25" s="55">
        <f t="shared" si="4"/>
        <v>0</v>
      </c>
      <c r="F25" s="131">
        <f t="shared" si="4"/>
        <v>0</v>
      </c>
      <c r="G25" s="54">
        <f t="shared" si="4"/>
        <v>0</v>
      </c>
      <c r="H25" s="55">
        <f t="shared" si="4"/>
        <v>0</v>
      </c>
      <c r="I25" s="77">
        <f t="shared" si="4"/>
        <v>0</v>
      </c>
      <c r="J25" s="146">
        <f t="shared" si="4"/>
        <v>0</v>
      </c>
      <c r="K25" s="55">
        <f t="shared" si="4"/>
        <v>0</v>
      </c>
      <c r="L25" s="77">
        <f t="shared" si="4"/>
        <v>0</v>
      </c>
    </row>
    <row r="26" spans="1:14" x14ac:dyDescent="0.25">
      <c r="A26" s="62" t="s">
        <v>30</v>
      </c>
      <c r="C26" s="123">
        <f t="shared" ref="C26:L26" si="5">C20-C16</f>
        <v>0</v>
      </c>
      <c r="D26" s="55">
        <f t="shared" si="5"/>
        <v>0</v>
      </c>
      <c r="E26" s="55">
        <f t="shared" si="5"/>
        <v>0</v>
      </c>
      <c r="F26" s="131">
        <f t="shared" si="5"/>
        <v>0</v>
      </c>
      <c r="G26" s="54">
        <f t="shared" si="5"/>
        <v>0</v>
      </c>
      <c r="H26" s="55">
        <f t="shared" si="5"/>
        <v>0</v>
      </c>
      <c r="I26" s="77">
        <f t="shared" si="5"/>
        <v>0</v>
      </c>
      <c r="J26" s="146">
        <f t="shared" si="5"/>
        <v>0</v>
      </c>
      <c r="K26" s="55">
        <f t="shared" si="5"/>
        <v>0</v>
      </c>
      <c r="L26" s="77">
        <f t="shared" si="5"/>
        <v>0</v>
      </c>
    </row>
    <row r="27" spans="1:14" x14ac:dyDescent="0.25">
      <c r="C27" s="122"/>
      <c r="D27" s="17"/>
      <c r="E27" s="17"/>
      <c r="F27" s="17"/>
      <c r="G27" s="10"/>
      <c r="H27" s="17"/>
      <c r="I27" s="11"/>
      <c r="J27" s="17"/>
      <c r="K27" s="17"/>
      <c r="L27" s="11"/>
    </row>
    <row r="28" spans="1:14" ht="15.75" thickBot="1" x14ac:dyDescent="0.3">
      <c r="A28" s="62" t="s">
        <v>69</v>
      </c>
      <c r="C28" s="122"/>
      <c r="D28" s="17"/>
      <c r="E28" s="17"/>
      <c r="F28" s="17"/>
      <c r="G28" s="10"/>
      <c r="H28" s="17"/>
      <c r="I28" s="11"/>
      <c r="J28" s="17"/>
      <c r="K28" s="17"/>
      <c r="L28" s="11"/>
    </row>
    <row r="29" spans="1:14" x14ac:dyDescent="0.25">
      <c r="A29" s="62" t="s">
        <v>29</v>
      </c>
      <c r="B29" s="139">
        <v>0</v>
      </c>
      <c r="C29" s="123">
        <f>B29+C25+B34</f>
        <v>0</v>
      </c>
      <c r="D29" s="55">
        <f t="shared" ref="D29:L30" si="6">C29+D25+C34</f>
        <v>0</v>
      </c>
      <c r="E29" s="55">
        <f t="shared" si="6"/>
        <v>0</v>
      </c>
      <c r="F29" s="131">
        <f t="shared" si="6"/>
        <v>0</v>
      </c>
      <c r="G29" s="54">
        <f t="shared" si="6"/>
        <v>0</v>
      </c>
      <c r="H29" s="55">
        <f t="shared" si="6"/>
        <v>0</v>
      </c>
      <c r="I29" s="77">
        <f t="shared" si="6"/>
        <v>0</v>
      </c>
      <c r="J29" s="146">
        <f t="shared" si="6"/>
        <v>0</v>
      </c>
      <c r="K29" s="55">
        <f t="shared" si="6"/>
        <v>0</v>
      </c>
      <c r="L29" s="77">
        <f t="shared" si="6"/>
        <v>0</v>
      </c>
    </row>
    <row r="30" spans="1:14" ht="15.75" thickBot="1" x14ac:dyDescent="0.3">
      <c r="A30" s="62" t="s">
        <v>30</v>
      </c>
      <c r="B30" s="140">
        <v>0</v>
      </c>
      <c r="C30" s="123">
        <f>B30+C26+B35</f>
        <v>0</v>
      </c>
      <c r="D30" s="55">
        <f t="shared" si="6"/>
        <v>0</v>
      </c>
      <c r="E30" s="55">
        <f t="shared" si="6"/>
        <v>0</v>
      </c>
      <c r="F30" s="131">
        <f t="shared" si="6"/>
        <v>0</v>
      </c>
      <c r="G30" s="54">
        <f t="shared" si="6"/>
        <v>0</v>
      </c>
      <c r="H30" s="55">
        <f t="shared" si="6"/>
        <v>0</v>
      </c>
      <c r="I30" s="77">
        <f t="shared" si="6"/>
        <v>0</v>
      </c>
      <c r="J30" s="146">
        <f t="shared" si="6"/>
        <v>0</v>
      </c>
      <c r="K30" s="55">
        <f t="shared" si="6"/>
        <v>0</v>
      </c>
      <c r="L30" s="77">
        <f t="shared" si="6"/>
        <v>0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x14ac:dyDescent="0.25">
      <c r="A32" s="53" t="s">
        <v>112</v>
      </c>
      <c r="B32" s="53"/>
      <c r="C32" s="127"/>
      <c r="D32" s="102">
        <f>+'PCR Cycle 1'!D38</f>
        <v>2.1128200000000001E-3</v>
      </c>
      <c r="E32" s="102">
        <f>+'PCR Cycle 1'!E38</f>
        <v>2.28459E-3</v>
      </c>
      <c r="F32" s="102">
        <f>+'PCR Cycle 1'!F38</f>
        <v>2.3424800000000001E-3</v>
      </c>
      <c r="G32" s="103">
        <f>+'PCR Cycle 1'!G38</f>
        <v>2.37535E-3</v>
      </c>
      <c r="H32" s="102">
        <f>+'PCR Cycle 1'!H38</f>
        <v>2.5423099999999999E-3</v>
      </c>
      <c r="I32" s="115">
        <f>+'PCR Cycle 1'!I38</f>
        <v>2.6220499999999999E-3</v>
      </c>
      <c r="J32" s="102">
        <f>+'PCR Cycle 1'!J38</f>
        <v>2.6220499999999999E-3</v>
      </c>
      <c r="K32" s="102">
        <f>+'PCR Cycle 1'!K38</f>
        <v>2.6220499999999999E-3</v>
      </c>
      <c r="L32" s="104"/>
    </row>
    <row r="33" spans="1:12" x14ac:dyDescent="0.25">
      <c r="A33" s="53" t="s">
        <v>44</v>
      </c>
      <c r="B33" s="53"/>
      <c r="C33" s="129"/>
      <c r="D33" s="102"/>
      <c r="E33" s="102"/>
      <c r="F33" s="102"/>
      <c r="G33" s="103"/>
      <c r="H33" s="102"/>
      <c r="I33" s="104"/>
      <c r="J33" s="102"/>
      <c r="K33" s="102"/>
      <c r="L33" s="104"/>
    </row>
    <row r="34" spans="1:12" x14ac:dyDescent="0.25">
      <c r="A34" s="62" t="s">
        <v>29</v>
      </c>
      <c r="C34" s="123">
        <v>0</v>
      </c>
      <c r="D34" s="55">
        <f t="shared" ref="D34:L35" si="7">ROUND((C29+C34+D25/2)*D$32,2)</f>
        <v>0</v>
      </c>
      <c r="E34" s="55">
        <f t="shared" si="7"/>
        <v>0</v>
      </c>
      <c r="F34" s="131">
        <f t="shared" si="7"/>
        <v>0</v>
      </c>
      <c r="G34" s="54">
        <f t="shared" si="7"/>
        <v>0</v>
      </c>
      <c r="H34" s="146">
        <f t="shared" si="7"/>
        <v>0</v>
      </c>
      <c r="I34" s="65">
        <f t="shared" si="7"/>
        <v>0</v>
      </c>
      <c r="J34" s="192">
        <f t="shared" si="7"/>
        <v>0</v>
      </c>
      <c r="K34" s="131">
        <f t="shared" si="7"/>
        <v>0</v>
      </c>
      <c r="L34" s="77">
        <f t="shared" si="7"/>
        <v>0</v>
      </c>
    </row>
    <row r="35" spans="1:12" ht="15.75" thickBot="1" x14ac:dyDescent="0.3">
      <c r="A35" s="62" t="s">
        <v>30</v>
      </c>
      <c r="C35" s="123">
        <v>0</v>
      </c>
      <c r="D35" s="55">
        <f t="shared" si="7"/>
        <v>0</v>
      </c>
      <c r="E35" s="55">
        <f t="shared" si="7"/>
        <v>0</v>
      </c>
      <c r="F35" s="131">
        <f t="shared" si="7"/>
        <v>0</v>
      </c>
      <c r="G35" s="54">
        <f t="shared" si="7"/>
        <v>0</v>
      </c>
      <c r="H35" s="146">
        <f t="shared" si="7"/>
        <v>0</v>
      </c>
      <c r="I35" s="65">
        <f t="shared" si="7"/>
        <v>0</v>
      </c>
      <c r="J35" s="192">
        <f t="shared" si="7"/>
        <v>0</v>
      </c>
      <c r="K35" s="131">
        <f t="shared" si="7"/>
        <v>0</v>
      </c>
      <c r="L35" s="77">
        <f t="shared" si="7"/>
        <v>0</v>
      </c>
    </row>
    <row r="36" spans="1:12" ht="16.5" thickTop="1" thickBot="1" x14ac:dyDescent="0.3">
      <c r="A36" s="70" t="s">
        <v>25</v>
      </c>
      <c r="B36" s="70"/>
      <c r="C36" s="130">
        <v>0</v>
      </c>
      <c r="D36" s="56">
        <f t="shared" ref="D36:I36" si="8">SUM(D34:D35)+SUM(D29:D30)-D39</f>
        <v>0</v>
      </c>
      <c r="E36" s="56">
        <f t="shared" si="8"/>
        <v>0</v>
      </c>
      <c r="F36" s="66">
        <f t="shared" ref="F36:H36" si="9">SUM(F34:F35)+SUM(F29:F30)-F39</f>
        <v>0</v>
      </c>
      <c r="G36" s="172">
        <f t="shared" si="9"/>
        <v>0</v>
      </c>
      <c r="H36" s="66">
        <f t="shared" si="9"/>
        <v>0</v>
      </c>
      <c r="I36" s="78">
        <f t="shared" si="8"/>
        <v>0</v>
      </c>
      <c r="J36" s="193">
        <f t="shared" ref="J36:L36" si="10">SUM(J34:J35)+SUM(J29:J30)-J39</f>
        <v>0</v>
      </c>
      <c r="K36" s="66">
        <f t="shared" si="10"/>
        <v>0</v>
      </c>
      <c r="L36" s="78">
        <f t="shared" si="10"/>
        <v>0</v>
      </c>
    </row>
    <row r="37" spans="1:12" ht="16.5" thickTop="1" thickBot="1" x14ac:dyDescent="0.3">
      <c r="A37" s="70" t="s">
        <v>26</v>
      </c>
      <c r="B37" s="70"/>
      <c r="C37" s="130">
        <v>0</v>
      </c>
      <c r="D37" s="56">
        <f t="shared" ref="D37:I37" si="11">SUM(D34:D35)-D22</f>
        <v>0</v>
      </c>
      <c r="E37" s="56">
        <f t="shared" si="11"/>
        <v>0</v>
      </c>
      <c r="F37" s="66">
        <f t="shared" ref="F37:H37" si="12">SUM(F34:F35)-F22</f>
        <v>0</v>
      </c>
      <c r="G37" s="172">
        <f t="shared" si="12"/>
        <v>0</v>
      </c>
      <c r="H37" s="66">
        <f t="shared" si="12"/>
        <v>0</v>
      </c>
      <c r="I37" s="78">
        <f t="shared" si="11"/>
        <v>0</v>
      </c>
      <c r="J37" s="194">
        <f t="shared" ref="J37:L37" si="13">SUM(J34:J35)-J22</f>
        <v>0</v>
      </c>
      <c r="K37" s="56">
        <f t="shared" si="13"/>
        <v>0</v>
      </c>
      <c r="L37" s="56">
        <f t="shared" si="13"/>
        <v>0</v>
      </c>
    </row>
    <row r="38" spans="1:12" ht="16.5" thickTop="1" thickBot="1" x14ac:dyDescent="0.3">
      <c r="C38" s="122"/>
      <c r="D38" s="17"/>
      <c r="E38" s="17"/>
      <c r="F38" s="17"/>
      <c r="G38" s="10"/>
      <c r="H38" s="17"/>
      <c r="I38" s="11"/>
      <c r="J38" s="17"/>
      <c r="K38" s="17"/>
      <c r="L38" s="11"/>
    </row>
    <row r="39" spans="1:12" ht="15.75" thickBot="1" x14ac:dyDescent="0.3">
      <c r="A39" s="62" t="s">
        <v>42</v>
      </c>
      <c r="B39" s="142">
        <v>0</v>
      </c>
      <c r="C39" s="123">
        <f t="shared" ref="C39:L39" si="14">(C12-SUM(C15:C16))+SUM(C34:C35)+B39</f>
        <v>0</v>
      </c>
      <c r="D39" s="55">
        <f t="shared" si="14"/>
        <v>0</v>
      </c>
      <c r="E39" s="55">
        <f t="shared" si="14"/>
        <v>0</v>
      </c>
      <c r="F39" s="131">
        <f t="shared" si="14"/>
        <v>0</v>
      </c>
      <c r="G39" s="54">
        <f t="shared" si="14"/>
        <v>0</v>
      </c>
      <c r="H39" s="55">
        <f t="shared" si="14"/>
        <v>0</v>
      </c>
      <c r="I39" s="77">
        <f t="shared" si="14"/>
        <v>0</v>
      </c>
      <c r="J39" s="192">
        <f t="shared" si="14"/>
        <v>0</v>
      </c>
      <c r="K39" s="131">
        <f t="shared" si="14"/>
        <v>0</v>
      </c>
      <c r="L39" s="77">
        <f t="shared" si="14"/>
        <v>0</v>
      </c>
    </row>
    <row r="40" spans="1:12" x14ac:dyDescent="0.25">
      <c r="A40" s="62" t="s">
        <v>14</v>
      </c>
      <c r="C40" s="143"/>
      <c r="D40" s="17"/>
      <c r="E40" s="17"/>
      <c r="F40" s="17"/>
      <c r="G40" s="10"/>
      <c r="H40" s="17"/>
      <c r="I40" s="11"/>
      <c r="J40" s="17"/>
      <c r="K40" s="17"/>
      <c r="L40" s="11"/>
    </row>
    <row r="41" spans="1:12" ht="15.75" thickBot="1" x14ac:dyDescent="0.3">
      <c r="A41" s="51"/>
      <c r="B41" s="51"/>
      <c r="C41" s="173"/>
      <c r="D41" s="58"/>
      <c r="E41" s="58"/>
      <c r="F41" s="58"/>
      <c r="G41" s="57"/>
      <c r="H41" s="58"/>
      <c r="I41" s="59"/>
      <c r="J41" s="58"/>
      <c r="K41" s="58"/>
      <c r="L41" s="59"/>
    </row>
    <row r="43" spans="1:12" x14ac:dyDescent="0.25">
      <c r="A43" s="85" t="s">
        <v>13</v>
      </c>
      <c r="B43" s="85"/>
      <c r="C43" s="85"/>
    </row>
    <row r="44" spans="1:12" ht="31.5" customHeight="1" x14ac:dyDescent="0.25">
      <c r="A44" s="233" t="s">
        <v>146</v>
      </c>
      <c r="B44" s="233"/>
      <c r="C44" s="233"/>
      <c r="D44" s="233"/>
      <c r="E44" s="233"/>
      <c r="F44" s="233"/>
      <c r="G44" s="233"/>
      <c r="H44" s="233"/>
      <c r="I44" s="233"/>
      <c r="J44" s="216"/>
      <c r="K44" s="216"/>
      <c r="L44" s="216"/>
    </row>
    <row r="45" spans="1:12" ht="45.75" customHeight="1" x14ac:dyDescent="0.25">
      <c r="A45" s="233"/>
      <c r="B45" s="233"/>
      <c r="C45" s="233"/>
      <c r="D45" s="233"/>
      <c r="E45" s="233"/>
      <c r="F45" s="233"/>
      <c r="G45" s="233"/>
      <c r="H45" s="233"/>
      <c r="I45" s="217"/>
      <c r="J45" s="216"/>
      <c r="K45" s="216"/>
    </row>
    <row r="46" spans="1:12" ht="18.75" customHeight="1" x14ac:dyDescent="0.25">
      <c r="A46" s="233"/>
      <c r="B46" s="233"/>
      <c r="C46" s="233"/>
      <c r="D46" s="233"/>
      <c r="E46" s="233"/>
      <c r="F46" s="233"/>
      <c r="G46" s="233"/>
      <c r="H46" s="233"/>
      <c r="I46" s="233"/>
      <c r="J46" s="216"/>
      <c r="K46" s="216"/>
      <c r="L46" s="216"/>
    </row>
    <row r="47" spans="1:12" x14ac:dyDescent="0.25">
      <c r="A47" s="79"/>
      <c r="B47" s="79"/>
      <c r="C47" s="79"/>
      <c r="D47" s="53"/>
      <c r="E47" s="53"/>
      <c r="F47" s="53"/>
      <c r="G47" s="53"/>
      <c r="H47" s="53"/>
      <c r="I47" s="53"/>
    </row>
    <row r="48" spans="1:12" x14ac:dyDescent="0.25">
      <c r="A48" s="79"/>
      <c r="B48" s="79"/>
      <c r="C48" s="79"/>
      <c r="D48" s="53"/>
      <c r="E48" s="53"/>
      <c r="F48" s="53"/>
      <c r="G48" s="53"/>
      <c r="H48" s="53"/>
      <c r="I48" s="53"/>
    </row>
    <row r="49" spans="1:9" x14ac:dyDescent="0.25">
      <c r="A49" s="79"/>
      <c r="B49" s="79"/>
      <c r="C49" s="79"/>
      <c r="D49" s="53"/>
      <c r="E49" s="53"/>
      <c r="F49" s="53"/>
      <c r="G49" s="53"/>
      <c r="H49" s="53"/>
      <c r="I49" s="53"/>
    </row>
    <row r="50" spans="1:9" x14ac:dyDescent="0.25">
      <c r="A50" s="3"/>
      <c r="B50" s="3"/>
      <c r="C50" s="3"/>
    </row>
  </sheetData>
  <mergeCells count="6">
    <mergeCell ref="A46:I46"/>
    <mergeCell ref="D10:F10"/>
    <mergeCell ref="G10:I10"/>
    <mergeCell ref="J10:L10"/>
    <mergeCell ref="A44:I44"/>
    <mergeCell ref="A45:H45"/>
  </mergeCells>
  <pageMargins left="0.2" right="0.2" top="0.75" bottom="0.25" header="0.3" footer="0.3"/>
  <pageSetup scale="62" orientation="landscape" r:id="rId1"/>
  <headerFooter>
    <oddHeader>&amp;C&amp;F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zoomScaleNormal="100" workbookViewId="0">
      <selection activeCell="H1" sqref="H1"/>
    </sheetView>
  </sheetViews>
  <sheetFormatPr defaultRowHeight="15" x14ac:dyDescent="0.25"/>
  <cols>
    <col min="1" max="1" width="17.5703125" customWidth="1"/>
    <col min="2" max="2" width="22" customWidth="1"/>
    <col min="3" max="3" width="17.28515625" customWidth="1"/>
    <col min="4" max="4" width="24.85546875" bestFit="1" customWidth="1"/>
    <col min="5" max="5" width="15.5703125" bestFit="1" customWidth="1"/>
    <col min="6" max="9" width="17.7109375" customWidth="1"/>
  </cols>
  <sheetData>
    <row r="1" spans="1:32" s="62" customFormat="1" x14ac:dyDescent="0.25">
      <c r="A1" s="79" t="s">
        <v>124</v>
      </c>
    </row>
    <row r="2" spans="1:32" ht="15.75" thickBot="1" x14ac:dyDescent="0.3">
      <c r="A2" s="9" t="s">
        <v>125</v>
      </c>
    </row>
    <row r="3" spans="1:32" ht="35.25" customHeight="1" thickBot="1" x14ac:dyDescent="0.3">
      <c r="B3" s="228" t="s">
        <v>85</v>
      </c>
      <c r="C3" s="228"/>
      <c r="E3" s="229" t="s">
        <v>5</v>
      </c>
      <c r="F3" s="230"/>
      <c r="G3" s="230"/>
      <c r="H3" s="230"/>
      <c r="I3" s="231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80</v>
      </c>
      <c r="I4" s="91" t="s">
        <v>1</v>
      </c>
    </row>
    <row r="5" spans="1:32" x14ac:dyDescent="0.25">
      <c r="A5" s="22" t="s">
        <v>29</v>
      </c>
      <c r="B5" s="93">
        <f>+'[1]Billed kWh Sales'!O25</f>
        <v>1381850604</v>
      </c>
      <c r="C5" s="36">
        <f>SUM(F9:I9)</f>
        <v>3073106.16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+'[1]Billed kWh Sales'!O26</f>
        <v>2482288222</v>
      </c>
      <c r="C6" s="36">
        <f>SUM(F10:I10)</f>
        <v>5077138.8299999991</v>
      </c>
      <c r="D6" s="4"/>
      <c r="E6" s="25"/>
      <c r="F6" s="27">
        <v>0</v>
      </c>
      <c r="G6" s="27"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3864138826</v>
      </c>
      <c r="C7" s="24">
        <f>SUM(C5:C6)</f>
        <v>8150244.9899999993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ROUND('[2]Program Costs - KCP&amp;L'!$AK$159,2)</f>
        <v>2626881.35</v>
      </c>
      <c r="G8" s="37">
        <f>ROUND('[2]Program Costs - KCP&amp;L'!$AK$160,2)</f>
        <v>4630914.0199999996</v>
      </c>
      <c r="H8" s="37">
        <f>ROUND('[2]Program Costs - KCP&amp;L'!$AK$161,2)</f>
        <v>892449.62</v>
      </c>
      <c r="I8" s="38">
        <f>ROUND('[2]Program Costs - KCP&amp;L'!$AK$162,2)</f>
        <v>0</v>
      </c>
    </row>
    <row r="9" spans="1:32" ht="15.75" thickTop="1" x14ac:dyDescent="0.25">
      <c r="D9" s="4"/>
      <c r="E9" s="106" t="s">
        <v>29</v>
      </c>
      <c r="F9" s="107">
        <f t="shared" ref="F9:I10" si="0">F5*F$8</f>
        <v>2626881.35</v>
      </c>
      <c r="G9" s="107">
        <f t="shared" si="0"/>
        <v>0</v>
      </c>
      <c r="H9" s="107">
        <f t="shared" si="0"/>
        <v>446224.81</v>
      </c>
      <c r="I9" s="108">
        <f t="shared" si="0"/>
        <v>0</v>
      </c>
    </row>
    <row r="10" spans="1:32" ht="15.75" thickBot="1" x14ac:dyDescent="0.3">
      <c r="D10" s="4"/>
      <c r="E10" s="26" t="s">
        <v>30</v>
      </c>
      <c r="F10" s="29">
        <f t="shared" si="0"/>
        <v>0</v>
      </c>
      <c r="G10" s="29">
        <f t="shared" si="0"/>
        <v>4630914.0199999996</v>
      </c>
      <c r="H10" s="29">
        <f t="shared" si="0"/>
        <v>446224.81</v>
      </c>
      <c r="I10" s="30">
        <f t="shared" si="0"/>
        <v>0</v>
      </c>
    </row>
    <row r="13" spans="1:32" x14ac:dyDescent="0.25"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69" t="s">
        <v>13</v>
      </c>
      <c r="F14" s="61"/>
      <c r="G14" s="61"/>
      <c r="H14" s="61"/>
      <c r="I14" s="176"/>
      <c r="J14" s="61"/>
    </row>
    <row r="15" spans="1:32" x14ac:dyDescent="0.25">
      <c r="A15" s="232" t="s">
        <v>148</v>
      </c>
      <c r="B15" s="232"/>
      <c r="C15" s="232"/>
      <c r="D15" s="232"/>
      <c r="E15" s="232"/>
      <c r="F15" s="232"/>
      <c r="G15" s="232"/>
      <c r="H15" s="232"/>
      <c r="I15" s="232"/>
    </row>
    <row r="16" spans="1:32" x14ac:dyDescent="0.25">
      <c r="A16" s="232" t="s">
        <v>137</v>
      </c>
      <c r="B16" s="232"/>
      <c r="C16" s="232"/>
      <c r="D16" s="232"/>
      <c r="E16" s="232"/>
      <c r="F16" s="232"/>
      <c r="G16" s="232"/>
      <c r="H16" s="232"/>
      <c r="I16" s="232"/>
    </row>
    <row r="17" spans="1:10" x14ac:dyDescent="0.25">
      <c r="I17" s="176"/>
    </row>
    <row r="18" spans="1:10" x14ac:dyDescent="0.25">
      <c r="I18" s="176"/>
    </row>
    <row r="19" spans="1:10" x14ac:dyDescent="0.25">
      <c r="I19" s="176"/>
    </row>
    <row r="26" spans="1:10" x14ac:dyDescent="0.25">
      <c r="C26" s="2"/>
    </row>
    <row r="28" spans="1:10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25">
      <c r="A29" s="62"/>
      <c r="B29" s="62"/>
      <c r="C29" s="62"/>
      <c r="E29" s="62"/>
      <c r="F29" s="62"/>
      <c r="G29" s="62"/>
      <c r="H29" s="62"/>
      <c r="I29" s="62"/>
      <c r="J29" s="62"/>
    </row>
    <row r="30" spans="1:10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</row>
    <row r="33" spans="1:10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</row>
    <row r="34" spans="1:10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</row>
    <row r="35" spans="1:10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</row>
    <row r="36" spans="1:10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</row>
    <row r="37" spans="1:10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</row>
    <row r="38" spans="1:10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</row>
    <row r="39" spans="1:10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</row>
    <row r="40" spans="1:10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</row>
    <row r="41" spans="1:10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</row>
    <row r="42" spans="1:10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</row>
    <row r="48" spans="1:10" x14ac:dyDescent="0.25">
      <c r="B48" s="8"/>
      <c r="C48" s="8"/>
      <c r="D48" s="8"/>
    </row>
    <row r="52" spans="2:4" x14ac:dyDescent="0.25">
      <c r="B52" s="8"/>
      <c r="C52" s="8"/>
      <c r="D52" s="8"/>
    </row>
  </sheetData>
  <mergeCells count="4">
    <mergeCell ref="B3:C3"/>
    <mergeCell ref="E3:I3"/>
    <mergeCell ref="A15:I15"/>
    <mergeCell ref="A16:I16"/>
  </mergeCells>
  <pageMargins left="0.2" right="0.2" top="0.75" bottom="0.25" header="0.3" footer="0.3"/>
  <pageSetup scale="80" orientation="landscape" r:id="rId1"/>
  <headerFooter>
    <oddHeader>&amp;C&amp;F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zoomScaleNormal="100" workbookViewId="0">
      <pane xSplit="3" ySplit="9" topLeftCell="D31" activePane="bottomRight" state="frozen"/>
      <selection activeCell="H1" sqref="H1"/>
      <selection pane="topRight" activeCell="H1" sqref="H1"/>
      <selection pane="bottomLeft" activeCell="H1" sqref="H1"/>
      <selection pane="bottomRight" activeCell="H1" sqref="H1"/>
    </sheetView>
  </sheetViews>
  <sheetFormatPr defaultRowHeight="15" x14ac:dyDescent="0.25"/>
  <cols>
    <col min="1" max="1" width="54.5703125" customWidth="1"/>
    <col min="2" max="2" width="14.7109375" style="62" bestFit="1" customWidth="1"/>
    <col min="3" max="3" width="15" style="62" bestFit="1" customWidth="1"/>
    <col min="4" max="4" width="15.140625" customWidth="1"/>
    <col min="5" max="5" width="15.85546875" bestFit="1" customWidth="1"/>
    <col min="6" max="6" width="17.5703125" style="62" bestFit="1" customWidth="1"/>
    <col min="7" max="8" width="13.28515625" style="62" bestFit="1" customWidth="1"/>
    <col min="9" max="9" width="12.5703125" bestFit="1" customWidth="1"/>
    <col min="10" max="11" width="12.5703125" style="62" bestFit="1" customWidth="1"/>
    <col min="12" max="12" width="12.28515625" style="62" bestFit="1" customWidth="1"/>
    <col min="13" max="13" width="15" bestFit="1" customWidth="1"/>
    <col min="14" max="14" width="16.28515625" bestFit="1" customWidth="1"/>
    <col min="15" max="15" width="16.140625" customWidth="1"/>
    <col min="16" max="16" width="17.28515625" bestFit="1" customWidth="1"/>
    <col min="17" max="17" width="17.42578125" customWidth="1"/>
    <col min="18" max="18" width="15.5703125" customWidth="1"/>
    <col min="19" max="19" width="13" customWidth="1"/>
    <col min="21" max="21" width="14.28515625" bestFit="1" customWidth="1"/>
  </cols>
  <sheetData>
    <row r="1" spans="1:34" x14ac:dyDescent="0.25">
      <c r="A1" s="3" t="str">
        <f>+PPC!A1</f>
        <v>Kansas City Power &amp; Light Company - DSIM Rider Update Filed 06/01/2018</v>
      </c>
      <c r="B1" s="3"/>
      <c r="C1" s="3"/>
    </row>
    <row r="2" spans="1:34" x14ac:dyDescent="0.25">
      <c r="D2" s="3" t="s">
        <v>79</v>
      </c>
    </row>
    <row r="3" spans="1:34" ht="30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71</v>
      </c>
      <c r="I3" s="6" t="s">
        <v>11</v>
      </c>
      <c r="J3" s="6" t="s">
        <v>4</v>
      </c>
    </row>
    <row r="4" spans="1:34" x14ac:dyDescent="0.25">
      <c r="A4" s="62" t="s">
        <v>29</v>
      </c>
      <c r="D4" s="24">
        <f>SUM(C25:L25)</f>
        <v>0</v>
      </c>
      <c r="E4" s="161">
        <f>SUM(C21:L21)</f>
        <v>1203144899</v>
      </c>
      <c r="F4" s="24">
        <f>SUM(C17:K17)</f>
        <v>0</v>
      </c>
      <c r="G4" s="24">
        <f>F4-D4</f>
        <v>0</v>
      </c>
      <c r="H4" s="24">
        <f>+B35</f>
        <v>0</v>
      </c>
      <c r="I4" s="24">
        <f>SUM(C40:K40)</f>
        <v>0</v>
      </c>
      <c r="J4" s="36">
        <f>SUM(G4:I4)</f>
        <v>0</v>
      </c>
      <c r="K4" s="63">
        <f>+J4-L35</f>
        <v>0</v>
      </c>
      <c r="M4" s="45"/>
    </row>
    <row r="5" spans="1:34" ht="15.75" thickBot="1" x14ac:dyDescent="0.3">
      <c r="A5" t="s">
        <v>30</v>
      </c>
      <c r="D5" s="24">
        <f>SUM(C26:L26)</f>
        <v>-328210.03966763802</v>
      </c>
      <c r="E5" s="161">
        <f>SUM(C22:L22)</f>
        <v>2306344157.0767722</v>
      </c>
      <c r="F5" s="24">
        <f>SUM(C18:K18)</f>
        <v>0</v>
      </c>
      <c r="G5" s="24">
        <f>F5-D5</f>
        <v>328210.03966763802</v>
      </c>
      <c r="H5" s="24">
        <f>+B36</f>
        <v>-231808.47</v>
      </c>
      <c r="I5" s="24">
        <f>SUM(C41:K41)</f>
        <v>-1794.82</v>
      </c>
      <c r="J5" s="36">
        <f>SUM(G5:I5)</f>
        <v>94606.749667638011</v>
      </c>
      <c r="K5" s="63">
        <f>+J5-L36</f>
        <v>-1.1641532182693481E-10</v>
      </c>
      <c r="M5" s="45"/>
    </row>
    <row r="6" spans="1:34" ht="16.5" thickTop="1" thickBot="1" x14ac:dyDescent="0.3">
      <c r="D6" s="40">
        <f t="shared" ref="D6" si="0">SUM(D4:D5)</f>
        <v>-328210.03966763802</v>
      </c>
      <c r="E6" s="162">
        <f t="shared" ref="E6:H6" si="1">SUM(E4:E5)</f>
        <v>3509489056.0767722</v>
      </c>
      <c r="F6" s="40">
        <f t="shared" si="1"/>
        <v>0</v>
      </c>
      <c r="G6" s="40">
        <f t="shared" si="1"/>
        <v>328210.03966763802</v>
      </c>
      <c r="H6" s="40">
        <f t="shared" si="1"/>
        <v>-231808.47</v>
      </c>
      <c r="I6" s="94">
        <f>SUM(I4:I5)</f>
        <v>-1794.82</v>
      </c>
      <c r="J6" s="40">
        <f>SUM(J4:J5)</f>
        <v>94606.749667638011</v>
      </c>
    </row>
    <row r="7" spans="1:34" ht="16.5" thickTop="1" thickBot="1" x14ac:dyDescent="0.3"/>
    <row r="8" spans="1:34" ht="75.75" thickBot="1" x14ac:dyDescent="0.3">
      <c r="B8" s="141" t="s">
        <v>126</v>
      </c>
      <c r="C8" s="179" t="s">
        <v>127</v>
      </c>
      <c r="D8" s="234" t="s">
        <v>39</v>
      </c>
      <c r="E8" s="234"/>
      <c r="F8" s="235"/>
      <c r="G8" s="205" t="s">
        <v>39</v>
      </c>
      <c r="H8" s="206"/>
      <c r="I8" s="207"/>
      <c r="J8" s="186" t="s">
        <v>9</v>
      </c>
      <c r="K8" s="186"/>
      <c r="L8" s="187"/>
    </row>
    <row r="9" spans="1:34" x14ac:dyDescent="0.25">
      <c r="A9" t="s">
        <v>38</v>
      </c>
      <c r="C9" s="14"/>
      <c r="D9" s="20">
        <v>43069</v>
      </c>
      <c r="E9" s="20">
        <f>EOMONTH(D9,1)</f>
        <v>43100</v>
      </c>
      <c r="F9" s="20">
        <f t="shared" ref="F9:L9" si="2">EOMONTH(E9,1)</f>
        <v>43131</v>
      </c>
      <c r="G9" s="14">
        <f t="shared" si="2"/>
        <v>43159</v>
      </c>
      <c r="H9" s="20">
        <f t="shared" si="2"/>
        <v>43190</v>
      </c>
      <c r="I9" s="15">
        <f t="shared" si="2"/>
        <v>43220</v>
      </c>
      <c r="J9" s="20">
        <f t="shared" si="2"/>
        <v>43251</v>
      </c>
      <c r="K9" s="20">
        <f t="shared" si="2"/>
        <v>43281</v>
      </c>
      <c r="L9" s="118">
        <f t="shared" si="2"/>
        <v>43312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t="s">
        <v>29</v>
      </c>
      <c r="C10" s="120">
        <v>0</v>
      </c>
      <c r="D10" s="132">
        <v>0</v>
      </c>
      <c r="E10" s="132">
        <v>0</v>
      </c>
      <c r="F10" s="133">
        <v>0</v>
      </c>
      <c r="G10" s="16">
        <v>0</v>
      </c>
      <c r="H10" s="71">
        <v>0</v>
      </c>
      <c r="I10" s="195">
        <v>0</v>
      </c>
      <c r="J10" s="208">
        <v>0</v>
      </c>
      <c r="K10" s="164">
        <v>0</v>
      </c>
      <c r="L10" s="95"/>
    </row>
    <row r="11" spans="1:34" x14ac:dyDescent="0.25">
      <c r="A11" t="s">
        <v>30</v>
      </c>
      <c r="C11" s="120">
        <v>0</v>
      </c>
      <c r="D11" s="132">
        <v>0</v>
      </c>
      <c r="E11" s="132">
        <v>0</v>
      </c>
      <c r="F11" s="133">
        <v>0</v>
      </c>
      <c r="G11" s="16">
        <v>0</v>
      </c>
      <c r="H11" s="71">
        <v>0</v>
      </c>
      <c r="I11" s="195">
        <v>0</v>
      </c>
      <c r="J11" s="208">
        <v>0</v>
      </c>
      <c r="K11" s="164">
        <v>0</v>
      </c>
      <c r="L11" s="95"/>
      <c r="M11" s="79" t="s">
        <v>32</v>
      </c>
    </row>
    <row r="12" spans="1:34" x14ac:dyDescent="0.25">
      <c r="A12" t="s">
        <v>0</v>
      </c>
      <c r="C12" s="120">
        <v>0</v>
      </c>
      <c r="D12" s="132">
        <v>0</v>
      </c>
      <c r="E12" s="132">
        <v>0</v>
      </c>
      <c r="F12" s="133">
        <v>0</v>
      </c>
      <c r="G12" s="16">
        <v>0</v>
      </c>
      <c r="H12" s="71">
        <v>0</v>
      </c>
      <c r="I12" s="195">
        <v>0</v>
      </c>
      <c r="J12" s="208">
        <v>0</v>
      </c>
      <c r="K12" s="164">
        <v>0</v>
      </c>
      <c r="L12" s="95"/>
      <c r="M12" s="89">
        <v>0.5</v>
      </c>
    </row>
    <row r="13" spans="1:34" x14ac:dyDescent="0.25">
      <c r="A13" t="s">
        <v>1</v>
      </c>
      <c r="C13" s="120">
        <v>0</v>
      </c>
      <c r="D13" s="132">
        <v>0</v>
      </c>
      <c r="E13" s="132">
        <v>0</v>
      </c>
      <c r="F13" s="133">
        <v>0</v>
      </c>
      <c r="G13" s="16">
        <v>0</v>
      </c>
      <c r="H13" s="71">
        <v>0</v>
      </c>
      <c r="I13" s="195">
        <v>0</v>
      </c>
      <c r="J13" s="208">
        <v>0</v>
      </c>
      <c r="K13" s="164">
        <v>0</v>
      </c>
      <c r="L13" s="95"/>
      <c r="M13" s="79" t="s">
        <v>28</v>
      </c>
    </row>
    <row r="14" spans="1:34" s="62" customFormat="1" x14ac:dyDescent="0.25">
      <c r="A14" s="62" t="s">
        <v>27</v>
      </c>
      <c r="C14" s="120">
        <v>0</v>
      </c>
      <c r="D14" s="132">
        <v>0</v>
      </c>
      <c r="E14" s="132">
        <v>0</v>
      </c>
      <c r="F14" s="133">
        <v>0</v>
      </c>
      <c r="G14" s="16">
        <v>0</v>
      </c>
      <c r="H14" s="71">
        <v>0</v>
      </c>
      <c r="I14" s="195">
        <v>0</v>
      </c>
      <c r="J14" s="208">
        <v>0</v>
      </c>
      <c r="K14" s="164">
        <v>0</v>
      </c>
      <c r="L14" s="95"/>
      <c r="M14" s="89">
        <v>2.4400000000000002E-2</v>
      </c>
    </row>
    <row r="15" spans="1:34" x14ac:dyDescent="0.25">
      <c r="C15" s="121"/>
      <c r="D15" s="44"/>
      <c r="E15" s="44"/>
      <c r="F15" s="44"/>
      <c r="G15" s="41"/>
      <c r="H15" s="44"/>
      <c r="I15" s="11"/>
      <c r="J15" s="44"/>
      <c r="K15" s="44"/>
      <c r="L15" s="42"/>
    </row>
    <row r="16" spans="1:34" x14ac:dyDescent="0.25">
      <c r="A16" t="s">
        <v>41</v>
      </c>
      <c r="C16" s="122"/>
      <c r="D16" s="44"/>
      <c r="E16" s="44"/>
      <c r="F16" s="44"/>
      <c r="G16" s="41"/>
      <c r="H16" s="44"/>
      <c r="I16" s="196"/>
      <c r="J16" s="17"/>
      <c r="K16" s="17"/>
      <c r="L16" s="11"/>
    </row>
    <row r="17" spans="1:14" x14ac:dyDescent="0.25">
      <c r="A17" s="62" t="s">
        <v>29</v>
      </c>
      <c r="C17" s="54">
        <f t="shared" ref="C17:I17" si="3">C10+($M$12*C$12)+($M$12*C$13)+C$14*(1-$M$14)</f>
        <v>0</v>
      </c>
      <c r="D17" s="55">
        <f t="shared" si="3"/>
        <v>0</v>
      </c>
      <c r="E17" s="55">
        <f t="shared" si="3"/>
        <v>0</v>
      </c>
      <c r="F17" s="131">
        <f t="shared" si="3"/>
        <v>0</v>
      </c>
      <c r="G17" s="54">
        <f t="shared" si="3"/>
        <v>0</v>
      </c>
      <c r="H17" s="55">
        <f t="shared" si="3"/>
        <v>0</v>
      </c>
      <c r="I17" s="77">
        <f t="shared" si="3"/>
        <v>0</v>
      </c>
      <c r="J17" s="146">
        <f t="shared" ref="J17:L17" si="4">J10+($M$12*J$12)+($M$12*J$13)+J$14*(1-$M$14)</f>
        <v>0</v>
      </c>
      <c r="K17" s="55">
        <f t="shared" si="4"/>
        <v>0</v>
      </c>
      <c r="L17" s="55">
        <f t="shared" si="4"/>
        <v>0</v>
      </c>
    </row>
    <row r="18" spans="1:14" x14ac:dyDescent="0.25">
      <c r="A18" t="s">
        <v>30</v>
      </c>
      <c r="C18" s="54">
        <f t="shared" ref="C18:I18" si="5">(C$11+$M$12*C$12+C$14*$M$14)+C$13*$M$12</f>
        <v>0</v>
      </c>
      <c r="D18" s="55">
        <f t="shared" si="5"/>
        <v>0</v>
      </c>
      <c r="E18" s="55">
        <f t="shared" si="5"/>
        <v>0</v>
      </c>
      <c r="F18" s="131">
        <f t="shared" si="5"/>
        <v>0</v>
      </c>
      <c r="G18" s="54">
        <f t="shared" si="5"/>
        <v>0</v>
      </c>
      <c r="H18" s="55">
        <f t="shared" si="5"/>
        <v>0</v>
      </c>
      <c r="I18" s="77">
        <f t="shared" si="5"/>
        <v>0</v>
      </c>
      <c r="J18" s="146">
        <f t="shared" ref="J18:L18" si="6">(J$11+$M$12*J$12+J$14*$M$14)+J$13*$M$12</f>
        <v>0</v>
      </c>
      <c r="K18" s="55">
        <f t="shared" si="6"/>
        <v>0</v>
      </c>
      <c r="L18" s="55">
        <f t="shared" si="6"/>
        <v>0</v>
      </c>
    </row>
    <row r="19" spans="1:14" x14ac:dyDescent="0.25">
      <c r="C19" s="122"/>
      <c r="D19" s="44"/>
      <c r="E19" s="44"/>
      <c r="F19" s="44"/>
      <c r="G19" s="41"/>
      <c r="H19" s="44"/>
      <c r="I19" s="11"/>
      <c r="J19" s="17"/>
      <c r="K19" s="17"/>
      <c r="L19" s="11"/>
    </row>
    <row r="20" spans="1:14" x14ac:dyDescent="0.25">
      <c r="A20" s="53" t="s">
        <v>63</v>
      </c>
      <c r="B20" s="53"/>
      <c r="C20" s="124"/>
      <c r="D20" s="44"/>
      <c r="E20" s="44"/>
      <c r="F20" s="44"/>
      <c r="G20" s="41"/>
      <c r="H20" s="44"/>
      <c r="I20" s="11"/>
      <c r="J20" s="17"/>
      <c r="K20" s="17"/>
      <c r="L20" s="11"/>
    </row>
    <row r="21" spans="1:14" x14ac:dyDescent="0.25">
      <c r="A21" s="62" t="s">
        <v>29</v>
      </c>
      <c r="C21" s="125">
        <v>-666778020</v>
      </c>
      <c r="D21" s="134">
        <f>+'[3]KCPL-MO Revenue Analysis'!M194</f>
        <v>156924426</v>
      </c>
      <c r="E21" s="134">
        <f>+'[3]KCPL-MO Revenue Analysis'!N194</f>
        <v>201843064</v>
      </c>
      <c r="F21" s="134">
        <f>+'[4]KCPL-MO Revenue Analysis'!C242</f>
        <v>280441491</v>
      </c>
      <c r="G21" s="218">
        <f>+'[4]KCPL-MO Revenue Analysis'!D242</f>
        <v>239052636</v>
      </c>
      <c r="H21" s="214">
        <f>+'[4]KCPL-MO Revenue Analysis'!E242</f>
        <v>201847667</v>
      </c>
      <c r="I21" s="215">
        <f>+'[4]KCPL-MO Revenue Analysis'!F242</f>
        <v>179721282</v>
      </c>
      <c r="J21" s="209">
        <f>+'[1]Billed kWh Sales'!G19</f>
        <v>147649425</v>
      </c>
      <c r="K21" s="165">
        <f>+'[1]Billed kWh Sales'!H19</f>
        <v>187486105</v>
      </c>
      <c r="L21" s="96">
        <f>+'[1]Billed kWh Sales'!I19</f>
        <v>274956823</v>
      </c>
    </row>
    <row r="22" spans="1:14" x14ac:dyDescent="0.25">
      <c r="A22" s="62" t="s">
        <v>30</v>
      </c>
      <c r="C22" s="125">
        <v>-1189166985.9232278</v>
      </c>
      <c r="D22" s="134">
        <f>+'[3]KCPL-MO Revenue Analysis'!M195</f>
        <v>354449201</v>
      </c>
      <c r="E22" s="134">
        <f>+'[3]KCPL-MO Revenue Analysis'!N195</f>
        <v>381180579</v>
      </c>
      <c r="F22" s="134">
        <f>+'[4]KCPL-MO Revenue Analysis'!C243</f>
        <v>419405782</v>
      </c>
      <c r="G22" s="218">
        <f>+'[4]KCPL-MO Revenue Analysis'!D243</f>
        <v>387305502</v>
      </c>
      <c r="H22" s="214">
        <f>+'[4]KCPL-MO Revenue Analysis'!E243</f>
        <v>360966325</v>
      </c>
      <c r="I22" s="215">
        <f>+'[4]KCPL-MO Revenue Analysis'!F243</f>
        <v>368366508</v>
      </c>
      <c r="J22" s="209">
        <f>+'[1]Billed kWh Sales'!G20</f>
        <v>368634803</v>
      </c>
      <c r="K22" s="165">
        <f>+'[1]Billed kWh Sales'!H20</f>
        <v>406527628</v>
      </c>
      <c r="L22" s="96">
        <f>+'[1]Billed kWh Sales'!I20</f>
        <v>448674815</v>
      </c>
    </row>
    <row r="23" spans="1:14" x14ac:dyDescent="0.25">
      <c r="C23" s="122">
        <v>0</v>
      </c>
      <c r="D23" s="44"/>
      <c r="E23" s="44"/>
      <c r="F23" s="44"/>
      <c r="G23" s="41"/>
      <c r="H23" s="44"/>
      <c r="I23" s="11"/>
      <c r="J23" s="17"/>
      <c r="K23" s="17"/>
      <c r="L23" s="11"/>
    </row>
    <row r="24" spans="1:14" x14ac:dyDescent="0.25">
      <c r="A24" t="s">
        <v>40</v>
      </c>
      <c r="C24" s="122">
        <v>0</v>
      </c>
      <c r="D24" s="18"/>
      <c r="E24" s="18"/>
      <c r="F24" s="18"/>
      <c r="G24" s="114"/>
      <c r="H24" s="18"/>
      <c r="I24" s="11"/>
      <c r="J24" s="73"/>
      <c r="K24" s="73"/>
      <c r="L24" s="74"/>
      <c r="M24" s="79" t="s">
        <v>66</v>
      </c>
      <c r="N24" s="53"/>
    </row>
    <row r="25" spans="1:14" x14ac:dyDescent="0.25">
      <c r="A25" s="62" t="s">
        <v>29</v>
      </c>
      <c r="C25" s="120">
        <v>0</v>
      </c>
      <c r="D25" s="132">
        <f>ROUND('[3]KCPL-MO Revenue Analysis'!M150+'[3]KCPL-MO Revenue Analysis'!M155,2)</f>
        <v>0</v>
      </c>
      <c r="E25" s="132">
        <f>ROUND('[3]KCPL-MO Revenue Analysis'!N150+'[3]KCPL-MO Revenue Analysis'!N155,2)</f>
        <v>0</v>
      </c>
      <c r="F25" s="132">
        <f>ROUND('[4]KCPL-MO Revenue Analysis'!C196+'[4]KCPL-MO Revenue Analysis'!C201,2)</f>
        <v>0</v>
      </c>
      <c r="G25" s="219">
        <f>ROUND('[4]KCPL-MO Revenue Analysis'!D196+'[4]KCPL-MO Revenue Analysis'!D201,2)</f>
        <v>0</v>
      </c>
      <c r="H25" s="171">
        <f>ROUND('[4]KCPL-MO Revenue Analysis'!E196+'[4]KCPL-MO Revenue Analysis'!E201,2)</f>
        <v>0</v>
      </c>
      <c r="I25" s="213">
        <f>ROUND('[4]KCPL-MO Revenue Analysis'!F196+'[4]KCPL-MO Revenue Analysis'!F201,2)</f>
        <v>0</v>
      </c>
      <c r="J25" s="146">
        <f t="shared" ref="J25:L26" si="7">J21*$M25</f>
        <v>0</v>
      </c>
      <c r="K25" s="55">
        <f t="shared" si="7"/>
        <v>0</v>
      </c>
      <c r="L25" s="55">
        <f t="shared" si="7"/>
        <v>0</v>
      </c>
      <c r="M25" s="88">
        <v>0</v>
      </c>
    </row>
    <row r="26" spans="1:14" x14ac:dyDescent="0.25">
      <c r="A26" t="str">
        <f>A22</f>
        <v>Non-Residential</v>
      </c>
      <c r="C26" s="120">
        <v>428100.11493236199</v>
      </c>
      <c r="D26" s="132">
        <f>ROUND('[3]KCPL-MO Revenue Analysis'!M151+'[3]KCPL-MO Revenue Analysis'!M156,2)</f>
        <v>-127368.81</v>
      </c>
      <c r="E26" s="132">
        <f>ROUND('[3]KCPL-MO Revenue Analysis'!N151+'[3]KCPL-MO Revenue Analysis'!N156,2)</f>
        <v>-136809.79</v>
      </c>
      <c r="F26" s="132">
        <f>ROUND('[4]KCPL-MO Revenue Analysis'!C197+'[4]KCPL-MO Revenue Analysis'!C202,2)</f>
        <v>-152883.56</v>
      </c>
      <c r="G26" s="219">
        <f>ROUND('[4]KCPL-MO Revenue Analysis'!D197+'[4]KCPL-MO Revenue Analysis'!D202,2)</f>
        <v>-96636.93</v>
      </c>
      <c r="H26" s="171">
        <f>ROUND('[4]KCPL-MO Revenue Analysis'!E197+'[4]KCPL-MO Revenue Analysis'!E202,2)</f>
        <v>-37265.53</v>
      </c>
      <c r="I26" s="213">
        <f>ROUND('[4]KCPL-MO Revenue Analysis'!F197+'[4]KCPL-MO Revenue Analysis'!F202,2)</f>
        <v>-82961.81</v>
      </c>
      <c r="J26" s="146">
        <f t="shared" si="7"/>
        <v>-36863.480300000003</v>
      </c>
      <c r="K26" s="55">
        <f t="shared" si="7"/>
        <v>-40652.762800000004</v>
      </c>
      <c r="L26" s="55">
        <f t="shared" si="7"/>
        <v>-44867.481500000002</v>
      </c>
      <c r="M26" s="88">
        <v>-1E-4</v>
      </c>
    </row>
    <row r="27" spans="1:14" x14ac:dyDescent="0.25">
      <c r="C27" s="83">
        <v>0</v>
      </c>
      <c r="D27" s="18"/>
      <c r="E27" s="18"/>
      <c r="F27" s="18"/>
      <c r="G27" s="114"/>
      <c r="H27" s="18"/>
      <c r="I27" s="11"/>
      <c r="J27" s="72"/>
      <c r="K27" s="72"/>
      <c r="L27" s="13"/>
      <c r="M27" s="4"/>
    </row>
    <row r="28" spans="1:14" ht="15.75" thickBot="1" x14ac:dyDescent="0.3">
      <c r="A28" t="s">
        <v>16</v>
      </c>
      <c r="C28" s="126">
        <v>2164.5</v>
      </c>
      <c r="D28" s="135">
        <v>-1255.1400000000001</v>
      </c>
      <c r="E28" s="135">
        <v>-1058.28</v>
      </c>
      <c r="F28" s="136">
        <v>-748.28</v>
      </c>
      <c r="G28" s="39">
        <v>-464.21</v>
      </c>
      <c r="H28" s="145">
        <v>-327.8</v>
      </c>
      <c r="I28" s="212">
        <v>-181.32</v>
      </c>
      <c r="J28" s="210">
        <v>-24.7</v>
      </c>
      <c r="K28" s="166">
        <v>100.4</v>
      </c>
      <c r="L28" s="100"/>
    </row>
    <row r="29" spans="1:14" x14ac:dyDescent="0.25">
      <c r="C29" s="122"/>
      <c r="D29" s="44"/>
      <c r="E29" s="44"/>
      <c r="F29" s="44"/>
      <c r="G29" s="41"/>
      <c r="H29" s="44"/>
      <c r="I29" s="11"/>
      <c r="J29" s="17"/>
      <c r="K29" s="17"/>
      <c r="L29" s="11"/>
    </row>
    <row r="30" spans="1:14" x14ac:dyDescent="0.25">
      <c r="A30" t="s">
        <v>68</v>
      </c>
      <c r="C30" s="122"/>
      <c r="D30" s="44"/>
      <c r="E30" s="44"/>
      <c r="F30" s="44"/>
      <c r="G30" s="41"/>
      <c r="H30" s="44"/>
      <c r="I30" s="11"/>
      <c r="J30" s="17"/>
      <c r="K30" s="17"/>
      <c r="L30" s="11"/>
    </row>
    <row r="31" spans="1:14" x14ac:dyDescent="0.25">
      <c r="A31" s="62" t="s">
        <v>29</v>
      </c>
      <c r="C31" s="54">
        <f t="shared" ref="C31:C32" si="8">C17-C25</f>
        <v>0</v>
      </c>
      <c r="D31" s="55">
        <f t="shared" ref="D31:I32" si="9">D17-D25</f>
        <v>0</v>
      </c>
      <c r="E31" s="55">
        <f t="shared" si="9"/>
        <v>0</v>
      </c>
      <c r="F31" s="131">
        <f t="shared" ref="F31:H31" si="10">F17-F25</f>
        <v>0</v>
      </c>
      <c r="G31" s="54">
        <f t="shared" si="10"/>
        <v>0</v>
      </c>
      <c r="H31" s="55">
        <f t="shared" si="10"/>
        <v>0</v>
      </c>
      <c r="I31" s="77">
        <f t="shared" si="9"/>
        <v>0</v>
      </c>
      <c r="J31" s="146">
        <f t="shared" ref="J31:K31" si="11">J17-J25</f>
        <v>0</v>
      </c>
      <c r="K31" s="55">
        <f t="shared" si="11"/>
        <v>0</v>
      </c>
      <c r="L31" s="65">
        <f t="shared" ref="L31" si="12">L17-L25</f>
        <v>0</v>
      </c>
    </row>
    <row r="32" spans="1:14" x14ac:dyDescent="0.25">
      <c r="A32" t="s">
        <v>30</v>
      </c>
      <c r="C32" s="54">
        <f t="shared" si="8"/>
        <v>-428100.11493236199</v>
      </c>
      <c r="D32" s="55">
        <f t="shared" si="9"/>
        <v>127368.81</v>
      </c>
      <c r="E32" s="55">
        <f t="shared" si="9"/>
        <v>136809.79</v>
      </c>
      <c r="F32" s="131">
        <f t="shared" ref="F32:H32" si="13">F18-F26</f>
        <v>152883.56</v>
      </c>
      <c r="G32" s="54">
        <f t="shared" si="13"/>
        <v>96636.93</v>
      </c>
      <c r="H32" s="55">
        <f t="shared" si="13"/>
        <v>37265.53</v>
      </c>
      <c r="I32" s="77">
        <f t="shared" si="9"/>
        <v>82961.81</v>
      </c>
      <c r="J32" s="146">
        <f t="shared" ref="J32:K32" si="14">J18-J26</f>
        <v>36863.480300000003</v>
      </c>
      <c r="K32" s="55">
        <f t="shared" si="14"/>
        <v>40652.762800000004</v>
      </c>
      <c r="L32" s="65">
        <f t="shared" ref="L32" si="15">L18-L26</f>
        <v>44867.481500000002</v>
      </c>
    </row>
    <row r="33" spans="1:13" x14ac:dyDescent="0.25">
      <c r="A33" s="62"/>
      <c r="C33" s="122"/>
      <c r="D33" s="44"/>
      <c r="E33" s="44"/>
      <c r="F33" s="44"/>
      <c r="G33" s="41"/>
      <c r="H33" s="44"/>
      <c r="I33" s="11"/>
      <c r="J33" s="17"/>
      <c r="K33" s="17"/>
      <c r="L33" s="11"/>
    </row>
    <row r="34" spans="1:13" ht="15.75" thickBot="1" x14ac:dyDescent="0.3">
      <c r="A34" s="62" t="s">
        <v>69</v>
      </c>
      <c r="C34" s="127"/>
      <c r="D34" s="44"/>
      <c r="E34" s="44"/>
      <c r="F34" s="44"/>
      <c r="G34" s="41"/>
      <c r="H34" s="44"/>
      <c r="I34" s="11"/>
      <c r="J34" s="17"/>
      <c r="K34" s="17"/>
      <c r="L34" s="11"/>
    </row>
    <row r="35" spans="1:13" x14ac:dyDescent="0.25">
      <c r="A35" s="62" t="s">
        <v>29</v>
      </c>
      <c r="B35" s="139">
        <v>0</v>
      </c>
      <c r="C35" s="55">
        <f>B35+C31+B40</f>
        <v>0</v>
      </c>
      <c r="D35" s="55">
        <f t="shared" ref="D35" si="16">C35+D31+C40</f>
        <v>0</v>
      </c>
      <c r="E35" s="55">
        <f t="shared" ref="E35:I36" si="17">D35+E31+D40</f>
        <v>0</v>
      </c>
      <c r="F35" s="131">
        <f t="shared" si="17"/>
        <v>0</v>
      </c>
      <c r="G35" s="54">
        <f t="shared" si="17"/>
        <v>0</v>
      </c>
      <c r="H35" s="55">
        <f t="shared" si="17"/>
        <v>0</v>
      </c>
      <c r="I35" s="77">
        <f t="shared" si="17"/>
        <v>0</v>
      </c>
      <c r="J35" s="146">
        <f t="shared" ref="J35:J36" si="18">I35+J31+I40</f>
        <v>0</v>
      </c>
      <c r="K35" s="55">
        <f t="shared" ref="K35:L36" si="19">J35+K31+J40</f>
        <v>0</v>
      </c>
      <c r="L35" s="65">
        <f t="shared" si="19"/>
        <v>0</v>
      </c>
    </row>
    <row r="36" spans="1:13" ht="15.75" thickBot="1" x14ac:dyDescent="0.3">
      <c r="A36" s="62" t="s">
        <v>30</v>
      </c>
      <c r="B36" s="140">
        <v>-231808.47</v>
      </c>
      <c r="C36" s="55">
        <f>B36+C32+B41</f>
        <v>-659908.58493236196</v>
      </c>
      <c r="D36" s="55">
        <f t="shared" ref="D36" si="20">C36+D32+C41</f>
        <v>-530375.27493236191</v>
      </c>
      <c r="E36" s="55">
        <f t="shared" si="17"/>
        <v>-394820.62493236188</v>
      </c>
      <c r="F36" s="131">
        <f t="shared" si="17"/>
        <v>-242995.34493236188</v>
      </c>
      <c r="G36" s="54">
        <f t="shared" si="17"/>
        <v>-147106.69493236189</v>
      </c>
      <c r="H36" s="55">
        <f t="shared" si="17"/>
        <v>-110305.36493236189</v>
      </c>
      <c r="I36" s="77">
        <f t="shared" si="17"/>
        <v>-27671.35493236189</v>
      </c>
      <c r="J36" s="146">
        <f t="shared" si="18"/>
        <v>9010.8053676381132</v>
      </c>
      <c r="K36" s="55">
        <f t="shared" si="19"/>
        <v>49638.868167638124</v>
      </c>
      <c r="L36" s="65">
        <f t="shared" si="19"/>
        <v>94606.749667638127</v>
      </c>
    </row>
    <row r="37" spans="1:13" x14ac:dyDescent="0.25">
      <c r="C37" s="122"/>
      <c r="D37" s="44"/>
      <c r="E37" s="44"/>
      <c r="F37" s="44"/>
      <c r="G37" s="41"/>
      <c r="H37" s="44"/>
      <c r="I37" s="11"/>
      <c r="J37" s="17"/>
      <c r="K37" s="17"/>
      <c r="L37" s="11"/>
    </row>
    <row r="38" spans="1:13" s="62" customFormat="1" x14ac:dyDescent="0.25">
      <c r="A38" s="53" t="s">
        <v>65</v>
      </c>
      <c r="B38" s="53"/>
      <c r="C38" s="127"/>
      <c r="D38" s="226">
        <f>+'[5]Nov 2017'!$F$51</f>
        <v>2.1128200000000001E-3</v>
      </c>
      <c r="E38" s="102">
        <f>+'[5]Dec 2017'!$F$51</f>
        <v>2.28459E-3</v>
      </c>
      <c r="F38" s="102">
        <f>+'[5]Jan 2018'!$F$51</f>
        <v>2.3424800000000001E-3</v>
      </c>
      <c r="G38" s="103">
        <f>+'[5]Feb 2018'!$F$51</f>
        <v>2.37535E-3</v>
      </c>
      <c r="H38" s="102">
        <f>+'[5]Mar 2018'!$F$51</f>
        <v>2.5423099999999999E-3</v>
      </c>
      <c r="I38" s="115">
        <f>+'[5]Apr 2018'!$F$51</f>
        <v>2.6220499999999999E-3</v>
      </c>
      <c r="J38" s="102">
        <f>+I38</f>
        <v>2.6220499999999999E-3</v>
      </c>
      <c r="K38" s="102">
        <f>+J38</f>
        <v>2.6220499999999999E-3</v>
      </c>
      <c r="L38" s="115"/>
    </row>
    <row r="39" spans="1:13" x14ac:dyDescent="0.25">
      <c r="A39" s="53" t="s">
        <v>44</v>
      </c>
      <c r="B39" s="53"/>
      <c r="C39" s="122"/>
      <c r="D39" s="44"/>
      <c r="E39" s="44"/>
      <c r="F39" s="44"/>
      <c r="G39" s="41"/>
      <c r="H39" s="44"/>
      <c r="I39" s="11"/>
      <c r="J39" s="17"/>
      <c r="K39" s="17"/>
      <c r="L39" s="11"/>
      <c r="M39" s="87"/>
    </row>
    <row r="40" spans="1:13" x14ac:dyDescent="0.25">
      <c r="A40" s="62" t="s">
        <v>29</v>
      </c>
      <c r="C40" s="54">
        <f>23.44*0</f>
        <v>0</v>
      </c>
      <c r="D40" s="55">
        <f t="shared" ref="D40" si="21">ROUND((C35+C40+D31/2)*D$38,2)</f>
        <v>0</v>
      </c>
      <c r="E40" s="55">
        <f t="shared" ref="E40:I41" si="22">ROUND((D35+D40+E31/2)*E$38,2)</f>
        <v>0</v>
      </c>
      <c r="F40" s="131">
        <f t="shared" si="22"/>
        <v>0</v>
      </c>
      <c r="G40" s="224">
        <f>ROUND((F35+F40+G31/2)*G$38,2)*0</f>
        <v>0</v>
      </c>
      <c r="H40" s="146">
        <f t="shared" si="22"/>
        <v>0</v>
      </c>
      <c r="I40" s="65">
        <f t="shared" si="22"/>
        <v>0</v>
      </c>
      <c r="J40" s="146">
        <f t="shared" ref="J40:J41" si="23">ROUND((I35+I40+J31/2)*J$38,2)</f>
        <v>0</v>
      </c>
      <c r="K40" s="146">
        <f>ROUND((J35+J40+K31/2)*K$38,2)</f>
        <v>0</v>
      </c>
      <c r="L40" s="65"/>
    </row>
    <row r="41" spans="1:13" ht="15.75" thickBot="1" x14ac:dyDescent="0.3">
      <c r="A41" t="s">
        <v>30</v>
      </c>
      <c r="C41" s="137">
        <f>2141.06+23.44</f>
        <v>2164.5</v>
      </c>
      <c r="D41" s="55">
        <f>ROUND((C36+C41+D32/2)*D$38,2)</f>
        <v>-1255.1400000000001</v>
      </c>
      <c r="E41" s="55">
        <f t="shared" si="22"/>
        <v>-1058.28</v>
      </c>
      <c r="F41" s="131">
        <f t="shared" si="22"/>
        <v>-748.28</v>
      </c>
      <c r="G41" s="54">
        <f>ROUND((F36+F41+G32/2)*G$38,2)</f>
        <v>-464.2</v>
      </c>
      <c r="H41" s="146">
        <f t="shared" si="22"/>
        <v>-327.8</v>
      </c>
      <c r="I41" s="65">
        <f t="shared" si="22"/>
        <v>-181.32</v>
      </c>
      <c r="J41" s="146">
        <f t="shared" si="23"/>
        <v>-24.7</v>
      </c>
      <c r="K41" s="146">
        <f>ROUND((J36+J41+K32/2)*K$38,2)+23.54</f>
        <v>100.4</v>
      </c>
      <c r="L41" s="65"/>
    </row>
    <row r="42" spans="1:13" ht="16.5" thickTop="1" thickBot="1" x14ac:dyDescent="0.3">
      <c r="A42" s="70" t="s">
        <v>25</v>
      </c>
      <c r="B42" s="70"/>
      <c r="C42" s="138">
        <v>0</v>
      </c>
      <c r="D42" s="46">
        <f t="shared" ref="D42:I42" si="24">SUM(D40:D41)+SUM(D35:D36)-D45</f>
        <v>1.0000000009313226E-2</v>
      </c>
      <c r="E42" s="46">
        <f t="shared" si="24"/>
        <v>1.0000000009313226E-2</v>
      </c>
      <c r="F42" s="66">
        <f t="shared" ref="F42:H42" si="25">SUM(F40:F41)+SUM(F35:F36)-F45</f>
        <v>1.0000000038417056E-2</v>
      </c>
      <c r="G42" s="147">
        <f t="shared" si="25"/>
        <v>1.0000000009313226E-2</v>
      </c>
      <c r="H42" s="46">
        <f t="shared" si="25"/>
        <v>1.0000000023865141E-2</v>
      </c>
      <c r="I42" s="78">
        <f t="shared" si="24"/>
        <v>1.0000000034779077E-2</v>
      </c>
      <c r="J42" s="194">
        <f t="shared" ref="J42:K42" si="26">SUM(J40:J41)+SUM(J35:J36)-J45</f>
        <v>1.0000000031141099E-2</v>
      </c>
      <c r="K42" s="46">
        <f t="shared" si="26"/>
        <v>1.0000000038417056E-2</v>
      </c>
      <c r="L42" s="119">
        <f t="shared" ref="L42" si="27">SUM(L40:L41)+SUM(L35:L36)-L45</f>
        <v>1.0000000038417056E-2</v>
      </c>
    </row>
    <row r="43" spans="1:13" ht="16.5" thickTop="1" thickBot="1" x14ac:dyDescent="0.3">
      <c r="A43" s="70" t="s">
        <v>26</v>
      </c>
      <c r="B43" s="70"/>
      <c r="C43" s="130">
        <v>0</v>
      </c>
      <c r="D43" s="46">
        <f t="shared" ref="D43:I43" si="28">SUM(D40:D41)-D28</f>
        <v>0</v>
      </c>
      <c r="E43" s="46">
        <f t="shared" si="28"/>
        <v>0</v>
      </c>
      <c r="F43" s="66">
        <f t="shared" ref="F43:H43" si="29">SUM(F40:F41)-F28</f>
        <v>0</v>
      </c>
      <c r="G43" s="67">
        <f t="shared" si="29"/>
        <v>9.9999999999909051E-3</v>
      </c>
      <c r="H43" s="46">
        <f t="shared" si="29"/>
        <v>0</v>
      </c>
      <c r="I43" s="78">
        <f t="shared" si="28"/>
        <v>0</v>
      </c>
      <c r="J43" s="194">
        <f t="shared" ref="J43:K43" si="30">SUM(J40:J41)-J28</f>
        <v>0</v>
      </c>
      <c r="K43" s="46">
        <f t="shared" si="30"/>
        <v>0</v>
      </c>
      <c r="L43" s="119">
        <f t="shared" ref="L43" si="31">SUM(L40:L41)-L28</f>
        <v>0</v>
      </c>
    </row>
    <row r="44" spans="1:13" ht="16.5" thickTop="1" thickBot="1" x14ac:dyDescent="0.3">
      <c r="C44" s="122"/>
      <c r="D44" s="17"/>
      <c r="E44" s="17"/>
      <c r="F44" s="17"/>
      <c r="G44" s="10"/>
      <c r="H44" s="17"/>
      <c r="I44" s="11"/>
      <c r="J44" s="17"/>
      <c r="K44" s="17"/>
      <c r="L44" s="11"/>
    </row>
    <row r="45" spans="1:13" ht="15.75" thickBot="1" x14ac:dyDescent="0.3">
      <c r="A45" t="s">
        <v>42</v>
      </c>
      <c r="B45" s="142">
        <v>-231808.48</v>
      </c>
      <c r="C45" s="54">
        <f t="shared" ref="C45:I45" si="32">(SUM(C10:C14)-SUM(C25:C26))+SUM(C40:C41)+B45</f>
        <v>-657744.09493236197</v>
      </c>
      <c r="D45" s="55">
        <f t="shared" si="32"/>
        <v>-531630.42493236193</v>
      </c>
      <c r="E45" s="55">
        <f t="shared" si="32"/>
        <v>-395878.91493236192</v>
      </c>
      <c r="F45" s="131">
        <f t="shared" si="32"/>
        <v>-243743.63493236192</v>
      </c>
      <c r="G45" s="54">
        <f t="shared" si="32"/>
        <v>-147570.90493236191</v>
      </c>
      <c r="H45" s="55">
        <f t="shared" si="32"/>
        <v>-110633.17493236192</v>
      </c>
      <c r="I45" s="77">
        <f t="shared" si="32"/>
        <v>-27852.684932361924</v>
      </c>
      <c r="J45" s="146">
        <f t="shared" ref="J45" si="33">(SUM(J10:J14)-SUM(J25:J26))+SUM(J40:J41)+I45</f>
        <v>8986.0953676380814</v>
      </c>
      <c r="K45" s="55">
        <f t="shared" ref="K45:L45" si="34">(SUM(K10:K14)-SUM(K25:K26))+SUM(K40:K41)+J45</f>
        <v>49739.258167638087</v>
      </c>
      <c r="L45" s="77">
        <f t="shared" si="34"/>
        <v>94606.739667638089</v>
      </c>
    </row>
    <row r="46" spans="1:13" x14ac:dyDescent="0.25">
      <c r="C46" s="143"/>
      <c r="D46" s="72"/>
      <c r="E46" s="19"/>
      <c r="F46" s="72"/>
      <c r="G46" s="12"/>
      <c r="H46" s="72"/>
      <c r="I46" s="11"/>
      <c r="J46" s="17"/>
      <c r="K46" s="17"/>
      <c r="L46" s="11"/>
    </row>
    <row r="47" spans="1:13" ht="15.75" thickBot="1" x14ac:dyDescent="0.3">
      <c r="A47" s="62"/>
      <c r="B47" s="17"/>
      <c r="C47" s="57"/>
      <c r="D47" s="58"/>
      <c r="E47" s="58"/>
      <c r="F47" s="58"/>
      <c r="G47" s="57"/>
      <c r="H47" s="58"/>
      <c r="I47" s="59"/>
      <c r="J47" s="58"/>
      <c r="K47" s="58"/>
      <c r="L47" s="59"/>
    </row>
    <row r="49" spans="1:14" x14ac:dyDescent="0.25">
      <c r="A49" s="85" t="s">
        <v>13</v>
      </c>
      <c r="B49" s="85"/>
      <c r="C49" s="85"/>
      <c r="D49" s="60"/>
      <c r="E49" s="60"/>
      <c r="I49" s="60"/>
      <c r="M49" s="60"/>
      <c r="N49" s="60"/>
    </row>
    <row r="50" spans="1:14" x14ac:dyDescent="0.25">
      <c r="A50" s="233" t="s">
        <v>131</v>
      </c>
      <c r="B50" s="233"/>
      <c r="C50" s="233"/>
      <c r="D50" s="233"/>
      <c r="E50" s="233"/>
      <c r="F50" s="233"/>
      <c r="G50" s="233"/>
      <c r="H50" s="233"/>
      <c r="I50" s="233"/>
      <c r="J50" s="163"/>
      <c r="K50" s="163"/>
      <c r="L50" s="113"/>
      <c r="M50" s="60"/>
      <c r="N50" s="60"/>
    </row>
    <row r="51" spans="1:14" ht="27" customHeight="1" x14ac:dyDescent="0.25">
      <c r="A51" s="233" t="s">
        <v>136</v>
      </c>
      <c r="B51" s="233"/>
      <c r="C51" s="233"/>
      <c r="D51" s="233"/>
      <c r="E51" s="233"/>
      <c r="F51" s="233"/>
      <c r="G51" s="233"/>
      <c r="H51" s="233"/>
      <c r="I51" s="233"/>
      <c r="J51" s="163"/>
      <c r="K51" s="163"/>
      <c r="L51" s="113"/>
      <c r="M51" s="60"/>
      <c r="N51" s="60"/>
    </row>
    <row r="52" spans="1:14" ht="31.5" customHeight="1" x14ac:dyDescent="0.25">
      <c r="A52" s="233" t="s">
        <v>130</v>
      </c>
      <c r="B52" s="233"/>
      <c r="C52" s="233"/>
      <c r="D52" s="233"/>
      <c r="E52" s="233"/>
      <c r="F52" s="233"/>
      <c r="G52" s="233"/>
      <c r="H52" s="233"/>
      <c r="I52" s="233"/>
      <c r="J52" s="163"/>
      <c r="K52" s="163"/>
      <c r="L52" s="113"/>
      <c r="M52" s="60"/>
      <c r="N52" s="60"/>
    </row>
    <row r="53" spans="1:14" x14ac:dyDescent="0.25">
      <c r="A53" s="3" t="s">
        <v>37</v>
      </c>
      <c r="B53" s="3"/>
      <c r="C53" s="3"/>
      <c r="D53" s="60"/>
      <c r="E53" s="60"/>
      <c r="I53" s="4"/>
      <c r="M53" s="60"/>
      <c r="N53" s="60"/>
    </row>
    <row r="54" spans="1:14" s="62" customFormat="1" x14ac:dyDescent="0.25">
      <c r="A54" s="79" t="s">
        <v>129</v>
      </c>
      <c r="B54" s="3"/>
      <c r="C54" s="3"/>
      <c r="I54" s="4"/>
    </row>
    <row r="55" spans="1:14" x14ac:dyDescent="0.25">
      <c r="A55" s="3" t="s">
        <v>67</v>
      </c>
      <c r="B55" s="3"/>
      <c r="C55" s="3"/>
      <c r="D55" s="60"/>
      <c r="E55" s="60"/>
      <c r="I55" s="4"/>
      <c r="M55" s="60"/>
      <c r="N55" s="60"/>
    </row>
    <row r="56" spans="1:14" x14ac:dyDescent="0.25">
      <c r="C56" s="63"/>
      <c r="D56" s="60"/>
      <c r="E56" s="60"/>
      <c r="I56" s="60"/>
      <c r="M56" s="60"/>
      <c r="N56" s="60"/>
    </row>
    <row r="57" spans="1:14" x14ac:dyDescent="0.25">
      <c r="C57" s="63"/>
      <c r="D57" s="60"/>
      <c r="E57" s="60"/>
      <c r="I57" s="60"/>
      <c r="M57" s="60"/>
      <c r="N57" s="60"/>
    </row>
    <row r="58" spans="1:14" x14ac:dyDescent="0.25">
      <c r="C58" s="63"/>
      <c r="D58" s="60">
        <v>2.0708300000000001E-3</v>
      </c>
      <c r="E58" s="60">
        <v>2.28459E-3</v>
      </c>
      <c r="F58" s="62">
        <v>2.3424800000000001E-3</v>
      </c>
      <c r="G58" s="60">
        <v>2.37535E-3</v>
      </c>
      <c r="H58" s="62">
        <v>2.5423099999999999E-3</v>
      </c>
      <c r="I58" s="62">
        <v>2.6220499999999999E-3</v>
      </c>
      <c r="M58" s="60"/>
      <c r="N58" s="60"/>
    </row>
    <row r="59" spans="1:14" x14ac:dyDescent="0.25">
      <c r="D59" s="225">
        <f>+D58-D38</f>
        <v>-4.1989999999999996E-5</v>
      </c>
      <c r="E59" s="225">
        <f t="shared" ref="E59:I59" si="35">+E58-E38</f>
        <v>0</v>
      </c>
      <c r="F59" s="225">
        <f t="shared" si="35"/>
        <v>0</v>
      </c>
      <c r="G59" s="225">
        <f t="shared" si="35"/>
        <v>0</v>
      </c>
      <c r="H59" s="225">
        <f t="shared" si="35"/>
        <v>0</v>
      </c>
      <c r="I59" s="225">
        <f t="shared" si="35"/>
        <v>0</v>
      </c>
      <c r="M59" s="60"/>
      <c r="N59" s="60"/>
    </row>
    <row r="60" spans="1:14" x14ac:dyDescent="0.25">
      <c r="D60" s="60"/>
      <c r="E60" s="60"/>
      <c r="I60" s="60"/>
      <c r="M60" s="60"/>
      <c r="N60" s="60"/>
    </row>
    <row r="61" spans="1:14" x14ac:dyDescent="0.25">
      <c r="D61" s="60"/>
      <c r="E61" s="60"/>
      <c r="I61" s="60"/>
      <c r="M61" s="60"/>
      <c r="N61" s="60"/>
    </row>
    <row r="62" spans="1:14" x14ac:dyDescent="0.25">
      <c r="D62" s="60"/>
      <c r="E62" s="60"/>
      <c r="I62" s="60"/>
      <c r="M62" s="60"/>
      <c r="N62" s="60"/>
    </row>
    <row r="63" spans="1:14" x14ac:dyDescent="0.25">
      <c r="D63" s="60"/>
      <c r="E63" s="60"/>
      <c r="I63" s="60"/>
      <c r="M63" s="60"/>
      <c r="N63" s="60"/>
    </row>
    <row r="65" spans="13:13" x14ac:dyDescent="0.25">
      <c r="M65" s="8"/>
    </row>
  </sheetData>
  <mergeCells count="4">
    <mergeCell ref="A50:I50"/>
    <mergeCell ref="A51:I51"/>
    <mergeCell ref="A52:I52"/>
    <mergeCell ref="D8:F8"/>
  </mergeCells>
  <pageMargins left="0.2" right="0.2" top="0.75" bottom="0.25" header="0.3" footer="0.3"/>
  <pageSetup scale="56" orientation="landscape" r:id="rId1"/>
  <headerFooter>
    <oddHeader>&amp;C&amp;F 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zoomScaleNormal="100" workbookViewId="0">
      <pane xSplit="2" ySplit="9" topLeftCell="C49" activePane="bottomRight" state="frozen"/>
      <selection activeCell="H1" sqref="H1"/>
      <selection pane="topRight" activeCell="H1" sqref="H1"/>
      <selection pane="bottomLeft" activeCell="H1" sqref="H1"/>
      <selection pane="bottomRight" activeCell="H1" sqref="H1"/>
    </sheetView>
  </sheetViews>
  <sheetFormatPr defaultRowHeight="15" x14ac:dyDescent="0.25"/>
  <cols>
    <col min="1" max="1" width="54.5703125" style="62" customWidth="1"/>
    <col min="2" max="2" width="14.7109375" style="62" customWidth="1"/>
    <col min="3" max="3" width="15" style="62" customWidth="1"/>
    <col min="4" max="4" width="15.28515625" style="62" customWidth="1"/>
    <col min="5" max="5" width="15.85546875" style="62" customWidth="1"/>
    <col min="6" max="6" width="17.5703125" style="62" customWidth="1"/>
    <col min="7" max="8" width="13.28515625" style="62" customWidth="1"/>
    <col min="9" max="9" width="15.7109375" style="62" customWidth="1"/>
    <col min="10" max="11" width="12.5703125" style="62" bestFit="1" customWidth="1"/>
    <col min="12" max="12" width="14.42578125" style="62" customWidth="1"/>
    <col min="13" max="13" width="15" style="62" bestFit="1" customWidth="1"/>
    <col min="14" max="14" width="16.28515625" style="62" bestFit="1" customWidth="1"/>
    <col min="15" max="15" width="16.140625" style="62" customWidth="1"/>
    <col min="16" max="16" width="17.28515625" style="62" bestFit="1" customWidth="1"/>
    <col min="17" max="17" width="17.42578125" style="62" customWidth="1"/>
    <col min="18" max="18" width="15.5703125" style="62" customWidth="1"/>
    <col min="19" max="19" width="13" style="62" customWidth="1"/>
    <col min="20" max="20" width="9.140625" style="62"/>
    <col min="21" max="21" width="14.28515625" style="62" bestFit="1" customWidth="1"/>
    <col min="22" max="16384" width="9.140625" style="62"/>
  </cols>
  <sheetData>
    <row r="1" spans="1:34" x14ac:dyDescent="0.25">
      <c r="A1" s="3" t="str">
        <f>+PPC!A1</f>
        <v>Kansas City Power &amp; Light Company - DSIM Rider Update Filed 06/01/2018</v>
      </c>
      <c r="B1" s="3"/>
      <c r="C1" s="3"/>
    </row>
    <row r="2" spans="1:34" x14ac:dyDescent="0.25">
      <c r="D2" s="3" t="s">
        <v>81</v>
      </c>
    </row>
    <row r="3" spans="1:34" ht="30" x14ac:dyDescent="0.25">
      <c r="D3" s="64" t="s">
        <v>62</v>
      </c>
      <c r="E3" s="64" t="s">
        <v>61</v>
      </c>
      <c r="F3" s="86" t="s">
        <v>2</v>
      </c>
      <c r="G3" s="64" t="s">
        <v>3</v>
      </c>
      <c r="H3" s="86" t="s">
        <v>71</v>
      </c>
      <c r="I3" s="64" t="s">
        <v>11</v>
      </c>
      <c r="J3" s="64" t="s">
        <v>4</v>
      </c>
    </row>
    <row r="4" spans="1:34" x14ac:dyDescent="0.25">
      <c r="A4" s="62" t="s">
        <v>29</v>
      </c>
      <c r="D4" s="24">
        <f>SUM(C25:L25)</f>
        <v>4783097.3876599995</v>
      </c>
      <c r="E4" s="161">
        <f>SUM(C21:L21)</f>
        <v>1202973568</v>
      </c>
      <c r="F4" s="24">
        <f>SUM(C17:K17)</f>
        <v>2328980.11</v>
      </c>
      <c r="G4" s="24">
        <f>F4-D4</f>
        <v>-2454117.2776599997</v>
      </c>
      <c r="H4" s="24">
        <f>+B35</f>
        <v>2435643.4686000007</v>
      </c>
      <c r="I4" s="24">
        <f>SUM(C40:K40)</f>
        <v>33052.79</v>
      </c>
      <c r="J4" s="36">
        <f>SUM(G4:I4)</f>
        <v>14578.980940001049</v>
      </c>
      <c r="K4" s="63">
        <f>+J4-L35</f>
        <v>1.4806573744863272E-9</v>
      </c>
    </row>
    <row r="5" spans="1:34" ht="15.75" thickBot="1" x14ac:dyDescent="0.3">
      <c r="A5" s="62" t="s">
        <v>30</v>
      </c>
      <c r="D5" s="24">
        <f>SUM(C26:L26)</f>
        <v>8041478.9676270876</v>
      </c>
      <c r="E5" s="161">
        <f>SUM(C22:L22)</f>
        <v>2314848118.0767722</v>
      </c>
      <c r="F5" s="24">
        <f>SUM(C18:K18)</f>
        <v>3961660.4099999997</v>
      </c>
      <c r="G5" s="24">
        <f>F5-D5</f>
        <v>-4079818.5576270879</v>
      </c>
      <c r="H5" s="24">
        <f>+B36</f>
        <v>3575155.6763070882</v>
      </c>
      <c r="I5" s="24">
        <f>SUM(C41:K41)</f>
        <v>44178.779999999992</v>
      </c>
      <c r="J5" s="36">
        <f>SUM(G5:I5)</f>
        <v>-460484.10131999973</v>
      </c>
      <c r="K5" s="63">
        <f>+J5-L36</f>
        <v>1.57160684466362E-9</v>
      </c>
    </row>
    <row r="6" spans="1:34" ht="16.5" thickTop="1" thickBot="1" x14ac:dyDescent="0.3">
      <c r="D6" s="40">
        <f t="shared" ref="D6" si="0">SUM(D4:D5)</f>
        <v>12824576.355287086</v>
      </c>
      <c r="E6" s="162">
        <f t="shared" ref="E6:H6" si="1">SUM(E4:E5)</f>
        <v>3517821686.0767722</v>
      </c>
      <c r="F6" s="40">
        <f t="shared" si="1"/>
        <v>6290640.5199999996</v>
      </c>
      <c r="G6" s="40">
        <f t="shared" si="1"/>
        <v>-6533935.8352870876</v>
      </c>
      <c r="H6" s="40">
        <f t="shared" si="1"/>
        <v>6010799.144907089</v>
      </c>
      <c r="I6" s="94">
        <f>SUM(I4:I5)</f>
        <v>77231.569999999992</v>
      </c>
      <c r="J6" s="40">
        <f>SUM(J4:J5)</f>
        <v>-445905.1203799987</v>
      </c>
    </row>
    <row r="7" spans="1:34" ht="16.5" thickTop="1" thickBot="1" x14ac:dyDescent="0.3"/>
    <row r="8" spans="1:34" ht="75.75" thickBot="1" x14ac:dyDescent="0.3">
      <c r="B8" s="141" t="str">
        <f>+'PCR Cycle 1'!B8</f>
        <v>Cumulative Over/Under Carryover From 12/01/2017 Filing</v>
      </c>
      <c r="C8" s="179" t="str">
        <f>+'PCR Cycle 1'!C8</f>
        <v>Reverse Nov-17 - January-18  Forecast From 12/01/2017 Filing</v>
      </c>
      <c r="D8" s="234" t="s">
        <v>39</v>
      </c>
      <c r="E8" s="234"/>
      <c r="F8" s="235"/>
      <c r="G8" s="229" t="s">
        <v>39</v>
      </c>
      <c r="H8" s="230"/>
      <c r="I8" s="231"/>
      <c r="J8" s="236" t="s">
        <v>9</v>
      </c>
      <c r="K8" s="237"/>
      <c r="L8" s="238"/>
    </row>
    <row r="9" spans="1:34" x14ac:dyDescent="0.25">
      <c r="A9" s="62" t="s">
        <v>38</v>
      </c>
      <c r="C9" s="14"/>
      <c r="D9" s="20">
        <f>+'PCR Cycle 1'!D9</f>
        <v>43069</v>
      </c>
      <c r="E9" s="20">
        <f t="shared" ref="E9:L9" si="2">EOMONTH(D9,1)</f>
        <v>43100</v>
      </c>
      <c r="F9" s="20">
        <f t="shared" si="2"/>
        <v>43131</v>
      </c>
      <c r="G9" s="14">
        <f t="shared" si="2"/>
        <v>43159</v>
      </c>
      <c r="H9" s="20">
        <f t="shared" si="2"/>
        <v>43190</v>
      </c>
      <c r="I9" s="15">
        <f t="shared" si="2"/>
        <v>43220</v>
      </c>
      <c r="J9" s="20">
        <f t="shared" si="2"/>
        <v>43251</v>
      </c>
      <c r="K9" s="20">
        <f t="shared" si="2"/>
        <v>43281</v>
      </c>
      <c r="L9" s="118">
        <f t="shared" si="2"/>
        <v>43312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62" t="s">
        <v>29</v>
      </c>
      <c r="C10" s="120">
        <v>-943348.65999999992</v>
      </c>
      <c r="D10" s="132">
        <f>ROUND([6]Pivot!C25,2)</f>
        <v>386158.81</v>
      </c>
      <c r="E10" s="132">
        <f>ROUND([6]Pivot!D25,2)</f>
        <v>658190.39</v>
      </c>
      <c r="F10" s="133">
        <f>ROUND([6]Pivot!E25,2)</f>
        <v>245082.49</v>
      </c>
      <c r="G10" s="16">
        <f>ROUND([6]Pivot!F25,2)</f>
        <v>311741.13</v>
      </c>
      <c r="H10" s="71">
        <f>ROUND([6]Pivot!G25,2)</f>
        <v>507877.9</v>
      </c>
      <c r="I10" s="195">
        <f>ROUND([6]Pivot!H25,2)</f>
        <v>241411.55</v>
      </c>
      <c r="J10" s="208">
        <f>ROUND('[2]Program Costs - KCP&amp;L'!AD153,2)</f>
        <v>303861.90000000002</v>
      </c>
      <c r="K10" s="164">
        <f>ROUND('[2]Program Costs - KCP&amp;L'!AE153,2)</f>
        <v>385545.95</v>
      </c>
      <c r="L10" s="95"/>
    </row>
    <row r="11" spans="1:34" x14ac:dyDescent="0.25">
      <c r="A11" s="62" t="s">
        <v>30</v>
      </c>
      <c r="C11" s="120">
        <v>-1434163.9</v>
      </c>
      <c r="D11" s="132">
        <f>ROUND([6]Pivot!C26,2)</f>
        <v>867418.33</v>
      </c>
      <c r="E11" s="132">
        <f>ROUND([6]Pivot!D26,2)</f>
        <v>452235.86</v>
      </c>
      <c r="F11" s="133">
        <f>ROUND([6]Pivot!E26,2)</f>
        <v>444548.32</v>
      </c>
      <c r="G11" s="16">
        <f>ROUND([6]Pivot!F26,2)</f>
        <v>535208.32999999996</v>
      </c>
      <c r="H11" s="71">
        <f>ROUND([6]Pivot!G26,2)</f>
        <v>829857.64</v>
      </c>
      <c r="I11" s="195">
        <f>ROUND([6]Pivot!H26,2)</f>
        <v>635254.9</v>
      </c>
      <c r="J11" s="208">
        <f>ROUND('[2]Program Costs - KCP&amp;L'!AD154,2)</f>
        <v>529803.68999999994</v>
      </c>
      <c r="K11" s="164">
        <f>ROUND('[2]Program Costs - KCP&amp;L'!AE154,2)</f>
        <v>869038.59</v>
      </c>
      <c r="L11" s="95"/>
      <c r="M11" s="79" t="s">
        <v>32</v>
      </c>
    </row>
    <row r="12" spans="1:34" x14ac:dyDescent="0.25">
      <c r="A12" s="62" t="s">
        <v>0</v>
      </c>
      <c r="C12" s="120">
        <v>-415408.66</v>
      </c>
      <c r="D12" s="132">
        <f>ROUND([6]Pivot!C27,2)</f>
        <v>385003.27</v>
      </c>
      <c r="E12" s="132">
        <f>ROUND([6]Pivot!D27,2)</f>
        <v>19055.919999999998</v>
      </c>
      <c r="F12" s="133">
        <f>ROUND([6]Pivot!E27,2)</f>
        <v>44646.15</v>
      </c>
      <c r="G12" s="16">
        <f>ROUND([6]Pivot!F27,2)</f>
        <v>32360.17</v>
      </c>
      <c r="H12" s="71">
        <f>ROUND([6]Pivot!G27,2)</f>
        <v>167970.82</v>
      </c>
      <c r="I12" s="195">
        <f>ROUND([6]Pivot!H27,2)</f>
        <v>43686.239999999998</v>
      </c>
      <c r="J12" s="208">
        <f>ROUND('[2]Program Costs - KCP&amp;L'!AD155,2)</f>
        <v>79724.539999999994</v>
      </c>
      <c r="K12" s="164">
        <f>ROUND('[2]Program Costs - KCP&amp;L'!AE155,2)</f>
        <v>107878.85</v>
      </c>
      <c r="L12" s="95"/>
      <c r="M12" s="89">
        <v>0.5</v>
      </c>
    </row>
    <row r="13" spans="1:34" x14ac:dyDescent="0.25">
      <c r="A13" s="62" t="s">
        <v>1</v>
      </c>
      <c r="C13" s="120">
        <v>0</v>
      </c>
      <c r="D13" s="132">
        <f>ROUND([6]Pivot!C28,2)</f>
        <v>0</v>
      </c>
      <c r="E13" s="132">
        <f>ROUND([6]Pivot!D28,2)</f>
        <v>0</v>
      </c>
      <c r="F13" s="133">
        <f>ROUND([6]Pivot!E28,2)</f>
        <v>0</v>
      </c>
      <c r="G13" s="16">
        <f>ROUND([6]Pivot!F28,2)</f>
        <v>0</v>
      </c>
      <c r="H13" s="71">
        <f>ROUND([6]Pivot!G28,2)</f>
        <v>0</v>
      </c>
      <c r="I13" s="195">
        <f>ROUND([6]Pivot!H28,2)</f>
        <v>0</v>
      </c>
      <c r="J13" s="208">
        <f>ROUND('[2]Program Costs - KCP&amp;L'!AD156,2)</f>
        <v>0</v>
      </c>
      <c r="K13" s="164">
        <f>ROUND('[2]Program Costs - KCP&amp;L'!AE156,2)</f>
        <v>0</v>
      </c>
      <c r="L13" s="95"/>
      <c r="M13" s="79"/>
    </row>
    <row r="14" spans="1:34" x14ac:dyDescent="0.25">
      <c r="C14" s="121"/>
      <c r="D14" s="44"/>
      <c r="E14" s="44"/>
      <c r="F14" s="44"/>
      <c r="G14" s="41"/>
      <c r="H14" s="44"/>
      <c r="I14" s="11"/>
      <c r="J14" s="44"/>
      <c r="K14" s="44"/>
      <c r="L14" s="42"/>
    </row>
    <row r="15" spans="1:34" x14ac:dyDescent="0.25">
      <c r="C15" s="121"/>
      <c r="D15" s="44"/>
      <c r="E15" s="44"/>
      <c r="F15" s="44"/>
      <c r="G15" s="41"/>
      <c r="H15" s="44"/>
      <c r="I15" s="11"/>
      <c r="J15" s="44"/>
      <c r="K15" s="44"/>
      <c r="L15" s="42"/>
    </row>
    <row r="16" spans="1:34" x14ac:dyDescent="0.25">
      <c r="A16" s="62" t="s">
        <v>41</v>
      </c>
      <c r="C16" s="122"/>
      <c r="D16" s="44"/>
      <c r="E16" s="44"/>
      <c r="F16" s="44"/>
      <c r="G16" s="41"/>
      <c r="H16" s="44"/>
      <c r="I16" s="196"/>
      <c r="J16" s="17"/>
      <c r="K16" s="17"/>
      <c r="L16" s="11"/>
    </row>
    <row r="17" spans="1:14" x14ac:dyDescent="0.25">
      <c r="A17" s="62" t="s">
        <v>29</v>
      </c>
      <c r="C17" s="54">
        <f t="shared" ref="C17:K17" si="3">C10+($M$12*C$12)+($M$12*C$13)</f>
        <v>-1151052.99</v>
      </c>
      <c r="D17" s="55">
        <f t="shared" si="3"/>
        <v>578660.44500000007</v>
      </c>
      <c r="E17" s="55">
        <f t="shared" si="3"/>
        <v>667718.35</v>
      </c>
      <c r="F17" s="131">
        <f t="shared" si="3"/>
        <v>267405.565</v>
      </c>
      <c r="G17" s="54">
        <f t="shared" si="3"/>
        <v>327921.21500000003</v>
      </c>
      <c r="H17" s="55">
        <f t="shared" si="3"/>
        <v>591863.31000000006</v>
      </c>
      <c r="I17" s="77">
        <f t="shared" si="3"/>
        <v>263254.67</v>
      </c>
      <c r="J17" s="146">
        <f t="shared" si="3"/>
        <v>343724.17000000004</v>
      </c>
      <c r="K17" s="55">
        <f t="shared" si="3"/>
        <v>439485.375</v>
      </c>
      <c r="L17" s="77">
        <f t="shared" ref="L17" si="4">L10+($M$12*L$12)+($M$12*L$13)+L$14*(1-$M$14)</f>
        <v>0</v>
      </c>
    </row>
    <row r="18" spans="1:14" x14ac:dyDescent="0.25">
      <c r="A18" s="62" t="s">
        <v>30</v>
      </c>
      <c r="C18" s="54">
        <f t="shared" ref="C18:K18" si="5">(C$11+$M$12*C$12)+C$13*$M$12</f>
        <v>-1641868.23</v>
      </c>
      <c r="D18" s="55">
        <f t="shared" si="5"/>
        <v>1059919.9649999999</v>
      </c>
      <c r="E18" s="55">
        <f t="shared" si="5"/>
        <v>461763.82</v>
      </c>
      <c r="F18" s="131">
        <f t="shared" si="5"/>
        <v>466871.39500000002</v>
      </c>
      <c r="G18" s="54">
        <f t="shared" si="5"/>
        <v>551388.41499999992</v>
      </c>
      <c r="H18" s="55">
        <f t="shared" si="5"/>
        <v>913843.05</v>
      </c>
      <c r="I18" s="77">
        <f t="shared" si="5"/>
        <v>657098.02</v>
      </c>
      <c r="J18" s="146">
        <f t="shared" si="5"/>
        <v>569665.96</v>
      </c>
      <c r="K18" s="55">
        <f t="shared" si="5"/>
        <v>922978.01500000001</v>
      </c>
      <c r="L18" s="77">
        <f t="shared" ref="L18" si="6">(L$11+$M$12*L$12+L$14*$M$14)+L$13*$M$12</f>
        <v>0</v>
      </c>
    </row>
    <row r="19" spans="1:14" x14ac:dyDescent="0.25">
      <c r="C19" s="122"/>
      <c r="D19" s="44"/>
      <c r="E19" s="44"/>
      <c r="F19" s="44"/>
      <c r="G19" s="41"/>
      <c r="H19" s="44"/>
      <c r="I19" s="11"/>
      <c r="J19" s="17"/>
      <c r="K19" s="17"/>
      <c r="L19" s="11"/>
    </row>
    <row r="20" spans="1:14" x14ac:dyDescent="0.25">
      <c r="A20" s="53" t="s">
        <v>63</v>
      </c>
      <c r="B20" s="53"/>
      <c r="C20" s="124"/>
      <c r="D20" s="44"/>
      <c r="E20" s="44"/>
      <c r="F20" s="44"/>
      <c r="G20" s="41"/>
      <c r="H20" s="44"/>
      <c r="I20" s="11"/>
      <c r="J20" s="17"/>
      <c r="K20" s="17"/>
      <c r="L20" s="11"/>
    </row>
    <row r="21" spans="1:14" x14ac:dyDescent="0.25">
      <c r="A21" s="62" t="s">
        <v>29</v>
      </c>
      <c r="C21" s="125">
        <v>-666778020</v>
      </c>
      <c r="D21" s="134">
        <f>+'[3]KCPL-MO Revenue Analysis'!M200</f>
        <v>156890733</v>
      </c>
      <c r="E21" s="134">
        <f>+'[3]KCPL-MO Revenue Analysis'!N200</f>
        <v>201835476</v>
      </c>
      <c r="F21" s="134">
        <f>+'[4]KCPL-MO Revenue Analysis'!C248</f>
        <v>280381293</v>
      </c>
      <c r="G21" s="218">
        <f>+'[4]KCPL-MO Revenue Analysis'!D248</f>
        <v>239058020</v>
      </c>
      <c r="H21" s="221">
        <f>+'[4]KCPL-MO Revenue Analysis'!E248</f>
        <v>201804011</v>
      </c>
      <c r="I21" s="215">
        <f>+'[4]KCPL-MO Revenue Analysis'!F248</f>
        <v>179689702</v>
      </c>
      <c r="J21" s="209">
        <f>+'PCR Cycle 1'!J21</f>
        <v>147649425</v>
      </c>
      <c r="K21" s="165">
        <f>+'PCR Cycle 1'!K21</f>
        <v>187486105</v>
      </c>
      <c r="L21" s="96">
        <f>+'PCR Cycle 1'!L21</f>
        <v>274956823</v>
      </c>
    </row>
    <row r="22" spans="1:14" x14ac:dyDescent="0.25">
      <c r="A22" s="62" t="s">
        <v>30</v>
      </c>
      <c r="C22" s="125">
        <v>-1189166985.9232278</v>
      </c>
      <c r="D22" s="134">
        <f>+'[3]KCPL-MO Revenue Analysis'!M201</f>
        <v>354439300</v>
      </c>
      <c r="E22" s="134">
        <f>+'[3]KCPL-MO Revenue Analysis'!N201</f>
        <v>381178956</v>
      </c>
      <c r="F22" s="134">
        <f>+'[4]KCPL-MO Revenue Analysis'!C249</f>
        <v>419698487</v>
      </c>
      <c r="G22" s="218">
        <f>+'[4]KCPL-MO Revenue Analysis'!D249</f>
        <v>387305502</v>
      </c>
      <c r="H22" s="221">
        <f>+'[4]KCPL-MO Revenue Analysis'!E249</f>
        <v>360966325</v>
      </c>
      <c r="I22" s="215">
        <f>+'[4]KCPL-MO Revenue Analysis'!F249</f>
        <v>376589288</v>
      </c>
      <c r="J22" s="209">
        <f>+'PCR Cycle 1'!J22</f>
        <v>368634803</v>
      </c>
      <c r="K22" s="165">
        <f>+'PCR Cycle 1'!K22</f>
        <v>406527628</v>
      </c>
      <c r="L22" s="96">
        <f>+'PCR Cycle 1'!L22</f>
        <v>448674815</v>
      </c>
    </row>
    <row r="23" spans="1:14" x14ac:dyDescent="0.25">
      <c r="C23" s="122"/>
      <c r="D23" s="44"/>
      <c r="E23" s="44"/>
      <c r="F23" s="44"/>
      <c r="G23" s="41"/>
      <c r="H23" s="44"/>
      <c r="I23" s="11"/>
      <c r="J23" s="17"/>
      <c r="K23" s="17"/>
      <c r="L23" s="11"/>
    </row>
    <row r="24" spans="1:14" x14ac:dyDescent="0.25">
      <c r="A24" s="62" t="s">
        <v>40</v>
      </c>
      <c r="C24" s="122"/>
      <c r="D24" s="18"/>
      <c r="E24" s="18"/>
      <c r="F24" s="18"/>
      <c r="G24" s="114"/>
      <c r="H24" s="18"/>
      <c r="I24" s="11"/>
      <c r="J24" s="73"/>
      <c r="K24" s="73"/>
      <c r="L24" s="74"/>
      <c r="M24" s="79" t="s">
        <v>66</v>
      </c>
      <c r="N24" s="53"/>
    </row>
    <row r="25" spans="1:14" x14ac:dyDescent="0.25">
      <c r="A25" s="62" t="s">
        <v>29</v>
      </c>
      <c r="C25" s="120">
        <v>-2380397.5314000002</v>
      </c>
      <c r="D25" s="132">
        <f>ROUND('[3]KCPL-MO Revenue Analysis'!M175+'[3]KCPL-MO Revenue Analysis'!M180,2)</f>
        <v>559964.56999999995</v>
      </c>
      <c r="E25" s="132">
        <f>ROUND('[3]KCPL-MO Revenue Analysis'!N175+'[3]KCPL-MO Revenue Analysis'!N180,2)</f>
        <v>720484.9</v>
      </c>
      <c r="F25" s="134">
        <f>ROUND('[4]KCPL-MO Revenue Analysis'!C221+'[4]KCPL-MO Revenue Analysis'!C226,2)</f>
        <v>1001026.27</v>
      </c>
      <c r="G25" s="219">
        <f>ROUND('[4]KCPL-MO Revenue Analysis'!D221+'[4]KCPL-MO Revenue Analysis'!D226,2)</f>
        <v>896047.31</v>
      </c>
      <c r="H25" s="71">
        <f>ROUND('[4]KCPL-MO Revenue Analysis'!E221+'[4]KCPL-MO Revenue Analysis'!E226,2)</f>
        <v>811016.45</v>
      </c>
      <c r="I25" s="211">
        <f>ROUND('[4]KCPL-MO Revenue Analysis'!F221+'[4]KCPL-MO Revenue Analysis'!F226,2)</f>
        <v>722384.16</v>
      </c>
      <c r="J25" s="146">
        <f t="shared" ref="J25:L26" si="7">J21*$M25</f>
        <v>593550.68850000005</v>
      </c>
      <c r="K25" s="55">
        <f t="shared" si="7"/>
        <v>753694.14210000006</v>
      </c>
      <c r="L25" s="77">
        <f t="shared" si="7"/>
        <v>1105326.4284600001</v>
      </c>
      <c r="M25" s="88">
        <v>4.0200000000000001E-3</v>
      </c>
    </row>
    <row r="26" spans="1:14" x14ac:dyDescent="0.25">
      <c r="A26" s="62" t="str">
        <f>A22</f>
        <v>Non-Residential</v>
      </c>
      <c r="C26" s="120">
        <v>-4756667.9436929114</v>
      </c>
      <c r="D26" s="132">
        <f>ROUND('[3]KCPL-MO Revenue Analysis'!M176+'[3]KCPL-MO Revenue Analysis'!M181,2)</f>
        <v>1417465.05</v>
      </c>
      <c r="E26" s="132">
        <f>ROUND('[3]KCPL-MO Revenue Analysis'!N176+'[3]KCPL-MO Revenue Analysis'!N181,2)</f>
        <v>1524354.15</v>
      </c>
      <c r="F26" s="134">
        <f>ROUND('[4]KCPL-MO Revenue Analysis'!C222+'[4]KCPL-MO Revenue Analysis'!C227,2)</f>
        <v>1679531.44</v>
      </c>
      <c r="G26" s="219">
        <f>ROUND('[4]KCPL-MO Revenue Analysis'!D222+'[4]KCPL-MO Revenue Analysis'!D227,2)</f>
        <v>1453749.85</v>
      </c>
      <c r="H26" s="71">
        <f>ROUND('[4]KCPL-MO Revenue Analysis'!E222+'[4]KCPL-MO Revenue Analysis'!E227,2)</f>
        <v>1236643.82</v>
      </c>
      <c r="I26" s="211">
        <f>ROUND('[4]KCPL-MO Revenue Analysis'!F222+'[4]KCPL-MO Revenue Analysis'!F227,2)</f>
        <v>1300879.22</v>
      </c>
      <c r="J26" s="146">
        <f t="shared" si="7"/>
        <v>1260731.0262600002</v>
      </c>
      <c r="K26" s="55">
        <f t="shared" si="7"/>
        <v>1390324.4877600002</v>
      </c>
      <c r="L26" s="77">
        <f t="shared" si="7"/>
        <v>1534467.8673</v>
      </c>
      <c r="M26" s="88">
        <v>3.4200000000000003E-3</v>
      </c>
    </row>
    <row r="27" spans="1:14" x14ac:dyDescent="0.25">
      <c r="C27" s="83"/>
      <c r="D27" s="18"/>
      <c r="E27" s="18"/>
      <c r="F27" s="18"/>
      <c r="G27" s="114"/>
      <c r="H27" s="18"/>
      <c r="I27" s="11"/>
      <c r="J27" s="72"/>
      <c r="K27" s="72"/>
      <c r="L27" s="13"/>
      <c r="M27" s="4"/>
    </row>
    <row r="28" spans="1:14" ht="15.75" thickBot="1" x14ac:dyDescent="0.3">
      <c r="A28" s="62" t="s">
        <v>16</v>
      </c>
      <c r="C28" s="126">
        <v>-39914.550000000003</v>
      </c>
      <c r="D28" s="135">
        <v>21435.84</v>
      </c>
      <c r="E28" s="135">
        <v>21566.39</v>
      </c>
      <c r="F28" s="136">
        <v>18577.47</v>
      </c>
      <c r="G28" s="39">
        <v>14824.27</v>
      </c>
      <c r="H28" s="145">
        <v>13345.81</v>
      </c>
      <c r="I28" s="212">
        <v>11642.94</v>
      </c>
      <c r="J28" s="210">
        <v>8993.99</v>
      </c>
      <c r="K28" s="166">
        <v>6759.41</v>
      </c>
      <c r="L28" s="100"/>
    </row>
    <row r="29" spans="1:14" x14ac:dyDescent="0.25">
      <c r="C29" s="122"/>
      <c r="D29" s="44"/>
      <c r="E29" s="44"/>
      <c r="F29" s="44"/>
      <c r="G29" s="41"/>
      <c r="H29" s="44"/>
      <c r="I29" s="11"/>
      <c r="J29" s="17"/>
      <c r="K29" s="17"/>
      <c r="L29" s="11"/>
    </row>
    <row r="30" spans="1:14" x14ac:dyDescent="0.25">
      <c r="A30" s="62" t="s">
        <v>68</v>
      </c>
      <c r="C30" s="122"/>
      <c r="D30" s="44"/>
      <c r="E30" s="44"/>
      <c r="F30" s="44"/>
      <c r="G30" s="41"/>
      <c r="H30" s="44"/>
      <c r="I30" s="11"/>
      <c r="J30" s="17"/>
      <c r="K30" s="17"/>
      <c r="L30" s="11"/>
    </row>
    <row r="31" spans="1:14" x14ac:dyDescent="0.25">
      <c r="A31" s="62" t="s">
        <v>29</v>
      </c>
      <c r="C31" s="54">
        <f t="shared" ref="C31:L32" si="8">C17-C25</f>
        <v>1229344.5414000002</v>
      </c>
      <c r="D31" s="55">
        <f t="shared" si="8"/>
        <v>18695.875000000116</v>
      </c>
      <c r="E31" s="55">
        <f t="shared" si="8"/>
        <v>-52766.550000000047</v>
      </c>
      <c r="F31" s="131">
        <f t="shared" si="8"/>
        <v>-733620.70500000007</v>
      </c>
      <c r="G31" s="54">
        <f t="shared" si="8"/>
        <v>-568126.09499999997</v>
      </c>
      <c r="H31" s="55">
        <f t="shared" si="8"/>
        <v>-219153.1399999999</v>
      </c>
      <c r="I31" s="77">
        <f t="shared" si="8"/>
        <v>-459129.49000000005</v>
      </c>
      <c r="J31" s="146">
        <f t="shared" si="8"/>
        <v>-249826.51850000001</v>
      </c>
      <c r="K31" s="55">
        <f t="shared" si="8"/>
        <v>-314208.76710000006</v>
      </c>
      <c r="L31" s="65">
        <f t="shared" si="8"/>
        <v>-1105326.4284600001</v>
      </c>
    </row>
    <row r="32" spans="1:14" x14ac:dyDescent="0.25">
      <c r="A32" s="62" t="s">
        <v>30</v>
      </c>
      <c r="C32" s="54">
        <f t="shared" si="8"/>
        <v>3114799.7136929114</v>
      </c>
      <c r="D32" s="55">
        <f t="shared" si="8"/>
        <v>-357545.0850000002</v>
      </c>
      <c r="E32" s="55">
        <f t="shared" si="8"/>
        <v>-1062590.3299999998</v>
      </c>
      <c r="F32" s="131">
        <f t="shared" si="8"/>
        <v>-1212660.0449999999</v>
      </c>
      <c r="G32" s="54">
        <f t="shared" si="8"/>
        <v>-902361.43500000017</v>
      </c>
      <c r="H32" s="55">
        <f t="shared" si="8"/>
        <v>-322800.77</v>
      </c>
      <c r="I32" s="77">
        <f t="shared" si="8"/>
        <v>-643781.19999999995</v>
      </c>
      <c r="J32" s="146">
        <f t="shared" si="8"/>
        <v>-691065.06626000023</v>
      </c>
      <c r="K32" s="55">
        <f t="shared" si="8"/>
        <v>-467346.47276000015</v>
      </c>
      <c r="L32" s="65">
        <f t="shared" si="8"/>
        <v>-1534467.8673</v>
      </c>
    </row>
    <row r="33" spans="1:13" x14ac:dyDescent="0.25">
      <c r="C33" s="122"/>
      <c r="D33" s="44"/>
      <c r="E33" s="44"/>
      <c r="F33" s="44"/>
      <c r="G33" s="41"/>
      <c r="H33" s="44"/>
      <c r="I33" s="11"/>
      <c r="J33" s="17"/>
      <c r="K33" s="17"/>
      <c r="L33" s="11"/>
    </row>
    <row r="34" spans="1:13" ht="15.75" thickBot="1" x14ac:dyDescent="0.3">
      <c r="A34" s="62" t="s">
        <v>69</v>
      </c>
      <c r="C34" s="127"/>
      <c r="D34" s="44"/>
      <c r="E34" s="44"/>
      <c r="F34" s="44"/>
      <c r="G34" s="41"/>
      <c r="H34" s="44"/>
      <c r="I34" s="11"/>
      <c r="J34" s="17"/>
      <c r="K34" s="17"/>
      <c r="L34" s="11"/>
    </row>
    <row r="35" spans="1:13" x14ac:dyDescent="0.25">
      <c r="A35" s="62" t="s">
        <v>29</v>
      </c>
      <c r="B35" s="139">
        <v>2435643.4686000007</v>
      </c>
      <c r="C35" s="55">
        <f>B35+C31+B40</f>
        <v>3664988.0100000007</v>
      </c>
      <c r="D35" s="55">
        <f t="shared" ref="D35:L35" si="9">C35+D31+C40</f>
        <v>3668715.5250000008</v>
      </c>
      <c r="E35" s="55">
        <f t="shared" si="9"/>
        <v>3623680.5650000004</v>
      </c>
      <c r="F35" s="131">
        <f t="shared" si="9"/>
        <v>2898398.7600000002</v>
      </c>
      <c r="G35" s="54">
        <f t="shared" si="9"/>
        <v>2337921.355</v>
      </c>
      <c r="H35" s="55">
        <f t="shared" si="9"/>
        <v>2124996.3449999997</v>
      </c>
      <c r="I35" s="77">
        <f t="shared" si="9"/>
        <v>1671547.8349999997</v>
      </c>
      <c r="J35" s="146">
        <f t="shared" si="9"/>
        <v>1426706.1264999998</v>
      </c>
      <c r="K35" s="55">
        <f t="shared" si="9"/>
        <v>1116565.7793999997</v>
      </c>
      <c r="L35" s="65">
        <f t="shared" si="9"/>
        <v>14578.980939999568</v>
      </c>
    </row>
    <row r="36" spans="1:13" ht="15.75" thickBot="1" x14ac:dyDescent="0.3">
      <c r="A36" s="62" t="s">
        <v>30</v>
      </c>
      <c r="B36" s="140">
        <v>3575155.6763070882</v>
      </c>
      <c r="C36" s="55">
        <f>B36+C32+B41</f>
        <v>6689955.3899999997</v>
      </c>
      <c r="D36" s="55">
        <f t="shared" ref="D36:L36" si="10">C36+D32+C41</f>
        <v>6307464.1149999993</v>
      </c>
      <c r="E36" s="55">
        <f t="shared" si="10"/>
        <v>5258578.0349999992</v>
      </c>
      <c r="F36" s="131">
        <f t="shared" si="10"/>
        <v>4059145.4799999995</v>
      </c>
      <c r="G36" s="54">
        <f t="shared" si="10"/>
        <v>3167712.8249999993</v>
      </c>
      <c r="H36" s="55">
        <f t="shared" si="10"/>
        <v>2853508.1949999994</v>
      </c>
      <c r="I36" s="77">
        <f t="shared" si="10"/>
        <v>2217391.8249999993</v>
      </c>
      <c r="J36" s="146">
        <f t="shared" si="10"/>
        <v>1532984.8887399989</v>
      </c>
      <c r="K36" s="55">
        <f t="shared" si="10"/>
        <v>1070563.9859799987</v>
      </c>
      <c r="L36" s="65">
        <f t="shared" si="10"/>
        <v>-460484.1013200013</v>
      </c>
    </row>
    <row r="37" spans="1:13" x14ac:dyDescent="0.25">
      <c r="C37" s="122"/>
      <c r="D37" s="44"/>
      <c r="E37" s="44"/>
      <c r="F37" s="44"/>
      <c r="G37" s="41"/>
      <c r="H37" s="44"/>
      <c r="I37" s="11"/>
      <c r="J37" s="17"/>
      <c r="K37" s="17"/>
      <c r="L37" s="11"/>
    </row>
    <row r="38" spans="1:13" x14ac:dyDescent="0.25">
      <c r="A38" s="53" t="s">
        <v>65</v>
      </c>
      <c r="B38" s="53"/>
      <c r="C38" s="127"/>
      <c r="D38" s="102">
        <f>+'PCR Cycle 1'!D38</f>
        <v>2.1128200000000001E-3</v>
      </c>
      <c r="E38" s="102">
        <f>+'PCR Cycle 1'!E38</f>
        <v>2.28459E-3</v>
      </c>
      <c r="F38" s="102">
        <f>+'PCR Cycle 1'!F38</f>
        <v>2.3424800000000001E-3</v>
      </c>
      <c r="G38" s="103">
        <f>+'PCR Cycle 1'!G38</f>
        <v>2.37535E-3</v>
      </c>
      <c r="H38" s="102">
        <f>+'PCR Cycle 1'!H38</f>
        <v>2.5423099999999999E-3</v>
      </c>
      <c r="I38" s="115">
        <f>+'PCR Cycle 1'!I38</f>
        <v>2.6220499999999999E-3</v>
      </c>
      <c r="J38" s="102">
        <f>+'PCR Cycle 1'!J38</f>
        <v>2.6220499999999999E-3</v>
      </c>
      <c r="K38" s="102">
        <f>+'PCR Cycle 1'!K38</f>
        <v>2.6220499999999999E-3</v>
      </c>
      <c r="L38" s="115"/>
    </row>
    <row r="39" spans="1:13" x14ac:dyDescent="0.25">
      <c r="A39" s="53" t="s">
        <v>44</v>
      </c>
      <c r="B39" s="53"/>
      <c r="C39" s="122"/>
      <c r="D39" s="44"/>
      <c r="E39" s="44"/>
      <c r="F39" s="44"/>
      <c r="G39" s="41"/>
      <c r="H39" s="44"/>
      <c r="I39" s="11"/>
      <c r="J39" s="17"/>
      <c r="K39" s="17"/>
      <c r="L39" s="11"/>
      <c r="M39" s="87"/>
    </row>
    <row r="40" spans="1:13" x14ac:dyDescent="0.25">
      <c r="A40" s="62" t="s">
        <v>29</v>
      </c>
      <c r="C40" s="54">
        <v>-14968.36</v>
      </c>
      <c r="D40" s="55">
        <f t="shared" ref="D40" si="11">ROUND((C35+C40+D31/2)*D$38,2)</f>
        <v>7731.59</v>
      </c>
      <c r="E40" s="55">
        <f t="shared" ref="E40:E41" si="12">ROUND((D35+D40+E31/2)*E$38,2)</f>
        <v>8338.9</v>
      </c>
      <c r="F40" s="131">
        <f t="shared" ref="F40:F41" si="13">ROUND((E35+E40+F31/2)*F$38,2)</f>
        <v>7648.69</v>
      </c>
      <c r="G40" s="54">
        <f t="shared" ref="G40:G41" si="14">ROUND((F35+F40+G31/2)*G$38,2)</f>
        <v>6228.13</v>
      </c>
      <c r="H40" s="146">
        <f t="shared" ref="H40:I41" si="15">ROUND((G35+G40+H31/2)*H$38,2)</f>
        <v>5680.98</v>
      </c>
      <c r="I40" s="77">
        <f t="shared" si="15"/>
        <v>4984.8100000000004</v>
      </c>
      <c r="J40" s="146">
        <f t="shared" ref="J40:J41" si="16">ROUND((I35+I40+J31/2)*J$38,2)</f>
        <v>4068.42</v>
      </c>
      <c r="K40" s="146">
        <f t="shared" ref="K40:K41" si="17">ROUND((J35+J40+K31/2)*K$38,2)</f>
        <v>3339.63</v>
      </c>
      <c r="L40" s="65"/>
    </row>
    <row r="41" spans="1:13" ht="15.75" thickBot="1" x14ac:dyDescent="0.3">
      <c r="A41" s="62" t="s">
        <v>30</v>
      </c>
      <c r="C41" s="137">
        <v>-24946.190000000002</v>
      </c>
      <c r="D41" s="55">
        <f>ROUND((C36+C41+D32/2)*D$38,2)</f>
        <v>13704.25</v>
      </c>
      <c r="E41" s="55">
        <f t="shared" si="12"/>
        <v>13227.49</v>
      </c>
      <c r="F41" s="131">
        <f t="shared" si="13"/>
        <v>10928.78</v>
      </c>
      <c r="G41" s="54">
        <f t="shared" si="14"/>
        <v>8596.14</v>
      </c>
      <c r="H41" s="146">
        <f t="shared" si="15"/>
        <v>7664.83</v>
      </c>
      <c r="I41" s="77">
        <f t="shared" si="15"/>
        <v>6658.13</v>
      </c>
      <c r="J41" s="146">
        <f t="shared" si="16"/>
        <v>4925.57</v>
      </c>
      <c r="K41" s="146">
        <f t="shared" si="17"/>
        <v>3419.78</v>
      </c>
      <c r="L41" s="65"/>
    </row>
    <row r="42" spans="1:13" ht="16.5" thickTop="1" thickBot="1" x14ac:dyDescent="0.3">
      <c r="A42" s="70" t="s">
        <v>25</v>
      </c>
      <c r="B42" s="70"/>
      <c r="C42" s="138">
        <v>0</v>
      </c>
      <c r="D42" s="46">
        <f t="shared" ref="D42:L42" si="18">SUM(D40:D41)+SUM(D35:D36)-D45</f>
        <v>-1.0000001639127731E-2</v>
      </c>
      <c r="E42" s="46">
        <f t="shared" si="18"/>
        <v>-1.0000001639127731E-2</v>
      </c>
      <c r="F42" s="66">
        <f t="shared" si="18"/>
        <v>-1.0000001639127731E-2</v>
      </c>
      <c r="G42" s="147">
        <f t="shared" si="18"/>
        <v>-1.0000001639127731E-2</v>
      </c>
      <c r="H42" s="46">
        <f t="shared" si="18"/>
        <v>-1.0000002570450306E-2</v>
      </c>
      <c r="I42" s="78">
        <f t="shared" si="18"/>
        <v>-1.0000002104789019E-2</v>
      </c>
      <c r="J42" s="194">
        <f t="shared" si="18"/>
        <v>-1.0000002104789019E-2</v>
      </c>
      <c r="K42" s="46">
        <f t="shared" si="18"/>
        <v>-1.0000002570450306E-2</v>
      </c>
      <c r="L42" s="119">
        <f t="shared" si="18"/>
        <v>-1.0000002686865628E-2</v>
      </c>
    </row>
    <row r="43" spans="1:13" ht="16.5" thickTop="1" thickBot="1" x14ac:dyDescent="0.3">
      <c r="A43" s="70" t="s">
        <v>26</v>
      </c>
      <c r="B43" s="70"/>
      <c r="C43" s="130">
        <v>0</v>
      </c>
      <c r="D43" s="46">
        <f t="shared" ref="D43:I43" si="19">SUM(D40:D41)-D28</f>
        <v>0</v>
      </c>
      <c r="E43" s="46">
        <f t="shared" si="19"/>
        <v>0</v>
      </c>
      <c r="F43" s="66">
        <f t="shared" ref="F43:H43" si="20">SUM(F40:F41)-F28</f>
        <v>0</v>
      </c>
      <c r="G43" s="67">
        <f t="shared" si="20"/>
        <v>0</v>
      </c>
      <c r="H43" s="46">
        <f t="shared" si="20"/>
        <v>0</v>
      </c>
      <c r="I43" s="78">
        <f t="shared" si="19"/>
        <v>0</v>
      </c>
      <c r="J43" s="194">
        <f t="shared" ref="J43:L43" si="21">SUM(J40:J41)-J28</f>
        <v>0</v>
      </c>
      <c r="K43" s="46">
        <f t="shared" si="21"/>
        <v>0</v>
      </c>
      <c r="L43" s="119">
        <f t="shared" si="21"/>
        <v>0</v>
      </c>
    </row>
    <row r="44" spans="1:13" ht="16.5" thickTop="1" thickBot="1" x14ac:dyDescent="0.3">
      <c r="C44" s="122"/>
      <c r="D44" s="17"/>
      <c r="E44" s="17"/>
      <c r="F44" s="17"/>
      <c r="G44" s="10"/>
      <c r="H44" s="17"/>
      <c r="I44" s="11"/>
      <c r="J44" s="17"/>
      <c r="K44" s="17"/>
      <c r="L44" s="11"/>
    </row>
    <row r="45" spans="1:13" ht="15.75" thickBot="1" x14ac:dyDescent="0.3">
      <c r="A45" s="62" t="s">
        <v>42</v>
      </c>
      <c r="B45" s="142">
        <v>6010799.1549070906</v>
      </c>
      <c r="C45" s="54">
        <f t="shared" ref="C45:I45" si="22">(SUM(C10:C14)-SUM(C25:C26))+SUM(C40:C41)+B45</f>
        <v>10315028.860000003</v>
      </c>
      <c r="D45" s="55">
        <f t="shared" si="22"/>
        <v>9997615.4900000021</v>
      </c>
      <c r="E45" s="55">
        <f t="shared" si="22"/>
        <v>8903825.0000000019</v>
      </c>
      <c r="F45" s="131">
        <f t="shared" si="22"/>
        <v>6976121.7200000016</v>
      </c>
      <c r="G45" s="54">
        <f t="shared" si="22"/>
        <v>5520458.4600000009</v>
      </c>
      <c r="H45" s="55">
        <f t="shared" si="22"/>
        <v>4991850.3600000013</v>
      </c>
      <c r="I45" s="77">
        <f t="shared" si="22"/>
        <v>3900582.6100000013</v>
      </c>
      <c r="J45" s="146">
        <f t="shared" ref="J45" si="23">(SUM(J10:J14)-SUM(J25:J26))+SUM(J40:J41)+I45</f>
        <v>2968685.015240001</v>
      </c>
      <c r="K45" s="55">
        <f t="shared" ref="K45:L45" si="24">(SUM(K10:K14)-SUM(K25:K26))+SUM(K40:K41)+J45</f>
        <v>2193889.1853800011</v>
      </c>
      <c r="L45" s="77">
        <f t="shared" si="24"/>
        <v>-445905.11037999904</v>
      </c>
    </row>
    <row r="46" spans="1:13" x14ac:dyDescent="0.25">
      <c r="A46" s="62" t="s">
        <v>14</v>
      </c>
      <c r="C46" s="143"/>
      <c r="D46" s="72"/>
      <c r="E46" s="72"/>
      <c r="F46" s="72"/>
      <c r="G46" s="12"/>
      <c r="H46" s="72"/>
      <c r="I46" s="11"/>
      <c r="J46" s="17"/>
      <c r="K46" s="17"/>
      <c r="L46" s="11"/>
    </row>
    <row r="47" spans="1:13" ht="15.75" thickBot="1" x14ac:dyDescent="0.3">
      <c r="B47" s="17"/>
      <c r="C47" s="57"/>
      <c r="D47" s="58"/>
      <c r="E47" s="58"/>
      <c r="F47" s="58"/>
      <c r="G47" s="57"/>
      <c r="H47" s="58"/>
      <c r="I47" s="59"/>
      <c r="J47" s="58"/>
      <c r="K47" s="58"/>
      <c r="L47" s="59"/>
    </row>
    <row r="49" spans="1:12" x14ac:dyDescent="0.25">
      <c r="A49" s="85" t="s">
        <v>13</v>
      </c>
      <c r="B49" s="85"/>
      <c r="C49" s="85"/>
    </row>
    <row r="50" spans="1:12" ht="42.75" customHeight="1" x14ac:dyDescent="0.25">
      <c r="A50" s="233" t="s">
        <v>138</v>
      </c>
      <c r="B50" s="233"/>
      <c r="C50" s="233"/>
      <c r="D50" s="233"/>
      <c r="E50" s="233"/>
      <c r="F50" s="233"/>
      <c r="G50" s="233"/>
      <c r="H50" s="233"/>
      <c r="I50" s="233"/>
      <c r="J50" s="170"/>
      <c r="K50" s="170"/>
      <c r="L50" s="170"/>
    </row>
    <row r="51" spans="1:12" ht="33.75" customHeight="1" x14ac:dyDescent="0.25">
      <c r="A51" s="233" t="s">
        <v>132</v>
      </c>
      <c r="B51" s="233"/>
      <c r="C51" s="233"/>
      <c r="D51" s="233"/>
      <c r="E51" s="233"/>
      <c r="F51" s="233"/>
      <c r="G51" s="233"/>
      <c r="H51" s="233"/>
      <c r="I51" s="233"/>
      <c r="J51" s="170"/>
      <c r="K51" s="170"/>
      <c r="L51" s="170"/>
    </row>
    <row r="52" spans="1:12" ht="33.75" customHeight="1" x14ac:dyDescent="0.25">
      <c r="A52" s="233" t="s">
        <v>130</v>
      </c>
      <c r="B52" s="233"/>
      <c r="C52" s="233"/>
      <c r="D52" s="233"/>
      <c r="E52" s="233"/>
      <c r="F52" s="233"/>
      <c r="G52" s="233"/>
      <c r="H52" s="233"/>
      <c r="I52" s="233"/>
      <c r="J52" s="170"/>
      <c r="K52" s="170"/>
      <c r="L52" s="170"/>
    </row>
    <row r="53" spans="1:12" x14ac:dyDescent="0.25">
      <c r="A53" s="3" t="s">
        <v>37</v>
      </c>
      <c r="B53" s="3"/>
      <c r="C53" s="3"/>
      <c r="I53" s="4"/>
    </row>
    <row r="54" spans="1:12" x14ac:dyDescent="0.25">
      <c r="A54" s="79" t="s">
        <v>129</v>
      </c>
      <c r="B54" s="3"/>
      <c r="C54" s="3"/>
      <c r="I54" s="4"/>
    </row>
    <row r="55" spans="1:12" x14ac:dyDescent="0.25">
      <c r="A55" s="3" t="s">
        <v>67</v>
      </c>
      <c r="B55" s="3"/>
      <c r="C55" s="3"/>
      <c r="I55" s="4"/>
    </row>
    <row r="65" spans="13:13" x14ac:dyDescent="0.25">
      <c r="M65" s="8"/>
    </row>
  </sheetData>
  <mergeCells count="6">
    <mergeCell ref="J8:L8"/>
    <mergeCell ref="A52:I52"/>
    <mergeCell ref="D8:F8"/>
    <mergeCell ref="A50:I50"/>
    <mergeCell ref="A51:I51"/>
    <mergeCell ref="G8:I8"/>
  </mergeCells>
  <pageMargins left="0.2" right="0.2" top="0.75" bottom="0.25" header="0.3" footer="0.3"/>
  <pageSetup scale="54" orientation="landscape" r:id="rId1"/>
  <headerFooter>
    <oddHeader>&amp;C&amp;F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selection activeCell="H1" sqref="H1"/>
    </sheetView>
  </sheetViews>
  <sheetFormatPr defaultRowHeight="15" x14ac:dyDescent="0.25"/>
  <cols>
    <col min="1" max="1" width="17.5703125" customWidth="1"/>
    <col min="2" max="2" width="16.140625" customWidth="1"/>
    <col min="3" max="3" width="15.140625" customWidth="1"/>
  </cols>
  <sheetData>
    <row r="1" spans="1:23" s="62" customFormat="1" x14ac:dyDescent="0.25">
      <c r="A1" s="3" t="str">
        <f>+PPC!A1</f>
        <v>Kansas City Power &amp; Light Company - DSIM Rider Update Filed 06/01/2018</v>
      </c>
    </row>
    <row r="2" spans="1:23" x14ac:dyDescent="0.25">
      <c r="A2" s="9" t="str">
        <f>+PPC!A2</f>
        <v>Projections for Cycle 2 August 2018 - January 2019 DSIM</v>
      </c>
    </row>
    <row r="3" spans="1:23" s="62" customFormat="1" x14ac:dyDescent="0.25">
      <c r="A3" s="9"/>
    </row>
    <row r="4" spans="1:23" ht="40.5" customHeight="1" x14ac:dyDescent="0.25">
      <c r="B4" s="228" t="s">
        <v>87</v>
      </c>
      <c r="C4" s="228"/>
    </row>
    <row r="5" spans="1:23" ht="45" x14ac:dyDescent="0.25">
      <c r="B5" s="178" t="s">
        <v>88</v>
      </c>
      <c r="C5" s="6" t="s">
        <v>34</v>
      </c>
    </row>
    <row r="6" spans="1:23" x14ac:dyDescent="0.25">
      <c r="A6" s="22" t="s">
        <v>29</v>
      </c>
      <c r="B6" s="34">
        <f>+'[2]KCPL Monthly TD Calc'!AI377</f>
        <v>28996850.573092222</v>
      </c>
      <c r="C6" s="105">
        <f>ROUND('[2]KCPL Monthly TD Calc'!AI355,2)</f>
        <v>2521670.61</v>
      </c>
    </row>
    <row r="7" spans="1:23" x14ac:dyDescent="0.25">
      <c r="A7" s="43" t="s">
        <v>30</v>
      </c>
      <c r="B7" s="34">
        <f>+'[2]KCPL Monthly TD Calc'!AI378</f>
        <v>55356378.546444759</v>
      </c>
      <c r="C7" s="105">
        <f>ROUND('[2]KCPL Monthly TD Calc'!AI356,2)</f>
        <v>2753655.17</v>
      </c>
    </row>
    <row r="8" spans="1:23" x14ac:dyDescent="0.25">
      <c r="A8" s="22" t="s">
        <v>6</v>
      </c>
      <c r="B8" s="35">
        <f>SUM(B6:B7)</f>
        <v>84353229.119536981</v>
      </c>
      <c r="C8" s="24">
        <f>SUM(C6:C7)</f>
        <v>5275325.7799999993</v>
      </c>
    </row>
    <row r="9" spans="1:23" x14ac:dyDescent="0.25">
      <c r="B9" s="33"/>
      <c r="C9" s="62"/>
    </row>
    <row r="10" spans="1:23" x14ac:dyDescent="0.25">
      <c r="A10" s="62"/>
      <c r="B10" s="62"/>
      <c r="C10" s="62"/>
    </row>
    <row r="11" spans="1:23" x14ac:dyDescent="0.25">
      <c r="A11" s="85" t="s">
        <v>35</v>
      </c>
      <c r="B11" s="22"/>
      <c r="C11" s="23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53" customFormat="1" x14ac:dyDescent="0.25">
      <c r="A12" s="232" t="s">
        <v>147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</row>
    <row r="13" spans="1:23" s="53" customFormat="1" x14ac:dyDescent="0.25">
      <c r="A13" s="232" t="s">
        <v>139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</row>
    <row r="33" spans="2:3" x14ac:dyDescent="0.25">
      <c r="B33" s="8"/>
      <c r="C33" s="8"/>
    </row>
    <row r="37" spans="2:3" x14ac:dyDescent="0.25">
      <c r="B37" s="8"/>
      <c r="C37" s="8"/>
    </row>
  </sheetData>
  <mergeCells count="3">
    <mergeCell ref="B4:C4"/>
    <mergeCell ref="A12:M12"/>
    <mergeCell ref="A13:M13"/>
  </mergeCells>
  <pageMargins left="0.2" right="0.2" top="0.75" bottom="0.25" header="0.3" footer="0.3"/>
  <pageSetup scale="96" orientation="landscape" r:id="rId1"/>
  <headerFooter>
    <oddHeader>&amp;C&amp;F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zoomScaleNormal="100" workbookViewId="0">
      <pane xSplit="3" ySplit="11" topLeftCell="D36" activePane="bottomRight" state="frozen"/>
      <selection activeCell="H1" sqref="H1"/>
      <selection pane="topRight" activeCell="H1" sqref="H1"/>
      <selection pane="bottomLeft" activeCell="H1" sqref="H1"/>
      <selection pane="bottomRight" activeCell="H1" sqref="H1"/>
    </sheetView>
  </sheetViews>
  <sheetFormatPr defaultRowHeight="15" x14ac:dyDescent="0.25"/>
  <cols>
    <col min="1" max="1" width="37.7109375" customWidth="1"/>
    <col min="2" max="2" width="12.28515625" style="62" bestFit="1" customWidth="1"/>
    <col min="3" max="3" width="12.42578125" style="62" bestFit="1" customWidth="1"/>
    <col min="4" max="4" width="15.42578125" customWidth="1"/>
    <col min="5" max="5" width="15.85546875" bestFit="1" customWidth="1"/>
    <col min="6" max="6" width="12.28515625" style="62" bestFit="1" customWidth="1"/>
    <col min="7" max="8" width="13.28515625" style="62" bestFit="1" customWidth="1"/>
    <col min="9" max="9" width="12.28515625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bestFit="1" customWidth="1"/>
    <col min="14" max="14" width="16" bestFit="1" customWidth="1"/>
    <col min="15" max="15" width="15.28515625" bestFit="1" customWidth="1"/>
    <col min="16" max="16" width="17.42578125" bestFit="1" customWidth="1"/>
    <col min="17" max="17" width="16.28515625" bestFit="1" customWidth="1"/>
    <col min="18" max="18" width="15.28515625" bestFit="1" customWidth="1"/>
    <col min="19" max="19" width="12.42578125" customWidth="1"/>
    <col min="20" max="21" width="14.28515625" bestFit="1" customWidth="1"/>
  </cols>
  <sheetData>
    <row r="1" spans="1:34" x14ac:dyDescent="0.25">
      <c r="A1" s="3" t="str">
        <f>+PPC!A1</f>
        <v>Kansas City Power &amp; Light Company - DSIM Rider Update Filed 06/01/2018</v>
      </c>
      <c r="B1" s="3"/>
      <c r="C1" s="3"/>
    </row>
    <row r="2" spans="1:34" x14ac:dyDescent="0.25">
      <c r="D2" s="3" t="s">
        <v>86</v>
      </c>
    </row>
    <row r="3" spans="1:34" ht="30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71</v>
      </c>
      <c r="I3" s="6" t="s">
        <v>11</v>
      </c>
      <c r="J3" s="6" t="s">
        <v>10</v>
      </c>
      <c r="R3" s="6"/>
    </row>
    <row r="4" spans="1:34" x14ac:dyDescent="0.25">
      <c r="A4" s="22" t="s">
        <v>29</v>
      </c>
      <c r="B4" s="22"/>
      <c r="C4" s="22"/>
      <c r="D4" s="24">
        <f>SUM(C15:L15)</f>
        <v>17086.657859999999</v>
      </c>
      <c r="E4" s="161">
        <f>M19</f>
        <v>0</v>
      </c>
      <c r="F4" s="24">
        <f>SUM(C23:K23)</f>
        <v>0</v>
      </c>
      <c r="G4" s="24">
        <f>F4-D4</f>
        <v>-17086.657859999999</v>
      </c>
      <c r="H4" s="24">
        <f>+B33</f>
        <v>22179.122796580246</v>
      </c>
      <c r="I4" s="24">
        <f>SUM(C38:K38)</f>
        <v>273.35000000000002</v>
      </c>
      <c r="J4" s="36">
        <f>SUM(G4:I4)</f>
        <v>5365.8149365802474</v>
      </c>
      <c r="K4" s="63">
        <f>+J4-L33</f>
        <v>0</v>
      </c>
      <c r="M4" s="63"/>
    </row>
    <row r="5" spans="1:34" ht="15.75" thickBot="1" x14ac:dyDescent="0.3">
      <c r="A5" s="22" t="s">
        <v>30</v>
      </c>
      <c r="B5" s="22"/>
      <c r="C5" s="22"/>
      <c r="D5" s="24">
        <f>SUM(C16:L16)</f>
        <v>-126494.37152921267</v>
      </c>
      <c r="E5" s="161">
        <f>M20</f>
        <v>0</v>
      </c>
      <c r="F5" s="24">
        <f>SUM(C24:K24)</f>
        <v>0</v>
      </c>
      <c r="G5" s="24">
        <f>F5-D5</f>
        <v>126494.37152921267</v>
      </c>
      <c r="H5" s="24">
        <f>+B34</f>
        <v>-82480.89491522545</v>
      </c>
      <c r="I5" s="24">
        <f>SUM(C39:K39)</f>
        <v>-602.71000000000015</v>
      </c>
      <c r="J5" s="36">
        <f>SUM(G5:I5)</f>
        <v>43410.766613987224</v>
      </c>
      <c r="K5" s="63">
        <f>+J5-L34</f>
        <v>0</v>
      </c>
      <c r="M5" s="63"/>
    </row>
    <row r="6" spans="1:34" ht="16.5" thickTop="1" thickBot="1" x14ac:dyDescent="0.3">
      <c r="D6" s="40">
        <f t="shared" ref="D6" si="0">SUM(D4:D5)</f>
        <v>-109407.71366921268</v>
      </c>
      <c r="E6" s="162">
        <f t="shared" ref="E6:H6" si="1">SUM(E4:E5)</f>
        <v>0</v>
      </c>
      <c r="F6" s="40">
        <f t="shared" si="1"/>
        <v>0</v>
      </c>
      <c r="G6" s="40">
        <f t="shared" si="1"/>
        <v>109407.71366921268</v>
      </c>
      <c r="H6" s="40">
        <f t="shared" si="1"/>
        <v>-60301.772118645204</v>
      </c>
      <c r="I6" s="40">
        <f>SUM(I4:I5)</f>
        <v>-329.36000000000013</v>
      </c>
      <c r="J6" s="40">
        <f>SUM(J4:J5)</f>
        <v>48776.581550567469</v>
      </c>
      <c r="K6"/>
      <c r="M6" s="62"/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90.75" thickBot="1" x14ac:dyDescent="0.3">
      <c r="B10" s="141" t="str">
        <f>+'PCR Cycle 1'!B8</f>
        <v>Cumulative Over/Under Carryover From 12/01/2017 Filing</v>
      </c>
      <c r="C10" s="179" t="str">
        <f>+'PCR Cycle 1'!C8</f>
        <v>Reverse Nov-17 - January-18  Forecast From 12/01/2017 Filing</v>
      </c>
      <c r="D10" s="234" t="s">
        <v>39</v>
      </c>
      <c r="E10" s="234"/>
      <c r="F10" s="235"/>
      <c r="G10" s="240" t="s">
        <v>39</v>
      </c>
      <c r="H10" s="241"/>
      <c r="I10" s="242"/>
      <c r="J10" s="236" t="s">
        <v>9</v>
      </c>
      <c r="K10" s="237"/>
      <c r="L10" s="238"/>
    </row>
    <row r="11" spans="1:34" x14ac:dyDescent="0.25">
      <c r="A11" t="s">
        <v>43</v>
      </c>
      <c r="C11" s="128"/>
      <c r="D11" s="20">
        <f>+'PCR Cycle 1'!D9</f>
        <v>43069</v>
      </c>
      <c r="E11" s="20">
        <f t="shared" ref="E11:L11" si="2">EOMONTH(D11,1)</f>
        <v>43100</v>
      </c>
      <c r="F11" s="20">
        <f t="shared" si="2"/>
        <v>43131</v>
      </c>
      <c r="G11" s="14">
        <f t="shared" si="2"/>
        <v>43159</v>
      </c>
      <c r="H11" s="20">
        <f t="shared" si="2"/>
        <v>43190</v>
      </c>
      <c r="I11" s="15">
        <f t="shared" si="2"/>
        <v>43220</v>
      </c>
      <c r="J11" s="20">
        <f t="shared" si="2"/>
        <v>43251</v>
      </c>
      <c r="K11" s="20">
        <f t="shared" si="2"/>
        <v>43281</v>
      </c>
      <c r="L11" s="15">
        <f t="shared" si="2"/>
        <v>43312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t="s">
        <v>6</v>
      </c>
      <c r="C12" s="120">
        <v>0</v>
      </c>
      <c r="D12" s="132">
        <f>SUM(D23:D24)</f>
        <v>0</v>
      </c>
      <c r="E12" s="132">
        <f t="shared" ref="E12:H12" si="3">SUM(E23:E24)</f>
        <v>0</v>
      </c>
      <c r="F12" s="133">
        <f t="shared" si="3"/>
        <v>0</v>
      </c>
      <c r="G12" s="16">
        <f t="shared" si="3"/>
        <v>0</v>
      </c>
      <c r="H12" s="71">
        <f t="shared" si="3"/>
        <v>0</v>
      </c>
      <c r="I12" s="195">
        <f>+I23+I24</f>
        <v>0</v>
      </c>
      <c r="J12" s="188">
        <f t="shared" ref="J12:K12" si="4">+J23+J24</f>
        <v>0</v>
      </c>
      <c r="K12" s="97">
        <f t="shared" si="4"/>
        <v>0</v>
      </c>
      <c r="L12" s="98"/>
    </row>
    <row r="13" spans="1:34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4" x14ac:dyDescent="0.25">
      <c r="A14" t="s">
        <v>17</v>
      </c>
      <c r="C14" s="122"/>
      <c r="D14" s="18"/>
      <c r="E14" s="18"/>
      <c r="F14" s="18"/>
      <c r="G14" s="114"/>
      <c r="H14" s="18"/>
      <c r="I14" s="196"/>
      <c r="J14" s="44"/>
      <c r="K14" s="44"/>
      <c r="L14" s="42"/>
      <c r="M14" s="3" t="s">
        <v>93</v>
      </c>
      <c r="N14" s="53"/>
    </row>
    <row r="15" spans="1:34" x14ac:dyDescent="0.25">
      <c r="A15" t="s">
        <v>29</v>
      </c>
      <c r="C15" s="120">
        <v>26671.120800000001</v>
      </c>
      <c r="D15" s="159">
        <f>ROUND('[3]KCPL-MO Revenue Analysis'!M160,2)</f>
        <v>-6263.6</v>
      </c>
      <c r="E15" s="159">
        <f>ROUND('[3]KCPL-MO Revenue Analysis'!N160,2)</f>
        <v>-8065.78</v>
      </c>
      <c r="F15" s="159">
        <f>ROUND('[4]KCPL-MO Revenue Analysis'!C206,2)</f>
        <v>-11185.93</v>
      </c>
      <c r="G15" s="16">
        <f>ROUND('[4]KCPL-MO Revenue Analysis'!D206,2)</f>
        <v>-3875.4</v>
      </c>
      <c r="H15" s="144">
        <f>ROUND('[4]KCPL-MO Revenue Analysis'!E206,2)</f>
        <v>4031.37</v>
      </c>
      <c r="I15" s="197">
        <f>ROUND('[4]KCPL-MO Revenue Analysis'!F206,2)</f>
        <v>3573.03</v>
      </c>
      <c r="J15" s="146">
        <f>'PCR Cycle 1'!J21*'TDR Cycle 1'!$M15</f>
        <v>2952.9885000000004</v>
      </c>
      <c r="K15" s="55">
        <f>'PCR Cycle 1'!K21*'TDR Cycle 1'!$M15</f>
        <v>3749.7221000000004</v>
      </c>
      <c r="L15" s="77">
        <f>'PCR Cycle 1'!L21*'TDR Cycle 1'!$M15</f>
        <v>5499.1364600000006</v>
      </c>
      <c r="M15" s="88">
        <v>2.0000000000000002E-5</v>
      </c>
      <c r="N15" s="4"/>
    </row>
    <row r="16" spans="1:34" x14ac:dyDescent="0.25">
      <c r="A16" t="s">
        <v>30</v>
      </c>
      <c r="C16" s="120">
        <v>142700.03831078735</v>
      </c>
      <c r="D16" s="159">
        <f>ROUND('[3]KCPL-MO Revenue Analysis'!M161,2)</f>
        <v>-42441.61</v>
      </c>
      <c r="E16" s="159">
        <f>ROUND('[3]KCPL-MO Revenue Analysis'!N161,2)</f>
        <v>-45586.48</v>
      </c>
      <c r="F16" s="159">
        <f>ROUND('[4]KCPL-MO Revenue Analysis'!C207,2)</f>
        <v>-51052.12</v>
      </c>
      <c r="G16" s="16">
        <f>ROUND('[4]KCPL-MO Revenue Analysis'!D207,2)</f>
        <v>-33314.410000000003</v>
      </c>
      <c r="H16" s="144">
        <f>ROUND('[4]KCPL-MO Revenue Analysis'!E207,2)</f>
        <v>-14810.58</v>
      </c>
      <c r="I16" s="197">
        <f>ROUND('[4]KCPL-MO Revenue Analysis'!F207,2)</f>
        <v>-33035.72</v>
      </c>
      <c r="J16" s="146">
        <f>'PCR Cycle 1'!J22*'TDR Cycle 1'!$M16</f>
        <v>-14745.39212</v>
      </c>
      <c r="K16" s="55">
        <f>'PCR Cycle 1'!K22*'TDR Cycle 1'!$M16</f>
        <v>-16261.105120000002</v>
      </c>
      <c r="L16" s="77">
        <f>'PCR Cycle 1'!L22*'TDR Cycle 1'!$M16</f>
        <v>-17946.992600000001</v>
      </c>
      <c r="M16" s="88">
        <v>-4.0000000000000003E-5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8"/>
      <c r="J17" s="72"/>
      <c r="K17" s="72"/>
      <c r="L17" s="13"/>
      <c r="N17" s="4"/>
    </row>
    <row r="18" spans="1:14" x14ac:dyDescent="0.25">
      <c r="A18" s="53" t="s">
        <v>36</v>
      </c>
      <c r="B18" s="53"/>
      <c r="C18" s="83"/>
      <c r="D18" s="72"/>
      <c r="E18" s="72"/>
      <c r="F18" s="72"/>
      <c r="G18" s="12"/>
      <c r="H18" s="72"/>
      <c r="I18" s="199"/>
      <c r="J18" s="72"/>
      <c r="K18" s="72"/>
      <c r="L18" s="13"/>
      <c r="M18" s="7"/>
      <c r="N18" s="62"/>
    </row>
    <row r="19" spans="1:14" x14ac:dyDescent="0.25">
      <c r="A19" s="62" t="s">
        <v>29</v>
      </c>
      <c r="C19" s="125">
        <v>0</v>
      </c>
      <c r="D19" s="134">
        <v>0</v>
      </c>
      <c r="E19" s="134">
        <v>0</v>
      </c>
      <c r="F19" s="148">
        <v>0</v>
      </c>
      <c r="G19" s="92">
        <v>0</v>
      </c>
      <c r="H19" s="93">
        <v>0</v>
      </c>
      <c r="I19" s="200">
        <v>0</v>
      </c>
      <c r="J19" s="189">
        <v>0</v>
      </c>
      <c r="K19" s="168">
        <v>0</v>
      </c>
      <c r="L19" s="99"/>
      <c r="M19" s="75">
        <f>SUM(C19:K19)</f>
        <v>0</v>
      </c>
      <c r="N19" s="62"/>
    </row>
    <row r="20" spans="1:14" x14ac:dyDescent="0.25">
      <c r="A20" t="s">
        <v>30</v>
      </c>
      <c r="C20" s="125">
        <v>0</v>
      </c>
      <c r="D20" s="134">
        <v>0</v>
      </c>
      <c r="E20" s="134">
        <v>0</v>
      </c>
      <c r="F20" s="148">
        <v>0</v>
      </c>
      <c r="G20" s="92">
        <v>0</v>
      </c>
      <c r="H20" s="93">
        <v>0</v>
      </c>
      <c r="I20" s="200">
        <v>0</v>
      </c>
      <c r="J20" s="189">
        <v>0</v>
      </c>
      <c r="K20" s="168">
        <v>0</v>
      </c>
      <c r="L20" s="99"/>
      <c r="M20" s="75">
        <f>SUM(C20:I20)</f>
        <v>0</v>
      </c>
      <c r="N20" s="62"/>
    </row>
    <row r="21" spans="1:14" s="62" customFormat="1" x14ac:dyDescent="0.25">
      <c r="C21" s="83"/>
      <c r="D21" s="84"/>
      <c r="E21" s="84"/>
      <c r="F21" s="84"/>
      <c r="G21" s="83"/>
      <c r="H21" s="84"/>
      <c r="I21" s="198"/>
      <c r="J21" s="72"/>
      <c r="K21" s="72"/>
      <c r="L21" s="13"/>
    </row>
    <row r="22" spans="1:14" x14ac:dyDescent="0.25">
      <c r="A22" s="62" t="s">
        <v>90</v>
      </c>
      <c r="C22" s="50"/>
      <c r="D22" s="51"/>
      <c r="E22" s="51"/>
      <c r="F22" s="51"/>
      <c r="G22" s="50"/>
      <c r="H22" s="51"/>
      <c r="I22" s="201"/>
      <c r="J22" s="68"/>
      <c r="K22" s="68"/>
      <c r="L22" s="52"/>
      <c r="M22" s="62"/>
      <c r="N22" s="62"/>
    </row>
    <row r="23" spans="1:14" x14ac:dyDescent="0.25">
      <c r="A23" s="62" t="s">
        <v>29</v>
      </c>
      <c r="C23" s="120">
        <v>0</v>
      </c>
      <c r="D23" s="132">
        <v>0</v>
      </c>
      <c r="E23" s="132">
        <v>0</v>
      </c>
      <c r="F23" s="133">
        <v>0</v>
      </c>
      <c r="G23" s="16">
        <v>0</v>
      </c>
      <c r="H23" s="71">
        <v>0</v>
      </c>
      <c r="I23" s="195">
        <v>0</v>
      </c>
      <c r="J23" s="190"/>
      <c r="K23" s="167"/>
      <c r="L23" s="98"/>
    </row>
    <row r="24" spans="1:14" x14ac:dyDescent="0.25">
      <c r="A24" s="62" t="s">
        <v>30</v>
      </c>
      <c r="C24" s="120">
        <v>0</v>
      </c>
      <c r="D24" s="132">
        <v>0</v>
      </c>
      <c r="E24" s="132">
        <v>0</v>
      </c>
      <c r="F24" s="133">
        <v>0</v>
      </c>
      <c r="G24" s="16">
        <v>0</v>
      </c>
      <c r="H24" s="71">
        <v>0</v>
      </c>
      <c r="I24" s="195">
        <v>0</v>
      </c>
      <c r="J24" s="190"/>
      <c r="K24" s="167"/>
      <c r="L24" s="98"/>
      <c r="N24" s="63"/>
    </row>
    <row r="25" spans="1:14" s="62" customFormat="1" x14ac:dyDescent="0.25">
      <c r="C25" s="122"/>
      <c r="D25" s="18"/>
      <c r="E25" s="18"/>
      <c r="F25" s="18"/>
      <c r="G25" s="114"/>
      <c r="H25" s="18"/>
      <c r="I25" s="196"/>
      <c r="J25" s="72"/>
      <c r="K25" s="72"/>
      <c r="L25" s="13"/>
    </row>
    <row r="26" spans="1:14" ht="15.75" thickBot="1" x14ac:dyDescent="0.3">
      <c r="A26" s="3" t="s">
        <v>18</v>
      </c>
      <c r="B26" s="3"/>
      <c r="C26" s="126">
        <v>730.42000000000007</v>
      </c>
      <c r="D26" s="159">
        <v>-432.26</v>
      </c>
      <c r="E26" s="159">
        <v>-351.47999999999996</v>
      </c>
      <c r="F26" s="160">
        <v>-225.47000000000003</v>
      </c>
      <c r="G26" s="39">
        <v>-111.07</v>
      </c>
      <c r="H26" s="145">
        <v>-58.180000000000007</v>
      </c>
      <c r="I26" s="202">
        <v>-7.4099999999999966</v>
      </c>
      <c r="J26" s="191">
        <v>46.660000000000004</v>
      </c>
      <c r="K26" s="169">
        <v>78.650000000000006</v>
      </c>
      <c r="L26" s="101"/>
    </row>
    <row r="27" spans="1:14" x14ac:dyDescent="0.25">
      <c r="C27" s="80"/>
      <c r="D27" s="174"/>
      <c r="E27" s="174"/>
      <c r="F27" s="175"/>
      <c r="G27" s="80"/>
      <c r="H27" s="47"/>
      <c r="I27" s="203"/>
      <c r="J27" s="48"/>
      <c r="K27" s="48"/>
      <c r="L27" s="76"/>
    </row>
    <row r="28" spans="1:14" x14ac:dyDescent="0.25">
      <c r="A28" t="s">
        <v>68</v>
      </c>
      <c r="C28" s="81"/>
      <c r="D28" s="175"/>
      <c r="E28" s="175"/>
      <c r="F28" s="175"/>
      <c r="G28" s="81"/>
      <c r="H28" s="49"/>
      <c r="I28" s="204"/>
      <c r="J28" s="48"/>
      <c r="K28" s="48"/>
      <c r="L28" s="76"/>
    </row>
    <row r="29" spans="1:14" x14ac:dyDescent="0.25">
      <c r="A29" s="62" t="s">
        <v>29</v>
      </c>
      <c r="C29" s="123">
        <f t="shared" ref="C29:C30" si="5">C23-C15</f>
        <v>-26671.120800000001</v>
      </c>
      <c r="D29" s="55">
        <f t="shared" ref="D29:I30" si="6">D23-D15</f>
        <v>6263.6</v>
      </c>
      <c r="E29" s="55">
        <f t="shared" si="6"/>
        <v>8065.78</v>
      </c>
      <c r="F29" s="131">
        <f t="shared" ref="F29:H29" si="7">F23-F15</f>
        <v>11185.93</v>
      </c>
      <c r="G29" s="54">
        <f t="shared" si="7"/>
        <v>3875.4</v>
      </c>
      <c r="H29" s="55">
        <f t="shared" si="7"/>
        <v>-4031.37</v>
      </c>
      <c r="I29" s="77">
        <f t="shared" si="6"/>
        <v>-3573.03</v>
      </c>
      <c r="J29" s="146">
        <f t="shared" ref="J29:K29" si="8">J23-J15</f>
        <v>-2952.9885000000004</v>
      </c>
      <c r="K29" s="55">
        <f t="shared" si="8"/>
        <v>-3749.7221000000004</v>
      </c>
      <c r="L29" s="77">
        <f t="shared" ref="L29" si="9">L23-L15</f>
        <v>-5499.1364600000006</v>
      </c>
    </row>
    <row r="30" spans="1:14" x14ac:dyDescent="0.25">
      <c r="A30" t="s">
        <v>30</v>
      </c>
      <c r="C30" s="123">
        <f t="shared" si="5"/>
        <v>-142700.03831078735</v>
      </c>
      <c r="D30" s="55">
        <f t="shared" si="6"/>
        <v>42441.61</v>
      </c>
      <c r="E30" s="55">
        <f t="shared" si="6"/>
        <v>45586.48</v>
      </c>
      <c r="F30" s="131">
        <f t="shared" ref="F30:H30" si="10">F24-F16</f>
        <v>51052.12</v>
      </c>
      <c r="G30" s="54">
        <f t="shared" si="10"/>
        <v>33314.410000000003</v>
      </c>
      <c r="H30" s="55">
        <f t="shared" si="10"/>
        <v>14810.58</v>
      </c>
      <c r="I30" s="77">
        <f t="shared" si="6"/>
        <v>33035.72</v>
      </c>
      <c r="J30" s="146">
        <f t="shared" ref="J30:K30" si="11">J24-J16</f>
        <v>14745.39212</v>
      </c>
      <c r="K30" s="55">
        <f t="shared" si="11"/>
        <v>16261.105120000002</v>
      </c>
      <c r="L30" s="77">
        <f t="shared" ref="L30" si="12">L24-L16</f>
        <v>17946.992600000001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t="s">
        <v>69</v>
      </c>
      <c r="C32" s="122"/>
      <c r="D32" s="17"/>
      <c r="E32" s="17"/>
      <c r="F32" s="17"/>
      <c r="G32" s="10"/>
      <c r="H32" s="17"/>
      <c r="I32" s="11"/>
      <c r="J32" s="17"/>
      <c r="K32" s="17"/>
      <c r="L32" s="11"/>
    </row>
    <row r="33" spans="1:35" x14ac:dyDescent="0.25">
      <c r="A33" s="62" t="s">
        <v>29</v>
      </c>
      <c r="B33" s="139">
        <v>22179.122796580246</v>
      </c>
      <c r="C33" s="123">
        <f>B33+C29+B38</f>
        <v>-4491.9980034197542</v>
      </c>
      <c r="D33" s="55">
        <f t="shared" ref="D33" si="13">C33+D29+C38</f>
        <v>1759.7319965802462</v>
      </c>
      <c r="E33" s="55">
        <f t="shared" ref="E33:I34" si="14">D33+E29+D38</f>
        <v>9822.6119965802463</v>
      </c>
      <c r="F33" s="131">
        <f t="shared" si="14"/>
        <v>21021.771996580246</v>
      </c>
      <c r="G33" s="54">
        <f t="shared" si="14"/>
        <v>24933.311996580247</v>
      </c>
      <c r="H33" s="55">
        <f t="shared" si="14"/>
        <v>20956.561996580247</v>
      </c>
      <c r="I33" s="77">
        <f t="shared" si="14"/>
        <v>17441.93199658025</v>
      </c>
      <c r="J33" s="146">
        <f t="shared" ref="J33:J34" si="15">I33+J29+I38</f>
        <v>14539.36349658025</v>
      </c>
      <c r="K33" s="55">
        <f t="shared" ref="K33:K34" si="16">J33+K29+J38</f>
        <v>10831.631396580249</v>
      </c>
      <c r="L33" s="77">
        <f t="shared" ref="L33:L34" si="17">K33+L29+K38</f>
        <v>5365.8149365802483</v>
      </c>
    </row>
    <row r="34" spans="1:35" ht="15.75" thickBot="1" x14ac:dyDescent="0.3">
      <c r="A34" t="s">
        <v>30</v>
      </c>
      <c r="B34" s="140">
        <v>-82480.89491522545</v>
      </c>
      <c r="C34" s="123">
        <f>B34+C30+B39</f>
        <v>-225180.9332260128</v>
      </c>
      <c r="D34" s="55">
        <f t="shared" ref="D34" si="18">C34+D30+C39</f>
        <v>-181996.27322601283</v>
      </c>
      <c r="E34" s="55">
        <f t="shared" si="14"/>
        <v>-136839.1532260128</v>
      </c>
      <c r="F34" s="131">
        <f t="shared" si="14"/>
        <v>-86151.723226012808</v>
      </c>
      <c r="G34" s="54">
        <f t="shared" si="14"/>
        <v>-53098.913226012803</v>
      </c>
      <c r="H34" s="55">
        <f t="shared" si="14"/>
        <v>-38454.033226012798</v>
      </c>
      <c r="I34" s="77">
        <f t="shared" si="14"/>
        <v>-5534.9032260127969</v>
      </c>
      <c r="J34" s="146">
        <f t="shared" si="15"/>
        <v>9152.6688939872038</v>
      </c>
      <c r="K34" s="55">
        <f t="shared" si="16"/>
        <v>25418.444013987202</v>
      </c>
      <c r="L34" s="77">
        <f t="shared" si="17"/>
        <v>43410.766613987202</v>
      </c>
    </row>
    <row r="35" spans="1:35" x14ac:dyDescent="0.25">
      <c r="C35" s="122"/>
      <c r="D35" s="17"/>
      <c r="E35" s="17"/>
      <c r="F35" s="17"/>
      <c r="G35" s="10"/>
      <c r="H35" s="17"/>
      <c r="I35" s="11"/>
      <c r="J35" s="17"/>
      <c r="K35" s="17"/>
      <c r="L35" s="11"/>
    </row>
    <row r="36" spans="1:35" x14ac:dyDescent="0.25">
      <c r="A36" s="53" t="s">
        <v>65</v>
      </c>
      <c r="B36" s="53"/>
      <c r="C36" s="127"/>
      <c r="D36" s="102">
        <f>+'PCR Cycle 1'!D38</f>
        <v>2.1128200000000001E-3</v>
      </c>
      <c r="E36" s="102">
        <f>+'PCR Cycle 1'!E38</f>
        <v>2.28459E-3</v>
      </c>
      <c r="F36" s="102">
        <f>+'PCR Cycle 1'!F38</f>
        <v>2.3424800000000001E-3</v>
      </c>
      <c r="G36" s="103">
        <f>+'PCR Cycle 1'!G38</f>
        <v>2.37535E-3</v>
      </c>
      <c r="H36" s="102">
        <f>+'PCR Cycle 1'!H38</f>
        <v>2.5423099999999999E-3</v>
      </c>
      <c r="I36" s="115">
        <f>+'PCR Cycle 1'!I38</f>
        <v>2.6220499999999999E-3</v>
      </c>
      <c r="J36" s="102">
        <f>+'PCR Cycle 1'!J38</f>
        <v>2.6220499999999999E-3</v>
      </c>
      <c r="K36" s="102">
        <f>+'PCR Cycle 1'!K38</f>
        <v>2.6220499999999999E-3</v>
      </c>
      <c r="L36" s="104"/>
    </row>
    <row r="37" spans="1:35" s="62" customFormat="1" x14ac:dyDescent="0.25">
      <c r="A37" s="53" t="s">
        <v>44</v>
      </c>
      <c r="B37" s="53"/>
      <c r="C37" s="129"/>
      <c r="D37" s="102"/>
      <c r="E37" s="102"/>
      <c r="F37" s="102"/>
      <c r="G37" s="103"/>
      <c r="H37" s="102"/>
      <c r="I37" s="104"/>
      <c r="J37" s="102"/>
      <c r="K37" s="102"/>
      <c r="L37" s="104"/>
    </row>
    <row r="38" spans="1:35" x14ac:dyDescent="0.25">
      <c r="A38" s="62" t="s">
        <v>29</v>
      </c>
      <c r="C38" s="123">
        <v>-11.87</v>
      </c>
      <c r="D38" s="55">
        <f t="shared" ref="D38" si="19">ROUND((C33+C38+D29/2)*D$36,2)</f>
        <v>-2.9</v>
      </c>
      <c r="E38" s="55">
        <f t="shared" ref="E38:I39" si="20">ROUND((D33+D38+E29/2)*E$36,2)</f>
        <v>13.23</v>
      </c>
      <c r="F38" s="131">
        <f t="shared" si="20"/>
        <v>36.14</v>
      </c>
      <c r="G38" s="54">
        <f t="shared" si="20"/>
        <v>54.62</v>
      </c>
      <c r="H38" s="146">
        <f t="shared" si="20"/>
        <v>58.4</v>
      </c>
      <c r="I38" s="65">
        <f t="shared" si="20"/>
        <v>50.42</v>
      </c>
      <c r="J38" s="192">
        <f t="shared" ref="J38:J39" si="21">ROUND((I33+I38+J29/2)*J$36,2)</f>
        <v>41.99</v>
      </c>
      <c r="K38" s="131">
        <f t="shared" ref="K38:K39" si="22">ROUND((J33+J38+K29/2)*K$36,2)</f>
        <v>33.32</v>
      </c>
      <c r="L38" s="77">
        <f t="shared" ref="L38:L39" si="23">ROUND((K33+K38+L29/2)*L$36,2)</f>
        <v>0</v>
      </c>
    </row>
    <row r="39" spans="1:35" ht="15.75" thickBot="1" x14ac:dyDescent="0.3">
      <c r="A39" t="s">
        <v>30</v>
      </c>
      <c r="C39" s="123">
        <v>743.05</v>
      </c>
      <c r="D39" s="55">
        <f t="shared" ref="D39" si="24">ROUND((C34+C39+D30/2)*D$36,2)</f>
        <v>-429.36</v>
      </c>
      <c r="E39" s="55">
        <f t="shared" si="20"/>
        <v>-364.69</v>
      </c>
      <c r="F39" s="131">
        <f t="shared" si="20"/>
        <v>-261.60000000000002</v>
      </c>
      <c r="G39" s="54">
        <f t="shared" si="20"/>
        <v>-165.7</v>
      </c>
      <c r="H39" s="146">
        <f t="shared" si="20"/>
        <v>-116.59</v>
      </c>
      <c r="I39" s="65">
        <f t="shared" si="20"/>
        <v>-57.82</v>
      </c>
      <c r="J39" s="192">
        <f t="shared" si="21"/>
        <v>4.67</v>
      </c>
      <c r="K39" s="131">
        <f t="shared" si="22"/>
        <v>45.33</v>
      </c>
      <c r="L39" s="77">
        <f t="shared" si="23"/>
        <v>0</v>
      </c>
    </row>
    <row r="40" spans="1:35" ht="16.5" thickTop="1" thickBot="1" x14ac:dyDescent="0.3">
      <c r="A40" s="70" t="s">
        <v>25</v>
      </c>
      <c r="B40" s="70"/>
      <c r="C40" s="130">
        <v>0</v>
      </c>
      <c r="D40" s="56">
        <f t="shared" ref="D40:I40" si="25">SUM(D38:D39)+SUM(D33:D34)-D43</f>
        <v>1.7462298274040222E-9</v>
      </c>
      <c r="E40" s="56">
        <f t="shared" si="25"/>
        <v>1.7607817426323891E-9</v>
      </c>
      <c r="F40" s="66">
        <f t="shared" ref="F40:H40" si="26">SUM(F38:F39)+SUM(F33:F34)-F43</f>
        <v>1.7535057850182056E-9</v>
      </c>
      <c r="G40" s="172">
        <f t="shared" si="26"/>
        <v>1.7535057850182056E-9</v>
      </c>
      <c r="H40" s="66">
        <f t="shared" si="26"/>
        <v>1.7644197214394808E-9</v>
      </c>
      <c r="I40" s="78">
        <f t="shared" si="25"/>
        <v>1.7662387108430266E-9</v>
      </c>
      <c r="J40" s="193">
        <f t="shared" ref="J40:L40" si="27">SUM(J38:J39)+SUM(J33:J34)-J43</f>
        <v>1.7644197214394808E-9</v>
      </c>
      <c r="K40" s="66">
        <f t="shared" si="27"/>
        <v>1.7607817426323891E-9</v>
      </c>
      <c r="L40" s="78">
        <f t="shared" si="27"/>
        <v>1.7535057850182056E-9</v>
      </c>
    </row>
    <row r="41" spans="1:35" s="62" customFormat="1" ht="16.5" thickTop="1" thickBot="1" x14ac:dyDescent="0.3">
      <c r="A41" s="70" t="s">
        <v>26</v>
      </c>
      <c r="B41" s="70"/>
      <c r="C41" s="130">
        <v>0</v>
      </c>
      <c r="D41" s="56">
        <f t="shared" ref="D41:I41" si="28">SUM(D38:D39)-D26</f>
        <v>0</v>
      </c>
      <c r="E41" s="56">
        <f t="shared" si="28"/>
        <v>1.999999999998181E-2</v>
      </c>
      <c r="F41" s="66">
        <f t="shared" ref="F41:H41" si="29">SUM(F38:F39)-F26</f>
        <v>9.9999999999909051E-3</v>
      </c>
      <c r="G41" s="172">
        <f t="shared" si="29"/>
        <v>-9.9999999999909051E-3</v>
      </c>
      <c r="H41" s="66">
        <f t="shared" si="29"/>
        <v>-9.9999999999980105E-3</v>
      </c>
      <c r="I41" s="78">
        <f t="shared" si="28"/>
        <v>9.9999999999980105E-3</v>
      </c>
      <c r="J41" s="194">
        <f t="shared" ref="J41:L41" si="30">SUM(J38:J39)-J26</f>
        <v>0</v>
      </c>
      <c r="K41" s="56">
        <f t="shared" si="30"/>
        <v>0</v>
      </c>
      <c r="L41" s="56">
        <f t="shared" si="30"/>
        <v>0</v>
      </c>
    </row>
    <row r="42" spans="1:35" ht="16.5" thickTop="1" thickBot="1" x14ac:dyDescent="0.3">
      <c r="C42" s="122"/>
      <c r="D42" s="17"/>
      <c r="E42" s="17"/>
      <c r="F42" s="17"/>
      <c r="G42" s="10"/>
      <c r="H42" s="17"/>
      <c r="I42" s="11"/>
      <c r="J42" s="17"/>
      <c r="K42" s="17"/>
      <c r="L42" s="11"/>
    </row>
    <row r="43" spans="1:35" ht="15.75" thickBot="1" x14ac:dyDescent="0.3">
      <c r="A43" t="s">
        <v>42</v>
      </c>
      <c r="B43" s="142">
        <v>-60301.772118646943</v>
      </c>
      <c r="C43" s="123">
        <f>(C12-SUM(C15:C16))+SUM(C38:C39)+B43</f>
        <v>-228941.7512294343</v>
      </c>
      <c r="D43" s="55">
        <f t="shared" ref="D43:I43" si="31">(D12-SUM(D15:D16))+SUM(D38:D39)+C43</f>
        <v>-180668.80122943432</v>
      </c>
      <c r="E43" s="55">
        <f t="shared" si="31"/>
        <v>-127368.00122943432</v>
      </c>
      <c r="F43" s="131">
        <f t="shared" si="31"/>
        <v>-65355.411229434314</v>
      </c>
      <c r="G43" s="54">
        <f t="shared" si="31"/>
        <v>-28276.681229434311</v>
      </c>
      <c r="H43" s="55">
        <f t="shared" si="31"/>
        <v>-17555.661229434314</v>
      </c>
      <c r="I43" s="77">
        <f t="shared" si="31"/>
        <v>11899.628770565687</v>
      </c>
      <c r="J43" s="192">
        <f t="shared" ref="J43" si="32">(J12-SUM(J15:J16))+SUM(J38:J39)+I43</f>
        <v>23738.692390565688</v>
      </c>
      <c r="K43" s="131">
        <f t="shared" ref="K43" si="33">(K12-SUM(K15:K16))+SUM(K38:K39)+J43</f>
        <v>36328.72541056569</v>
      </c>
      <c r="L43" s="77">
        <f t="shared" ref="L43" si="34">(L12-SUM(L15:L16))+SUM(L38:L39)+K43</f>
        <v>48776.581550565694</v>
      </c>
    </row>
    <row r="44" spans="1:35" x14ac:dyDescent="0.25">
      <c r="A44" t="s">
        <v>14</v>
      </c>
      <c r="C44" s="143"/>
      <c r="D44" s="17"/>
      <c r="E44" s="17"/>
      <c r="F44" s="17"/>
      <c r="G44" s="10"/>
      <c r="H44" s="17"/>
      <c r="I44" s="11"/>
      <c r="J44" s="17"/>
      <c r="K44" s="17"/>
      <c r="L44" s="11"/>
    </row>
    <row r="45" spans="1:35" ht="15.75" thickBot="1" x14ac:dyDescent="0.3">
      <c r="A45" s="51"/>
      <c r="B45" s="51"/>
      <c r="C45" s="173"/>
      <c r="D45" s="58"/>
      <c r="E45" s="58"/>
      <c r="F45" s="58"/>
      <c r="G45" s="57"/>
      <c r="H45" s="58"/>
      <c r="I45" s="59"/>
      <c r="J45" s="58"/>
      <c r="K45" s="58"/>
      <c r="L45" s="59"/>
    </row>
    <row r="46" spans="1:35" x14ac:dyDescent="0.25">
      <c r="A46" s="62"/>
      <c r="D46" s="62"/>
      <c r="E46" s="62"/>
      <c r="I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</row>
    <row r="47" spans="1:35" x14ac:dyDescent="0.25">
      <c r="A47" s="85" t="s">
        <v>13</v>
      </c>
      <c r="B47" s="85"/>
      <c r="C47" s="85"/>
      <c r="D47" s="62"/>
      <c r="E47" s="62"/>
      <c r="I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</row>
    <row r="48" spans="1:35" ht="31.5" customHeight="1" x14ac:dyDescent="0.25">
      <c r="A48" s="233" t="s">
        <v>118</v>
      </c>
      <c r="B48" s="233"/>
      <c r="C48" s="233"/>
      <c r="D48" s="233"/>
      <c r="E48" s="233"/>
      <c r="F48" s="233"/>
      <c r="G48" s="233"/>
      <c r="H48" s="233"/>
      <c r="I48" s="233"/>
      <c r="J48" s="163"/>
      <c r="K48" s="163"/>
      <c r="L48" s="113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</row>
    <row r="49" spans="1:35" s="62" customFormat="1" ht="44.25" customHeight="1" x14ac:dyDescent="0.25">
      <c r="A49" s="233" t="s">
        <v>133</v>
      </c>
      <c r="B49" s="233"/>
      <c r="C49" s="233"/>
      <c r="D49" s="233"/>
      <c r="E49" s="233"/>
      <c r="F49" s="233"/>
      <c r="G49" s="233"/>
      <c r="H49" s="233"/>
      <c r="I49" s="233"/>
      <c r="J49" s="177"/>
      <c r="K49" s="177"/>
    </row>
    <row r="50" spans="1:35" ht="18.75" customHeight="1" x14ac:dyDescent="0.25">
      <c r="A50" s="239" t="s">
        <v>119</v>
      </c>
      <c r="B50" s="239"/>
      <c r="C50" s="239"/>
      <c r="D50" s="239"/>
      <c r="E50" s="239"/>
      <c r="F50" s="239"/>
      <c r="G50" s="239"/>
      <c r="H50" s="239"/>
      <c r="I50" s="239"/>
      <c r="J50" s="163"/>
      <c r="K50" s="163"/>
      <c r="L50" s="113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</row>
    <row r="51" spans="1:35" x14ac:dyDescent="0.25">
      <c r="A51" s="3" t="s">
        <v>91</v>
      </c>
      <c r="B51" s="3"/>
      <c r="C51" s="3"/>
    </row>
    <row r="52" spans="1:35" x14ac:dyDescent="0.25">
      <c r="A52" s="79" t="s">
        <v>129</v>
      </c>
      <c r="B52" s="3"/>
      <c r="C52" s="3"/>
    </row>
    <row r="53" spans="1:35" x14ac:dyDescent="0.25">
      <c r="A53" s="3" t="s">
        <v>92</v>
      </c>
      <c r="B53" s="3"/>
      <c r="C53" s="3"/>
    </row>
    <row r="54" spans="1:35" x14ac:dyDescent="0.25">
      <c r="A54" s="3"/>
      <c r="B54" s="3"/>
      <c r="C54" s="3"/>
    </row>
  </sheetData>
  <mergeCells count="6">
    <mergeCell ref="J10:L10"/>
    <mergeCell ref="A48:I48"/>
    <mergeCell ref="A50:I50"/>
    <mergeCell ref="D10:F10"/>
    <mergeCell ref="G10:I10"/>
    <mergeCell ref="A49:I49"/>
  </mergeCells>
  <pageMargins left="0.2" right="0.2" top="0.75" bottom="0.25" header="0.3" footer="0.3"/>
  <pageSetup scale="58" orientation="landscape" r:id="rId1"/>
  <headerFooter>
    <oddHeader>&amp;C&amp;F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zoomScaleNormal="100" workbookViewId="0">
      <pane xSplit="1" ySplit="2" topLeftCell="B15" activePane="bottomRight" state="frozen"/>
      <selection activeCell="H1" sqref="H1"/>
      <selection pane="topRight" activeCell="H1" sqref="H1"/>
      <selection pane="bottomLeft" activeCell="H1" sqref="H1"/>
      <selection pane="bottomRight" activeCell="H1" sqref="H1"/>
    </sheetView>
  </sheetViews>
  <sheetFormatPr defaultRowHeight="15" x14ac:dyDescent="0.25"/>
  <cols>
    <col min="1" max="1" width="61.7109375" style="62" customWidth="1"/>
    <col min="2" max="2" width="12.140625" style="62" customWidth="1"/>
    <col min="3" max="3" width="12.42578125" style="62" customWidth="1"/>
    <col min="4" max="4" width="15.42578125" style="62" customWidth="1"/>
    <col min="5" max="5" width="15.85546875" style="62" customWidth="1"/>
    <col min="6" max="6" width="12.28515625" style="62" customWidth="1"/>
    <col min="7" max="8" width="13.28515625" style="62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5.28515625" style="62" bestFit="1" customWidth="1"/>
    <col min="16" max="16" width="17.42578125" style="62" bestFit="1" customWidth="1"/>
    <col min="17" max="17" width="16.28515625" style="62" bestFit="1" customWidth="1"/>
    <col min="18" max="18" width="15.28515625" style="62" bestFit="1" customWidth="1"/>
    <col min="19" max="19" width="12.42578125" style="62" customWidth="1"/>
    <col min="20" max="21" width="14.28515625" style="62" bestFit="1" customWidth="1"/>
    <col min="22" max="16384" width="9.140625" style="62"/>
  </cols>
  <sheetData>
    <row r="1" spans="1:34" x14ac:dyDescent="0.25">
      <c r="A1" s="3" t="str">
        <f>+PPC!A1</f>
        <v>Kansas City Power &amp; Light Company - DSIM Rider Update Filed 06/01/2018</v>
      </c>
      <c r="B1" s="3"/>
      <c r="C1" s="3"/>
    </row>
    <row r="2" spans="1:34" x14ac:dyDescent="0.25">
      <c r="D2" s="3" t="s">
        <v>82</v>
      </c>
    </row>
    <row r="3" spans="1:34" ht="30" x14ac:dyDescent="0.25">
      <c r="D3" s="64" t="s">
        <v>62</v>
      </c>
      <c r="E3" s="86" t="s">
        <v>96</v>
      </c>
      <c r="F3" s="86" t="s">
        <v>70</v>
      </c>
      <c r="G3" s="64" t="s">
        <v>3</v>
      </c>
      <c r="H3" s="86" t="s">
        <v>71</v>
      </c>
      <c r="I3" s="64" t="s">
        <v>11</v>
      </c>
      <c r="J3" s="64" t="s">
        <v>10</v>
      </c>
      <c r="R3" s="64"/>
    </row>
    <row r="4" spans="1:34" x14ac:dyDescent="0.25">
      <c r="A4" s="22" t="s">
        <v>29</v>
      </c>
      <c r="B4" s="22"/>
      <c r="C4" s="22"/>
      <c r="D4" s="24">
        <f>SUM(C15:L15)</f>
        <v>2046767.1580800004</v>
      </c>
      <c r="E4" s="161">
        <f>M19</f>
        <v>25076844.977227468</v>
      </c>
      <c r="F4" s="24">
        <f>SUM(C23:K23)</f>
        <v>1743337.7000000002</v>
      </c>
      <c r="G4" s="24">
        <f>F4-D4</f>
        <v>-303429.45808000024</v>
      </c>
      <c r="H4" s="24">
        <f>+B33</f>
        <v>527528.91680000012</v>
      </c>
      <c r="I4" s="24">
        <f>SUM(C38:K38)</f>
        <v>9921.06</v>
      </c>
      <c r="J4" s="36">
        <f>SUM(G4:I4)</f>
        <v>234020.51871999988</v>
      </c>
      <c r="K4" s="63">
        <f>+J4-L33</f>
        <v>0</v>
      </c>
    </row>
    <row r="5" spans="1:34" ht="15.75" thickBot="1" x14ac:dyDescent="0.3">
      <c r="A5" s="22" t="s">
        <v>30</v>
      </c>
      <c r="B5" s="22"/>
      <c r="C5" s="22"/>
      <c r="D5" s="24">
        <f>SUM(C16:L16)</f>
        <v>3434617.2717837598</v>
      </c>
      <c r="E5" s="161">
        <f>M20</f>
        <v>50361339.257524349</v>
      </c>
      <c r="F5" s="24">
        <f>SUM(C24:K24)</f>
        <v>2273572.04</v>
      </c>
      <c r="G5" s="24">
        <f>F5-D5</f>
        <v>-1161045.2317837598</v>
      </c>
      <c r="H5" s="24">
        <f>+B34</f>
        <v>1327059.5880237597</v>
      </c>
      <c r="I5" s="24">
        <f>SUM(C39:K39)</f>
        <v>20065.939999999999</v>
      </c>
      <c r="J5" s="36">
        <f>SUM(G5:I5)</f>
        <v>186080.29623999988</v>
      </c>
      <c r="K5" s="63">
        <f>+J5-L34</f>
        <v>0</v>
      </c>
    </row>
    <row r="6" spans="1:34" ht="16.5" thickTop="1" thickBot="1" x14ac:dyDescent="0.3">
      <c r="D6" s="40">
        <f t="shared" ref="D6" si="0">SUM(D4:D5)</f>
        <v>5481384.4298637602</v>
      </c>
      <c r="E6" s="162">
        <f t="shared" ref="E6:H6" si="1">SUM(E4:E5)</f>
        <v>75438184.234751821</v>
      </c>
      <c r="F6" s="40">
        <f t="shared" si="1"/>
        <v>4016909.74</v>
      </c>
      <c r="G6" s="40">
        <f t="shared" si="1"/>
        <v>-1464474.68986376</v>
      </c>
      <c r="H6" s="40">
        <f t="shared" si="1"/>
        <v>1854588.5048237597</v>
      </c>
      <c r="I6" s="40">
        <f>SUM(I4:I5)</f>
        <v>29987</v>
      </c>
      <c r="J6" s="40">
        <f>SUM(J4:J5)</f>
        <v>420100.81495999976</v>
      </c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90.75" thickBot="1" x14ac:dyDescent="0.3">
      <c r="B10" s="141" t="str">
        <f>+'PCR Cycle 1'!B8</f>
        <v>Cumulative Over/Under Carryover From 12/01/2017 Filing</v>
      </c>
      <c r="C10" s="179" t="str">
        <f>+'PCR Cycle 1'!C8</f>
        <v>Reverse Nov-17 - January-18  Forecast From 12/01/2017 Filing</v>
      </c>
      <c r="D10" s="234" t="s">
        <v>39</v>
      </c>
      <c r="E10" s="234"/>
      <c r="F10" s="235"/>
      <c r="G10" s="240" t="s">
        <v>39</v>
      </c>
      <c r="H10" s="241"/>
      <c r="I10" s="242"/>
      <c r="J10" s="236" t="s">
        <v>9</v>
      </c>
      <c r="K10" s="237"/>
      <c r="L10" s="238"/>
    </row>
    <row r="11" spans="1:34" x14ac:dyDescent="0.25">
      <c r="A11" s="62" t="s">
        <v>84</v>
      </c>
      <c r="C11" s="128"/>
      <c r="D11" s="20">
        <f>+'PCR Cycle 1'!D9</f>
        <v>43069</v>
      </c>
      <c r="E11" s="20">
        <f t="shared" ref="E11:L11" si="2">EOMONTH(D11,1)</f>
        <v>43100</v>
      </c>
      <c r="F11" s="20">
        <f t="shared" si="2"/>
        <v>43131</v>
      </c>
      <c r="G11" s="14">
        <f t="shared" si="2"/>
        <v>43159</v>
      </c>
      <c r="H11" s="20">
        <f t="shared" si="2"/>
        <v>43190</v>
      </c>
      <c r="I11" s="15">
        <f t="shared" si="2"/>
        <v>43220</v>
      </c>
      <c r="J11" s="20">
        <f t="shared" si="2"/>
        <v>43251</v>
      </c>
      <c r="K11" s="20">
        <f t="shared" si="2"/>
        <v>43281</v>
      </c>
      <c r="L11" s="15">
        <f t="shared" si="2"/>
        <v>43312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62" t="s">
        <v>6</v>
      </c>
      <c r="C12" s="120">
        <v>-962998.30999999994</v>
      </c>
      <c r="D12" s="132">
        <f t="shared" ref="D12:H12" si="3">+D23+D24</f>
        <v>498084.81</v>
      </c>
      <c r="E12" s="132">
        <f t="shared" si="3"/>
        <v>489616.92</v>
      </c>
      <c r="F12" s="133">
        <f t="shared" si="3"/>
        <v>514653.7</v>
      </c>
      <c r="G12" s="16">
        <f t="shared" si="3"/>
        <v>498558.37</v>
      </c>
      <c r="H12" s="71">
        <f t="shared" si="3"/>
        <v>560180.81000000006</v>
      </c>
      <c r="I12" s="195">
        <f t="shared" ref="I12:K12" si="4">+I23+I24</f>
        <v>620001.24</v>
      </c>
      <c r="J12" s="188">
        <f t="shared" si="4"/>
        <v>696847.01</v>
      </c>
      <c r="K12" s="97">
        <f t="shared" si="4"/>
        <v>1101965.19</v>
      </c>
      <c r="L12" s="98"/>
    </row>
    <row r="13" spans="1:34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4" x14ac:dyDescent="0.25">
      <c r="A14" s="62" t="s">
        <v>83</v>
      </c>
      <c r="C14" s="122"/>
      <c r="D14" s="18"/>
      <c r="E14" s="18"/>
      <c r="F14" s="18"/>
      <c r="G14" s="114"/>
      <c r="H14" s="18"/>
      <c r="I14" s="196"/>
      <c r="J14" s="44"/>
      <c r="K14" s="44"/>
      <c r="L14" s="42"/>
      <c r="M14" s="3" t="s">
        <v>93</v>
      </c>
      <c r="N14" s="53"/>
    </row>
    <row r="15" spans="1:34" x14ac:dyDescent="0.25">
      <c r="A15" s="62" t="s">
        <v>29</v>
      </c>
      <c r="C15" s="120">
        <v>-773462.50319999992</v>
      </c>
      <c r="D15" s="159">
        <f>ROUND('[3]KCPL-MO Revenue Analysis'!M185,2)</f>
        <v>181938.04</v>
      </c>
      <c r="E15" s="159">
        <f>ROUND('[3]KCPL-MO Revenue Analysis'!N185,2)</f>
        <v>234112.51</v>
      </c>
      <c r="F15" s="159">
        <f>ROUND('[4]KCPL-MO Revenue Analysis'!C231,2)</f>
        <v>325216.94</v>
      </c>
      <c r="G15" s="16">
        <f>ROUND('[4]KCPL-MO Revenue Analysis'!D231,2)</f>
        <v>334148.76</v>
      </c>
      <c r="H15" s="144">
        <f>ROUND('[4]KCPL-MO Revenue Analysis'!E231,2)</f>
        <v>354864.57</v>
      </c>
      <c r="I15" s="200">
        <f>ROUND('[4]KCPL-MO Revenue Analysis'!F231,2)</f>
        <v>316186.3</v>
      </c>
      <c r="J15" s="146">
        <f>'PCR Cycle 1'!J21*'TDR Cycle 2'!$M15</f>
        <v>259862.98800000001</v>
      </c>
      <c r="K15" s="55">
        <f>'PCR Cycle 1'!K21*'TDR Cycle 2'!$M15</f>
        <v>329975.54480000003</v>
      </c>
      <c r="L15" s="77">
        <f>'PCR Cycle 1'!L21*'TDR Cycle 2'!$M15</f>
        <v>483924.00848000002</v>
      </c>
      <c r="M15" s="88">
        <v>1.7600000000000001E-3</v>
      </c>
      <c r="N15" s="4"/>
    </row>
    <row r="16" spans="1:34" x14ac:dyDescent="0.25">
      <c r="A16" s="62" t="s">
        <v>30</v>
      </c>
      <c r="C16" s="120">
        <v>-677825.1819762399</v>
      </c>
      <c r="D16" s="159">
        <f>ROUND('[3]KCPL-MO Revenue Analysis'!M186,2)</f>
        <v>201977.45</v>
      </c>
      <c r="E16" s="159">
        <f>ROUND('[3]KCPL-MO Revenue Analysis'!N186,2)</f>
        <v>217206.09</v>
      </c>
      <c r="F16" s="159">
        <f>ROUND('[4]KCPL-MO Revenue Analysis'!C232,2)</f>
        <v>239361.84</v>
      </c>
      <c r="G16" s="16">
        <f>ROUND('[4]KCPL-MO Revenue Analysis'!D232,2)</f>
        <v>383893.79</v>
      </c>
      <c r="H16" s="144">
        <f>ROUND('[4]KCPL-MO Revenue Analysis'!E232,2)</f>
        <v>559737.77</v>
      </c>
      <c r="I16" s="200">
        <f>ROUND('[4]KCPL-MO Revenue Analysis'!F232,2)</f>
        <v>601079.41</v>
      </c>
      <c r="J16" s="146">
        <f>'PCR Cycle 1'!J22*'TDR Cycle 2'!$M16</f>
        <v>575070.29267999995</v>
      </c>
      <c r="K16" s="55">
        <f>'PCR Cycle 1'!K22*'TDR Cycle 2'!$M16</f>
        <v>634183.09967999998</v>
      </c>
      <c r="L16" s="77">
        <f>'PCR Cycle 1'!L22*'TDR Cycle 2'!$M16</f>
        <v>699932.71140000003</v>
      </c>
      <c r="M16" s="88">
        <v>1.56E-3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8"/>
      <c r="J17" s="72"/>
      <c r="K17" s="72"/>
      <c r="L17" s="13"/>
      <c r="N17" s="4"/>
    </row>
    <row r="18" spans="1:14" x14ac:dyDescent="0.25">
      <c r="A18" s="53" t="s">
        <v>89</v>
      </c>
      <c r="B18" s="53"/>
      <c r="C18" s="83"/>
      <c r="D18" s="72"/>
      <c r="E18" s="72"/>
      <c r="F18" s="72"/>
      <c r="G18" s="12"/>
      <c r="H18" s="72"/>
      <c r="I18" s="199"/>
      <c r="J18" s="72"/>
      <c r="K18" s="72"/>
      <c r="L18" s="13"/>
      <c r="M18" s="7"/>
    </row>
    <row r="19" spans="1:14" x14ac:dyDescent="0.25">
      <c r="A19" s="62" t="s">
        <v>29</v>
      </c>
      <c r="C19" s="125">
        <v>-5926342.3305895943</v>
      </c>
      <c r="D19" s="134">
        <f>+'[7]Monthly TD Calc'!V285</f>
        <v>2997924.2807435985</v>
      </c>
      <c r="E19" s="134">
        <f>+'[7]Monthly TD Calc'!W285</f>
        <v>3362968.3626524503</v>
      </c>
      <c r="F19" s="148">
        <f>+'[7]Monthly TD Calc'!X285</f>
        <v>3910487.5739592416</v>
      </c>
      <c r="G19" s="92">
        <f>+'[7]Monthly TD Calc'!Y285</f>
        <v>3622099.822090907</v>
      </c>
      <c r="H19" s="93">
        <f>+'[7]Monthly TD Calc'!Z285</f>
        <v>3662765.9315365604</v>
      </c>
      <c r="I19" s="200">
        <f>+'[7]Monthly TD Calc'!AA285</f>
        <v>3733932.0094775534</v>
      </c>
      <c r="J19" s="189">
        <f>+'[2]KCPL Monthly TD Calc'!AB372</f>
        <v>4282784.38881562</v>
      </c>
      <c r="K19" s="168">
        <f>+'[2]KCPL Monthly TD Calc'!AC372</f>
        <v>5430224.9385411292</v>
      </c>
      <c r="L19" s="99"/>
      <c r="M19" s="75">
        <f>SUM(C19:K19)</f>
        <v>25076844.977227468</v>
      </c>
    </row>
    <row r="20" spans="1:14" x14ac:dyDescent="0.25">
      <c r="A20" s="62" t="s">
        <v>30</v>
      </c>
      <c r="C20" s="125">
        <v>-13285419.044447072</v>
      </c>
      <c r="D20" s="134">
        <f>+'[7]Monthly TD Calc'!V286</f>
        <v>6465316.9915423328</v>
      </c>
      <c r="E20" s="134">
        <f>+'[7]Monthly TD Calc'!W286</f>
        <v>6712009.0776307862</v>
      </c>
      <c r="F20" s="148">
        <f>+'[7]Monthly TD Calc'!X286</f>
        <v>7229760.4918277897</v>
      </c>
      <c r="G20" s="92">
        <f>+'[7]Monthly TD Calc'!Y286</f>
        <v>6701262.0049435701</v>
      </c>
      <c r="H20" s="93">
        <f>+'[7]Monthly TD Calc'!Z286</f>
        <v>8338684.6643292597</v>
      </c>
      <c r="I20" s="200">
        <f>+'[7]Monthly TD Calc'!AA286</f>
        <v>8717607.3999374975</v>
      </c>
      <c r="J20" s="189">
        <f>+'[2]KCPL Monthly TD Calc'!AB373</f>
        <v>9606179.4678424969</v>
      </c>
      <c r="K20" s="168">
        <f>+'[2]KCPL Monthly TD Calc'!AC373</f>
        <v>9875938.2039176915</v>
      </c>
      <c r="L20" s="99"/>
      <c r="M20" s="75">
        <f>SUM(C20:K20)</f>
        <v>50361339.257524349</v>
      </c>
    </row>
    <row r="21" spans="1:14" x14ac:dyDescent="0.25">
      <c r="C21" s="83"/>
      <c r="D21" s="84"/>
      <c r="E21" s="84"/>
      <c r="F21" s="84"/>
      <c r="G21" s="83"/>
      <c r="H21" s="84"/>
      <c r="I21" s="198"/>
      <c r="J21" s="72"/>
      <c r="K21" s="72"/>
      <c r="L21" s="13"/>
    </row>
    <row r="22" spans="1:14" x14ac:dyDescent="0.25">
      <c r="A22" s="62" t="s">
        <v>94</v>
      </c>
      <c r="C22" s="50"/>
      <c r="D22" s="51"/>
      <c r="E22" s="51"/>
      <c r="F22" s="51"/>
      <c r="G22" s="50"/>
      <c r="H22" s="51"/>
      <c r="I22" s="201"/>
      <c r="J22" s="68"/>
      <c r="K22" s="68"/>
      <c r="L22" s="52"/>
    </row>
    <row r="23" spans="1:14" x14ac:dyDescent="0.25">
      <c r="A23" s="62" t="s">
        <v>29</v>
      </c>
      <c r="C23" s="120">
        <v>-378692.28</v>
      </c>
      <c r="D23" s="132">
        <f>ROUND('[7]Monthly TD Calc'!V318,2)</f>
        <v>203845.75</v>
      </c>
      <c r="E23" s="132">
        <f>ROUND('[7]Monthly TD Calc'!W318,2)</f>
        <v>197399.88</v>
      </c>
      <c r="F23" s="133">
        <f>ROUND('[7]Monthly TD Calc'!X318,2)</f>
        <v>216689.01</v>
      </c>
      <c r="G23" s="16">
        <f>ROUND('[7]Monthly TD Calc'!Y318,2)</f>
        <v>210712.2</v>
      </c>
      <c r="H23" s="71">
        <f>ROUND('[7]Monthly TD Calc'!Z318,2)</f>
        <v>217038.23</v>
      </c>
      <c r="I23" s="200">
        <f>ROUND('[7]Monthly TD Calc'!AA318,2)</f>
        <v>247417.27</v>
      </c>
      <c r="J23" s="190">
        <f>ROUND('[2]KCPL Monthly TD Calc'!AB351,2)</f>
        <v>292072.71999999997</v>
      </c>
      <c r="K23" s="167">
        <f>ROUND('[2]KCPL Monthly TD Calc'!AC351,2)</f>
        <v>536854.92000000004</v>
      </c>
      <c r="L23" s="98"/>
    </row>
    <row r="24" spans="1:14" x14ac:dyDescent="0.25">
      <c r="A24" s="62" t="s">
        <v>30</v>
      </c>
      <c r="C24" s="120">
        <v>-584306.03</v>
      </c>
      <c r="D24" s="132">
        <f>ROUND('[7]Monthly TD Calc'!V319,2)</f>
        <v>294239.06</v>
      </c>
      <c r="E24" s="132">
        <f>ROUND('[7]Monthly TD Calc'!W319,2)</f>
        <v>292217.03999999998</v>
      </c>
      <c r="F24" s="133">
        <f>ROUND('[7]Monthly TD Calc'!X319,2)</f>
        <v>297964.69</v>
      </c>
      <c r="G24" s="16">
        <f>ROUND('[7]Monthly TD Calc'!Y319,2)</f>
        <v>287846.17</v>
      </c>
      <c r="H24" s="71">
        <f>ROUND('[7]Monthly TD Calc'!Z319,2)</f>
        <v>343142.58</v>
      </c>
      <c r="I24" s="200">
        <f>ROUND('[7]Monthly TD Calc'!AA319,2)</f>
        <v>372583.97</v>
      </c>
      <c r="J24" s="190">
        <f>ROUND('[2]KCPL Monthly TD Calc'!AB352,2)</f>
        <v>404774.29</v>
      </c>
      <c r="K24" s="167">
        <f>ROUND('[2]KCPL Monthly TD Calc'!AC352,2)</f>
        <v>565110.27</v>
      </c>
      <c r="L24" s="98"/>
      <c r="N24" s="63"/>
    </row>
    <row r="25" spans="1:14" x14ac:dyDescent="0.25">
      <c r="C25" s="122"/>
      <c r="D25" s="18"/>
      <c r="E25" s="18"/>
      <c r="F25" s="18"/>
      <c r="G25" s="114"/>
      <c r="H25" s="18"/>
      <c r="I25" s="196"/>
      <c r="J25" s="72"/>
      <c r="K25" s="72"/>
      <c r="L25" s="13"/>
    </row>
    <row r="26" spans="1:14" ht="15.75" thickBot="1" x14ac:dyDescent="0.3">
      <c r="A26" s="3" t="s">
        <v>18</v>
      </c>
      <c r="B26" s="3"/>
      <c r="C26" s="126">
        <v>-9879.1</v>
      </c>
      <c r="D26" s="159">
        <v>5049.8</v>
      </c>
      <c r="E26" s="159">
        <v>5646.04</v>
      </c>
      <c r="F26" s="160">
        <v>5788.73</v>
      </c>
      <c r="G26" s="39">
        <v>5563.74</v>
      </c>
      <c r="H26" s="145">
        <v>5239.42</v>
      </c>
      <c r="I26" s="202">
        <v>4563.12</v>
      </c>
      <c r="J26" s="191">
        <v>4004.33</v>
      </c>
      <c r="K26" s="169">
        <v>4014.46</v>
      </c>
      <c r="L26" s="101"/>
    </row>
    <row r="27" spans="1:14" x14ac:dyDescent="0.25">
      <c r="C27" s="80"/>
      <c r="D27" s="82"/>
      <c r="E27" s="82"/>
      <c r="F27" s="47"/>
      <c r="G27" s="80"/>
      <c r="H27" s="47"/>
      <c r="I27" s="203"/>
      <c r="J27" s="48"/>
      <c r="K27" s="48"/>
      <c r="L27" s="76"/>
    </row>
    <row r="28" spans="1:14" x14ac:dyDescent="0.25">
      <c r="A28" s="62" t="s">
        <v>68</v>
      </c>
      <c r="C28" s="81"/>
      <c r="D28" s="49"/>
      <c r="E28" s="49"/>
      <c r="F28" s="49"/>
      <c r="G28" s="81"/>
      <c r="H28" s="49"/>
      <c r="I28" s="204"/>
      <c r="J28" s="48"/>
      <c r="K28" s="48"/>
      <c r="L28" s="76"/>
    </row>
    <row r="29" spans="1:14" x14ac:dyDescent="0.25">
      <c r="A29" s="62" t="s">
        <v>29</v>
      </c>
      <c r="C29" s="123">
        <f t="shared" ref="C29:L30" si="5">C23-C15</f>
        <v>394770.22319999989</v>
      </c>
      <c r="D29" s="55">
        <f t="shared" si="5"/>
        <v>21907.709999999992</v>
      </c>
      <c r="E29" s="55">
        <f t="shared" si="5"/>
        <v>-36712.630000000005</v>
      </c>
      <c r="F29" s="131">
        <f t="shared" si="5"/>
        <v>-108527.93</v>
      </c>
      <c r="G29" s="54">
        <f t="shared" si="5"/>
        <v>-123436.56</v>
      </c>
      <c r="H29" s="55">
        <f t="shared" si="5"/>
        <v>-137826.34</v>
      </c>
      <c r="I29" s="77">
        <f t="shared" si="5"/>
        <v>-68769.03</v>
      </c>
      <c r="J29" s="146">
        <f t="shared" si="5"/>
        <v>32209.73199999996</v>
      </c>
      <c r="K29" s="55">
        <f t="shared" si="5"/>
        <v>206879.37520000001</v>
      </c>
      <c r="L29" s="77">
        <f t="shared" si="5"/>
        <v>-483924.00848000002</v>
      </c>
    </row>
    <row r="30" spans="1:14" x14ac:dyDescent="0.25">
      <c r="A30" s="62" t="s">
        <v>30</v>
      </c>
      <c r="C30" s="123">
        <f t="shared" si="5"/>
        <v>93519.151976239868</v>
      </c>
      <c r="D30" s="55">
        <f t="shared" si="5"/>
        <v>92261.609999999986</v>
      </c>
      <c r="E30" s="55">
        <f t="shared" si="5"/>
        <v>75010.949999999983</v>
      </c>
      <c r="F30" s="131">
        <f t="shared" si="5"/>
        <v>58602.850000000006</v>
      </c>
      <c r="G30" s="54">
        <f t="shared" si="5"/>
        <v>-96047.62</v>
      </c>
      <c r="H30" s="55">
        <f t="shared" si="5"/>
        <v>-216595.19</v>
      </c>
      <c r="I30" s="77">
        <f t="shared" si="5"/>
        <v>-228495.44000000006</v>
      </c>
      <c r="J30" s="146">
        <f t="shared" si="5"/>
        <v>-170296.00267999998</v>
      </c>
      <c r="K30" s="55">
        <f t="shared" si="5"/>
        <v>-69072.829679999966</v>
      </c>
      <c r="L30" s="77">
        <f t="shared" si="5"/>
        <v>-699932.71140000003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s="62" t="s">
        <v>69</v>
      </c>
      <c r="C32" s="122"/>
      <c r="D32" s="17"/>
      <c r="E32" s="17"/>
      <c r="F32" s="17"/>
      <c r="G32" s="10"/>
      <c r="H32" s="17"/>
      <c r="I32" s="11"/>
      <c r="J32" s="17"/>
      <c r="K32" s="17"/>
      <c r="L32" s="11"/>
    </row>
    <row r="33" spans="1:12" x14ac:dyDescent="0.25">
      <c r="A33" s="62" t="s">
        <v>29</v>
      </c>
      <c r="B33" s="139">
        <v>527528.91680000012</v>
      </c>
      <c r="C33" s="123">
        <f>+B33+C29+B38</f>
        <v>922299.14</v>
      </c>
      <c r="D33" s="55">
        <f t="shared" ref="D33:L33" si="6">+C33+D29+C38</f>
        <v>940511.64</v>
      </c>
      <c r="E33" s="55">
        <f t="shared" si="6"/>
        <v>905763</v>
      </c>
      <c r="F33" s="131">
        <f t="shared" si="6"/>
        <v>799346.3</v>
      </c>
      <c r="G33" s="54">
        <f t="shared" si="6"/>
        <v>677909.3</v>
      </c>
      <c r="H33" s="55">
        <f t="shared" si="6"/>
        <v>541839.83000000007</v>
      </c>
      <c r="I33" s="77">
        <f t="shared" si="6"/>
        <v>474623.52</v>
      </c>
      <c r="J33" s="146">
        <f t="shared" si="6"/>
        <v>508167.89199999999</v>
      </c>
      <c r="K33" s="55">
        <f t="shared" si="6"/>
        <v>716337.47719999996</v>
      </c>
      <c r="L33" s="77">
        <f t="shared" si="6"/>
        <v>234020.51871999993</v>
      </c>
    </row>
    <row r="34" spans="1:12" ht="15.75" thickBot="1" x14ac:dyDescent="0.3">
      <c r="A34" s="62" t="s">
        <v>30</v>
      </c>
      <c r="B34" s="140">
        <v>1327059.5880237597</v>
      </c>
      <c r="C34" s="123">
        <f>+B34+C30+B39</f>
        <v>1420578.7399999995</v>
      </c>
      <c r="D34" s="55">
        <f t="shared" ref="D34:L34" si="7">+C34+D30+C39</f>
        <v>1506652.9199999997</v>
      </c>
      <c r="E34" s="55">
        <f t="shared" si="7"/>
        <v>1584749.6899999997</v>
      </c>
      <c r="F34" s="131">
        <f t="shared" si="7"/>
        <v>1646887.3599999999</v>
      </c>
      <c r="G34" s="54">
        <f t="shared" si="7"/>
        <v>1554628.8999999997</v>
      </c>
      <c r="H34" s="55">
        <f t="shared" si="7"/>
        <v>1341840.5699999998</v>
      </c>
      <c r="I34" s="77">
        <f t="shared" si="7"/>
        <v>1117031.8299999998</v>
      </c>
      <c r="J34" s="146">
        <f t="shared" si="7"/>
        <v>949964.30731999991</v>
      </c>
      <c r="K34" s="55">
        <f t="shared" si="7"/>
        <v>883605.59763999993</v>
      </c>
      <c r="L34" s="77">
        <f t="shared" si="7"/>
        <v>186080.29623999991</v>
      </c>
    </row>
    <row r="35" spans="1:12" x14ac:dyDescent="0.25">
      <c r="C35" s="122"/>
      <c r="D35" s="17"/>
      <c r="E35" s="17"/>
      <c r="F35" s="17"/>
      <c r="G35" s="10"/>
      <c r="H35" s="17"/>
      <c r="I35" s="11"/>
      <c r="J35" s="17"/>
      <c r="K35" s="17"/>
      <c r="L35" s="11"/>
    </row>
    <row r="36" spans="1:12" x14ac:dyDescent="0.25">
      <c r="A36" s="53" t="s">
        <v>65</v>
      </c>
      <c r="B36" s="53"/>
      <c r="C36" s="127"/>
      <c r="D36" s="102">
        <f>+'PCR Cycle 1'!D38</f>
        <v>2.1128200000000001E-3</v>
      </c>
      <c r="E36" s="102">
        <f>+'PCR Cycle 1'!E38</f>
        <v>2.28459E-3</v>
      </c>
      <c r="F36" s="102">
        <f>+'PCR Cycle 1'!F38</f>
        <v>2.3424800000000001E-3</v>
      </c>
      <c r="G36" s="103">
        <f>+'PCR Cycle 1'!G38</f>
        <v>2.37535E-3</v>
      </c>
      <c r="H36" s="102">
        <f>+'PCR Cycle 1'!H38</f>
        <v>2.5423099999999999E-3</v>
      </c>
      <c r="I36" s="115">
        <f>+'PCR Cycle 1'!I38</f>
        <v>2.6220499999999999E-3</v>
      </c>
      <c r="J36" s="102">
        <f>+'PCR Cycle 1'!J38</f>
        <v>2.6220499999999999E-3</v>
      </c>
      <c r="K36" s="102">
        <f>+'PCR Cycle 1'!K38</f>
        <v>2.6220499999999999E-3</v>
      </c>
      <c r="L36" s="104"/>
    </row>
    <row r="37" spans="1:12" x14ac:dyDescent="0.25">
      <c r="A37" s="53" t="s">
        <v>44</v>
      </c>
      <c r="B37" s="53"/>
      <c r="C37" s="129"/>
      <c r="D37" s="102"/>
      <c r="E37" s="102"/>
      <c r="F37" s="102"/>
      <c r="G37" s="103"/>
      <c r="H37" s="102"/>
      <c r="I37" s="104"/>
      <c r="J37" s="102"/>
      <c r="K37" s="102"/>
      <c r="L37" s="104"/>
    </row>
    <row r="38" spans="1:12" x14ac:dyDescent="0.25">
      <c r="A38" s="62" t="s">
        <v>29</v>
      </c>
      <c r="C38" s="123">
        <v>-3695.21</v>
      </c>
      <c r="D38" s="55">
        <f t="shared" ref="D38" si="8">ROUND((C33+C38+D29/2)*D$36,2)</f>
        <v>1963.99</v>
      </c>
      <c r="E38" s="55">
        <f t="shared" ref="E38:E39" si="9">ROUND((D33+D38+E29/2)*E$36,2)</f>
        <v>2111.23</v>
      </c>
      <c r="F38" s="131">
        <f t="shared" ref="F38:F39" si="10">ROUND((E33+E38+F29/2)*F$36,2)</f>
        <v>1999.56</v>
      </c>
      <c r="G38" s="54">
        <f t="shared" ref="G38:G39" si="11">ROUND((F33+F38+G29/2)*G$36,2)</f>
        <v>1756.87</v>
      </c>
      <c r="H38" s="146">
        <f t="shared" ref="H38:I39" si="12">ROUND((G33+G38+H29/2)*H$36,2)</f>
        <v>1552.72</v>
      </c>
      <c r="I38" s="77">
        <f t="shared" si="12"/>
        <v>1334.64</v>
      </c>
      <c r="J38" s="192">
        <f t="shared" ref="J38:J39" si="13">ROUND((I33+I38+J29/2)*J$36,2)</f>
        <v>1290.21</v>
      </c>
      <c r="K38" s="131">
        <f t="shared" ref="K38:K39" si="14">ROUND((J33+J38+K29/2)*K$36,2)</f>
        <v>1607.05</v>
      </c>
      <c r="L38" s="77">
        <f t="shared" ref="L38:L39" si="15">ROUND((K33+K38+L29/2)*L$36,2)</f>
        <v>0</v>
      </c>
    </row>
    <row r="39" spans="1:12" ht="15.75" thickBot="1" x14ac:dyDescent="0.3">
      <c r="A39" s="62" t="s">
        <v>30</v>
      </c>
      <c r="C39" s="123">
        <v>-6187.43</v>
      </c>
      <c r="D39" s="55">
        <f>ROUND((C34+C39+D30/2)*D$36,2)</f>
        <v>3085.82</v>
      </c>
      <c r="E39" s="55">
        <f t="shared" si="9"/>
        <v>3534.82</v>
      </c>
      <c r="F39" s="131">
        <f t="shared" si="10"/>
        <v>3789.16</v>
      </c>
      <c r="G39" s="54">
        <f t="shared" si="11"/>
        <v>3806.86</v>
      </c>
      <c r="H39" s="146">
        <f t="shared" si="12"/>
        <v>3686.7</v>
      </c>
      <c r="I39" s="77">
        <f t="shared" si="12"/>
        <v>3228.48</v>
      </c>
      <c r="J39" s="192">
        <f t="shared" si="13"/>
        <v>2714.12</v>
      </c>
      <c r="K39" s="131">
        <f t="shared" si="14"/>
        <v>2407.41</v>
      </c>
      <c r="L39" s="77">
        <f t="shared" si="15"/>
        <v>0</v>
      </c>
    </row>
    <row r="40" spans="1:12" ht="16.5" thickTop="1" thickBot="1" x14ac:dyDescent="0.3">
      <c r="A40" s="70" t="s">
        <v>25</v>
      </c>
      <c r="B40" s="70"/>
      <c r="C40" s="130">
        <v>0</v>
      </c>
      <c r="D40" s="56">
        <f t="shared" ref="D40:L40" si="16">SUM(D38:D39)+SUM(D33:D34)-D43</f>
        <v>0</v>
      </c>
      <c r="E40" s="56">
        <f t="shared" si="16"/>
        <v>0</v>
      </c>
      <c r="F40" s="66">
        <f t="shared" si="16"/>
        <v>0</v>
      </c>
      <c r="G40" s="67">
        <f t="shared" si="16"/>
        <v>0</v>
      </c>
      <c r="H40" s="56">
        <f t="shared" si="16"/>
        <v>0</v>
      </c>
      <c r="I40" s="78">
        <f t="shared" si="16"/>
        <v>0</v>
      </c>
      <c r="J40" s="193">
        <f t="shared" si="16"/>
        <v>0</v>
      </c>
      <c r="K40" s="66">
        <f t="shared" si="16"/>
        <v>0</v>
      </c>
      <c r="L40" s="78">
        <f t="shared" si="16"/>
        <v>0</v>
      </c>
    </row>
    <row r="41" spans="1:12" ht="16.5" thickTop="1" thickBot="1" x14ac:dyDescent="0.3">
      <c r="A41" s="70" t="s">
        <v>26</v>
      </c>
      <c r="B41" s="70"/>
      <c r="C41" s="130">
        <v>0</v>
      </c>
      <c r="D41" s="56">
        <f>SUM(D38:D39)-D26</f>
        <v>1.0000000000218279E-2</v>
      </c>
      <c r="E41" s="56">
        <f t="shared" ref="E41:I41" si="17">SUM(E38:E39)-E26</f>
        <v>1.0000000000218279E-2</v>
      </c>
      <c r="F41" s="66">
        <f t="shared" ref="F41:H41" si="18">SUM(F38:F39)-F26</f>
        <v>-1.0000000000218279E-2</v>
      </c>
      <c r="G41" s="67">
        <f t="shared" si="18"/>
        <v>-1.0000000000218279E-2</v>
      </c>
      <c r="H41" s="56">
        <f t="shared" si="18"/>
        <v>0</v>
      </c>
      <c r="I41" s="78">
        <f t="shared" si="17"/>
        <v>0</v>
      </c>
      <c r="J41" s="194">
        <f t="shared" ref="J41:L41" si="19">SUM(J38:J39)-J26</f>
        <v>0</v>
      </c>
      <c r="K41" s="56">
        <f t="shared" si="19"/>
        <v>0</v>
      </c>
      <c r="L41" s="56">
        <f t="shared" si="19"/>
        <v>0</v>
      </c>
    </row>
    <row r="42" spans="1:12" ht="16.5" thickTop="1" thickBot="1" x14ac:dyDescent="0.3">
      <c r="C42" s="122"/>
      <c r="D42" s="17"/>
      <c r="E42" s="17"/>
      <c r="F42" s="17"/>
      <c r="G42" s="10"/>
      <c r="H42" s="17"/>
      <c r="I42" s="11"/>
      <c r="J42" s="17"/>
      <c r="K42" s="17"/>
      <c r="L42" s="11"/>
    </row>
    <row r="43" spans="1:12" ht="15.75" thickBot="1" x14ac:dyDescent="0.3">
      <c r="A43" s="62" t="s">
        <v>42</v>
      </c>
      <c r="B43" s="142">
        <v>1854588.5048237601</v>
      </c>
      <c r="C43" s="123">
        <f>(C12-SUM(C15:C16))+SUM(C38:C39)+B43</f>
        <v>2332995.2400000002</v>
      </c>
      <c r="D43" s="55">
        <f t="shared" ref="D43:L43" si="20">(D12-SUM(D15:D16))+SUM(D38:D39)+C43</f>
        <v>2452214.37</v>
      </c>
      <c r="E43" s="55">
        <f t="shared" si="20"/>
        <v>2496158.7400000002</v>
      </c>
      <c r="F43" s="131">
        <f t="shared" si="20"/>
        <v>2452022.3800000004</v>
      </c>
      <c r="G43" s="54">
        <f t="shared" si="20"/>
        <v>2238101.9300000002</v>
      </c>
      <c r="H43" s="55">
        <f t="shared" si="20"/>
        <v>1888919.82</v>
      </c>
      <c r="I43" s="77">
        <f t="shared" si="20"/>
        <v>1596218.4700000002</v>
      </c>
      <c r="J43" s="192">
        <f t="shared" si="20"/>
        <v>1462136.5293200002</v>
      </c>
      <c r="K43" s="131">
        <f t="shared" si="20"/>
        <v>1603957.5348400001</v>
      </c>
      <c r="L43" s="77">
        <f t="shared" si="20"/>
        <v>420100.81496000011</v>
      </c>
    </row>
    <row r="44" spans="1:12" x14ac:dyDescent="0.25">
      <c r="A44" s="62" t="s">
        <v>14</v>
      </c>
      <c r="C44" s="143"/>
      <c r="D44" s="17"/>
      <c r="E44" s="17"/>
      <c r="F44" s="17"/>
      <c r="G44" s="10"/>
      <c r="H44" s="17"/>
      <c r="I44" s="11"/>
      <c r="J44" s="17"/>
      <c r="K44" s="17"/>
      <c r="L44" s="11"/>
    </row>
    <row r="45" spans="1:12" ht="15.75" thickBot="1" x14ac:dyDescent="0.3">
      <c r="A45" s="51"/>
      <c r="B45" s="51"/>
      <c r="C45" s="173"/>
      <c r="D45" s="58"/>
      <c r="E45" s="58"/>
      <c r="F45" s="58"/>
      <c r="G45" s="57"/>
      <c r="H45" s="58"/>
      <c r="I45" s="59"/>
      <c r="J45" s="58"/>
      <c r="K45" s="58"/>
      <c r="L45" s="59"/>
    </row>
    <row r="47" spans="1:12" x14ac:dyDescent="0.25">
      <c r="A47" s="85" t="s">
        <v>13</v>
      </c>
      <c r="B47" s="85"/>
      <c r="C47" s="85"/>
    </row>
    <row r="48" spans="1:12" ht="34.5" customHeight="1" x14ac:dyDescent="0.25">
      <c r="A48" s="233" t="s">
        <v>140</v>
      </c>
      <c r="B48" s="233"/>
      <c r="C48" s="233"/>
      <c r="D48" s="233"/>
      <c r="E48" s="233"/>
      <c r="F48" s="233"/>
      <c r="G48" s="233"/>
      <c r="H48" s="233"/>
      <c r="I48" s="233"/>
      <c r="J48" s="227"/>
      <c r="K48" s="170"/>
      <c r="L48" s="170"/>
    </row>
    <row r="49" spans="1:12" ht="42.75" customHeight="1" x14ac:dyDescent="0.25">
      <c r="A49" s="233" t="s">
        <v>134</v>
      </c>
      <c r="B49" s="233"/>
      <c r="C49" s="233"/>
      <c r="D49" s="233"/>
      <c r="E49" s="233"/>
      <c r="F49" s="233"/>
      <c r="G49" s="233"/>
      <c r="H49" s="233"/>
      <c r="I49" s="233"/>
      <c r="J49" s="233"/>
      <c r="K49" s="170"/>
      <c r="L49" s="170"/>
    </row>
    <row r="50" spans="1:12" ht="33.75" customHeight="1" x14ac:dyDescent="0.25">
      <c r="A50" s="233" t="s">
        <v>141</v>
      </c>
      <c r="B50" s="233"/>
      <c r="C50" s="233"/>
      <c r="D50" s="233"/>
      <c r="E50" s="233"/>
      <c r="F50" s="233"/>
      <c r="G50" s="233"/>
      <c r="H50" s="233"/>
      <c r="I50" s="233"/>
      <c r="J50" s="227"/>
      <c r="K50" s="170"/>
      <c r="L50" s="170"/>
    </row>
    <row r="51" spans="1:12" x14ac:dyDescent="0.25">
      <c r="A51" s="3" t="s">
        <v>91</v>
      </c>
      <c r="B51" s="3"/>
      <c r="C51" s="3"/>
    </row>
    <row r="52" spans="1:12" x14ac:dyDescent="0.25">
      <c r="A52" s="79" t="s">
        <v>129</v>
      </c>
      <c r="B52" s="3"/>
      <c r="C52" s="3"/>
    </row>
    <row r="53" spans="1:12" x14ac:dyDescent="0.25">
      <c r="A53" s="3" t="s">
        <v>95</v>
      </c>
      <c r="B53" s="3"/>
      <c r="C53" s="3"/>
    </row>
    <row r="54" spans="1:12" x14ac:dyDescent="0.25">
      <c r="A54" s="3"/>
      <c r="B54" s="3"/>
      <c r="C54" s="3"/>
    </row>
  </sheetData>
  <mergeCells count="6">
    <mergeCell ref="A50:I50"/>
    <mergeCell ref="D10:F10"/>
    <mergeCell ref="A48:I48"/>
    <mergeCell ref="A49:J49"/>
    <mergeCell ref="G10:I10"/>
    <mergeCell ref="J10:L10"/>
  </mergeCells>
  <pageMargins left="0.2" right="0.2" top="0.75" bottom="0.25" header="0.3" footer="0.3"/>
  <pageSetup scale="56" orientation="landscape" r:id="rId1"/>
  <headerFooter>
    <oddHeader>&amp;C&amp;F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Normal="100" workbookViewId="0">
      <selection activeCell="H1" sqref="H1"/>
    </sheetView>
  </sheetViews>
  <sheetFormatPr defaultRowHeight="15" x14ac:dyDescent="0.25"/>
  <cols>
    <col min="1" max="1" width="58.140625" customWidth="1"/>
    <col min="2" max="2" width="14.28515625" bestFit="1" customWidth="1"/>
    <col min="3" max="3" width="14.28515625" style="62" customWidth="1"/>
    <col min="4" max="4" width="13.28515625" bestFit="1" customWidth="1"/>
  </cols>
  <sheetData>
    <row r="1" spans="1:5" x14ac:dyDescent="0.25">
      <c r="A1" s="79" t="str">
        <f>+PPC!A1</f>
        <v>Kansas City Power &amp; Light Company - DSIM Rider Update Filed 06/01/2018</v>
      </c>
      <c r="B1" s="62"/>
      <c r="D1" s="62"/>
      <c r="E1" s="62"/>
    </row>
    <row r="2" spans="1:5" x14ac:dyDescent="0.25">
      <c r="A2" s="9" t="str">
        <f>+PPC!A2</f>
        <v>Projections for Cycle 2 August 2018 - January 2019 DSIM</v>
      </c>
      <c r="B2" s="62"/>
      <c r="D2" s="62"/>
      <c r="E2" s="62"/>
    </row>
    <row r="3" spans="1:5" ht="45.75" customHeight="1" x14ac:dyDescent="0.25">
      <c r="A3" s="62"/>
      <c r="B3" s="228" t="s">
        <v>97</v>
      </c>
      <c r="C3" s="228"/>
      <c r="D3" s="228"/>
      <c r="E3" s="62"/>
    </row>
    <row r="4" spans="1:5" x14ac:dyDescent="0.25">
      <c r="A4" s="62"/>
      <c r="D4" s="64"/>
      <c r="E4" s="62"/>
    </row>
    <row r="5" spans="1:5" s="62" customFormat="1" x14ac:dyDescent="0.25">
      <c r="A5" s="185" t="s">
        <v>101</v>
      </c>
      <c r="B5" s="86"/>
      <c r="C5" s="86"/>
      <c r="D5" s="183">
        <f>+'[8]PI Annuity Calc'!$C$4</f>
        <v>9917518.1799999997</v>
      </c>
    </row>
    <row r="6" spans="1:5" s="62" customFormat="1" x14ac:dyDescent="0.25">
      <c r="A6" s="185"/>
      <c r="B6" s="86"/>
      <c r="C6" s="86"/>
      <c r="D6" s="183"/>
    </row>
    <row r="7" spans="1:5" s="62" customFormat="1" x14ac:dyDescent="0.25">
      <c r="A7" s="185" t="s">
        <v>102</v>
      </c>
      <c r="B7" s="86"/>
      <c r="C7" s="86"/>
      <c r="D7" s="183">
        <f>ROUND('[8]PI Annuity Calc'!$E$10,2)</f>
        <v>10412605.24</v>
      </c>
    </row>
    <row r="8" spans="1:5" s="62" customFormat="1" x14ac:dyDescent="0.25">
      <c r="A8" s="22"/>
      <c r="B8" s="86"/>
      <c r="C8" s="86"/>
      <c r="D8" s="183"/>
    </row>
    <row r="9" spans="1:5" s="62" customFormat="1" x14ac:dyDescent="0.25">
      <c r="A9" s="185" t="s">
        <v>104</v>
      </c>
      <c r="B9" s="86"/>
      <c r="C9" s="86"/>
      <c r="D9" s="183">
        <f>ROUND(D7/3,2)*0</f>
        <v>0</v>
      </c>
    </row>
    <row r="10" spans="1:5" s="62" customFormat="1" x14ac:dyDescent="0.25">
      <c r="A10" s="3" t="s">
        <v>135</v>
      </c>
      <c r="B10" s="86"/>
      <c r="C10" s="86"/>
      <c r="D10" s="183"/>
    </row>
    <row r="11" spans="1:5" s="62" customFormat="1" ht="30" x14ac:dyDescent="0.25">
      <c r="A11" s="22"/>
      <c r="B11" s="86" t="s">
        <v>105</v>
      </c>
      <c r="C11" s="86" t="s">
        <v>106</v>
      </c>
      <c r="D11" s="180"/>
    </row>
    <row r="12" spans="1:5" x14ac:dyDescent="0.25">
      <c r="A12" s="22" t="s">
        <v>29</v>
      </c>
      <c r="B12" s="93">
        <f>+'[8]kWh Savings Alloc'!B20</f>
        <v>55891906.5</v>
      </c>
      <c r="C12" s="181">
        <f>+B12/$B$14</f>
        <v>0.29573570798660664</v>
      </c>
      <c r="D12" s="36">
        <f>ROUND($D$9*C12,2)</f>
        <v>0</v>
      </c>
      <c r="E12" s="4"/>
    </row>
    <row r="13" spans="1:5" x14ac:dyDescent="0.25">
      <c r="A13" s="22" t="s">
        <v>30</v>
      </c>
      <c r="B13" s="93">
        <f>+'[8]kWh Savings Alloc'!B21</f>
        <v>133100849.5</v>
      </c>
      <c r="C13" s="181">
        <f>+B13/$B$14</f>
        <v>0.70426429201339336</v>
      </c>
      <c r="D13" s="36">
        <f>ROUND($D$9*C13,2)</f>
        <v>0</v>
      </c>
      <c r="E13" s="4"/>
    </row>
    <row r="14" spans="1:5" ht="15.75" thickBot="1" x14ac:dyDescent="0.3">
      <c r="A14" s="22" t="s">
        <v>6</v>
      </c>
      <c r="B14" s="35">
        <f>SUM(B12:B13)</f>
        <v>188992756</v>
      </c>
      <c r="C14" s="182">
        <f>SUM(C12:C13)</f>
        <v>1</v>
      </c>
      <c r="D14" s="24">
        <f>SUM(D12:D13)</f>
        <v>0</v>
      </c>
      <c r="E14" s="4"/>
    </row>
    <row r="15" spans="1:5" ht="16.5" thickTop="1" thickBot="1" x14ac:dyDescent="0.3">
      <c r="A15" s="62"/>
      <c r="B15" s="33" t="s">
        <v>12</v>
      </c>
      <c r="C15" s="33"/>
      <c r="D15" s="21">
        <f>ROUND(D7/3,2)*0-D14</f>
        <v>0</v>
      </c>
      <c r="E15" s="2"/>
    </row>
    <row r="16" spans="1:5" ht="15.75" thickTop="1" x14ac:dyDescent="0.25">
      <c r="A16" s="62"/>
      <c r="B16" s="62"/>
      <c r="D16" s="62"/>
      <c r="E16" s="4"/>
    </row>
    <row r="17" spans="1:5" x14ac:dyDescent="0.25">
      <c r="A17" s="62"/>
      <c r="B17" s="62"/>
      <c r="D17" s="62"/>
      <c r="E17" s="4"/>
    </row>
    <row r="18" spans="1:5" x14ac:dyDescent="0.25">
      <c r="A18" s="62"/>
      <c r="B18" s="62"/>
      <c r="D18" s="62"/>
      <c r="E18" s="62"/>
    </row>
    <row r="19" spans="1:5" x14ac:dyDescent="0.25">
      <c r="A19" s="62"/>
      <c r="B19" s="62"/>
      <c r="D19" s="62"/>
      <c r="E19" s="62"/>
    </row>
    <row r="20" spans="1:5" x14ac:dyDescent="0.25">
      <c r="A20" s="62"/>
      <c r="B20" s="62"/>
      <c r="D20" s="62"/>
      <c r="E20" s="62"/>
    </row>
    <row r="21" spans="1:5" x14ac:dyDescent="0.25">
      <c r="A21" s="69" t="s">
        <v>13</v>
      </c>
      <c r="B21" s="62"/>
      <c r="D21" s="62"/>
      <c r="E21" s="62"/>
    </row>
    <row r="22" spans="1:5" x14ac:dyDescent="0.25">
      <c r="A22" s="3" t="s">
        <v>142</v>
      </c>
      <c r="B22" s="62"/>
      <c r="D22" s="62"/>
      <c r="E22" s="62"/>
    </row>
    <row r="23" spans="1:5" s="62" customFormat="1" x14ac:dyDescent="0.25">
      <c r="A23" s="3" t="s">
        <v>143</v>
      </c>
    </row>
    <row r="24" spans="1:5" s="62" customFormat="1" x14ac:dyDescent="0.25">
      <c r="A24" s="3" t="s">
        <v>144</v>
      </c>
    </row>
    <row r="25" spans="1:5" x14ac:dyDescent="0.25">
      <c r="A25" s="3" t="s">
        <v>145</v>
      </c>
      <c r="B25" s="62"/>
      <c r="D25" s="62"/>
      <c r="E25" s="62"/>
    </row>
    <row r="26" spans="1:5" s="62" customFormat="1" x14ac:dyDescent="0.25">
      <c r="A26" s="3" t="s">
        <v>103</v>
      </c>
    </row>
  </sheetData>
  <mergeCells count="1">
    <mergeCell ref="B3:D3"/>
  </mergeCells>
  <pageMargins left="0.2" right="0.2" top="0.75" bottom="0.25" header="0.3" footer="0.3"/>
  <pageSetup orientation="landscape" r:id="rId1"/>
  <headerFooter>
    <oddHeader>&amp;C&amp;F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0"/>
  <sheetViews>
    <sheetView zoomScaleNormal="100" workbookViewId="0">
      <selection activeCell="H1" sqref="H1"/>
    </sheetView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5.28515625" style="62" bestFit="1" customWidth="1"/>
    <col min="16" max="16" width="17.42578125" style="62" bestFit="1" customWidth="1"/>
    <col min="17" max="17" width="16.28515625" style="62" bestFit="1" customWidth="1"/>
    <col min="18" max="18" width="15.28515625" style="62" bestFit="1" customWidth="1"/>
    <col min="19" max="19" width="12.42578125" style="62" customWidth="1"/>
    <col min="20" max="21" width="14.28515625" style="62" bestFit="1" customWidth="1"/>
    <col min="22" max="16384" width="9.140625" style="62"/>
  </cols>
  <sheetData>
    <row r="1" spans="1:34" x14ac:dyDescent="0.25">
      <c r="A1" s="3" t="str">
        <f>+PPC!A1</f>
        <v>Kansas City Power &amp; Light Company - DSIM Rider Update Filed 06/01/2018</v>
      </c>
      <c r="B1" s="3"/>
      <c r="C1" s="3"/>
    </row>
    <row r="2" spans="1:34" x14ac:dyDescent="0.25">
      <c r="D2" s="3" t="s">
        <v>109</v>
      </c>
    </row>
    <row r="3" spans="1:34" ht="30" x14ac:dyDescent="0.25">
      <c r="D3" s="64" t="s">
        <v>62</v>
      </c>
      <c r="E3" s="86" t="s">
        <v>77</v>
      </c>
      <c r="F3" s="64" t="s">
        <v>3</v>
      </c>
      <c r="G3" s="86" t="s">
        <v>71</v>
      </c>
      <c r="H3" s="64" t="s">
        <v>11</v>
      </c>
      <c r="I3" s="64" t="s">
        <v>78</v>
      </c>
      <c r="R3" s="64"/>
    </row>
    <row r="4" spans="1:34" x14ac:dyDescent="0.25">
      <c r="A4" s="22" t="s">
        <v>29</v>
      </c>
      <c r="B4" s="22"/>
      <c r="C4" s="22"/>
      <c r="D4" s="24">
        <f>SUM(C15:L15)</f>
        <v>1010927.3952499999</v>
      </c>
      <c r="E4" s="24">
        <f>SUM(C19:K19)</f>
        <v>1026459.72</v>
      </c>
      <c r="F4" s="24">
        <f>E4-D4</f>
        <v>15532.324750000029</v>
      </c>
      <c r="G4" s="24">
        <f>+B29</f>
        <v>-4448.5348000000185</v>
      </c>
      <c r="H4" s="24">
        <f>SUM(C34:K34)</f>
        <v>3101.21</v>
      </c>
      <c r="I4" s="36">
        <f>SUM(F4:H4)</f>
        <v>14184.999950000009</v>
      </c>
      <c r="J4" s="63">
        <f>+I4-L29</f>
        <v>3.092281986027956E-11</v>
      </c>
      <c r="M4" s="63"/>
    </row>
    <row r="5" spans="1:34" ht="15.75" thickBot="1" x14ac:dyDescent="0.3">
      <c r="A5" s="22" t="s">
        <v>30</v>
      </c>
      <c r="B5" s="22"/>
      <c r="C5" s="22"/>
      <c r="D5" s="24">
        <f>SUM(C16:L16)</f>
        <v>2480594.7587713981</v>
      </c>
      <c r="E5" s="24">
        <f>SUM(C20:K20)</f>
        <v>2444408.7000000002</v>
      </c>
      <c r="F5" s="24">
        <f>E5-D5</f>
        <v>-36186.058771397918</v>
      </c>
      <c r="G5" s="24">
        <f>+B30</f>
        <v>101610.12309139827</v>
      </c>
      <c r="H5" s="24">
        <f>SUM(C35:K35)</f>
        <v>8747.43</v>
      </c>
      <c r="I5" s="36">
        <f>SUM(F5:H5)</f>
        <v>74171.494320000347</v>
      </c>
      <c r="J5" s="63">
        <f>+I5-L30</f>
        <v>0</v>
      </c>
      <c r="M5" s="63"/>
    </row>
    <row r="6" spans="1:34" ht="16.5" thickTop="1" thickBot="1" x14ac:dyDescent="0.3">
      <c r="D6" s="40">
        <f t="shared" ref="D6" si="0">SUM(D4:D5)</f>
        <v>3491522.1540213982</v>
      </c>
      <c r="E6" s="40">
        <f>SUM(E4:E5)</f>
        <v>3470868.42</v>
      </c>
      <c r="F6" s="40">
        <f>SUM(F4:F5)</f>
        <v>-20653.73402139789</v>
      </c>
      <c r="G6" s="40">
        <f>SUM(G4:G5)</f>
        <v>97161.58829139825</v>
      </c>
      <c r="H6" s="40">
        <f>SUM(H4:H5)</f>
        <v>11848.64</v>
      </c>
      <c r="I6" s="40">
        <f>SUM(I4:I5)</f>
        <v>88356.494270000359</v>
      </c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90.75" thickBot="1" x14ac:dyDescent="0.3">
      <c r="B10" s="141" t="str">
        <f>+'PCR Cycle 1'!B8</f>
        <v>Cumulative Over/Under Carryover From 12/01/2017 Filing</v>
      </c>
      <c r="C10" s="179" t="str">
        <f>+'PCR Cycle 1'!C8</f>
        <v>Reverse Nov-17 - January-18  Forecast From 12/01/2017 Filing</v>
      </c>
      <c r="D10" s="234" t="s">
        <v>39</v>
      </c>
      <c r="E10" s="234"/>
      <c r="F10" s="235"/>
      <c r="G10" s="240" t="s">
        <v>39</v>
      </c>
      <c r="H10" s="241"/>
      <c r="I10" s="242"/>
      <c r="J10" s="236" t="s">
        <v>9</v>
      </c>
      <c r="K10" s="237"/>
      <c r="L10" s="238"/>
    </row>
    <row r="11" spans="1:34" x14ac:dyDescent="0.25">
      <c r="A11" s="62" t="s">
        <v>110</v>
      </c>
      <c r="C11" s="128"/>
      <c r="D11" s="20">
        <f>+'PCR Cycle 1'!D9</f>
        <v>43069</v>
      </c>
      <c r="E11" s="20">
        <f t="shared" ref="E11:L11" si="1">EOMONTH(D11,1)</f>
        <v>43100</v>
      </c>
      <c r="F11" s="20">
        <f t="shared" si="1"/>
        <v>43131</v>
      </c>
      <c r="G11" s="14">
        <f t="shared" si="1"/>
        <v>43159</v>
      </c>
      <c r="H11" s="20">
        <f t="shared" si="1"/>
        <v>43190</v>
      </c>
      <c r="I11" s="15">
        <f t="shared" si="1"/>
        <v>43220</v>
      </c>
      <c r="J11" s="20">
        <f t="shared" si="1"/>
        <v>43251</v>
      </c>
      <c r="K11" s="20">
        <f t="shared" si="1"/>
        <v>43281</v>
      </c>
      <c r="L11" s="15">
        <f t="shared" si="1"/>
        <v>43312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62" t="s">
        <v>6</v>
      </c>
      <c r="C12" s="120">
        <v>-1156956.1400000001</v>
      </c>
      <c r="D12" s="132">
        <f>SUM(D19:D20)</f>
        <v>578478.07000000007</v>
      </c>
      <c r="E12" s="132">
        <f t="shared" ref="E12:H12" si="2">SUM(E19:E20)</f>
        <v>578478.07000000007</v>
      </c>
      <c r="F12" s="133">
        <f t="shared" si="2"/>
        <v>578478.07000000007</v>
      </c>
      <c r="G12" s="16">
        <f t="shared" si="2"/>
        <v>578478.07000000007</v>
      </c>
      <c r="H12" s="71">
        <f t="shared" si="2"/>
        <v>578478.07000000007</v>
      </c>
      <c r="I12" s="195">
        <f>+I19+I20</f>
        <v>578478.07000000007</v>
      </c>
      <c r="J12" s="188">
        <f t="shared" ref="J12:K12" si="3">+J19+J20</f>
        <v>578478.07000000007</v>
      </c>
      <c r="K12" s="97">
        <f t="shared" si="3"/>
        <v>578478.07000000007</v>
      </c>
      <c r="L12" s="98"/>
    </row>
    <row r="13" spans="1:34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4" x14ac:dyDescent="0.25">
      <c r="A14" s="62" t="s">
        <v>111</v>
      </c>
      <c r="C14" s="122"/>
      <c r="D14" s="18"/>
      <c r="E14" s="18"/>
      <c r="F14" s="18"/>
      <c r="G14" s="114"/>
      <c r="H14" s="18"/>
      <c r="I14" s="196"/>
      <c r="J14" s="44"/>
      <c r="K14" s="44"/>
      <c r="L14" s="42"/>
      <c r="M14" s="3" t="s">
        <v>93</v>
      </c>
      <c r="N14" s="53"/>
    </row>
    <row r="15" spans="1:34" x14ac:dyDescent="0.25">
      <c r="A15" s="62" t="s">
        <v>29</v>
      </c>
      <c r="C15" s="120">
        <v>-493415.73480000003</v>
      </c>
      <c r="D15" s="159">
        <f>ROUND('[3]KCPL-MO Revenue Analysis'!M165,2)</f>
        <v>116054.81</v>
      </c>
      <c r="E15" s="159">
        <f>ROUND('[3]KCPL-MO Revenue Analysis'!N165,2)</f>
        <v>149353.24</v>
      </c>
      <c r="F15" s="159">
        <f>ROUND('[4]KCPL-MO Revenue Analysis'!C211,2)</f>
        <v>207453.45</v>
      </c>
      <c r="G15" s="219">
        <f>ROUND('[4]KCPL-MO Revenue Analysis'!D211,2)</f>
        <v>188758.89</v>
      </c>
      <c r="H15" s="144">
        <f>ROUND('[4]KCPL-MO Revenue Analysis'!E211,2)</f>
        <v>171442.53</v>
      </c>
      <c r="I15" s="197">
        <f>ROUND('[4]KCPL-MO Revenue Analysis'!F211,2)</f>
        <v>152701.71</v>
      </c>
      <c r="J15" s="146">
        <f>'PCR Cycle 1'!J21*$M15</f>
        <v>125502.01125</v>
      </c>
      <c r="K15" s="55">
        <f>'PCR Cycle 1'!K21*$M15</f>
        <v>159363.18925</v>
      </c>
      <c r="L15" s="77">
        <f>'PCR Cycle 1'!L21*$M15</f>
        <v>233713.29955</v>
      </c>
      <c r="M15" s="88">
        <v>8.4999999999999995E-4</v>
      </c>
      <c r="N15" s="4"/>
    </row>
    <row r="16" spans="1:34" x14ac:dyDescent="0.25">
      <c r="A16" s="62" t="s">
        <v>30</v>
      </c>
      <c r="C16" s="120">
        <v>-1105925.2969086019</v>
      </c>
      <c r="D16" s="159">
        <f>ROUND('[3]KCPL-MO Revenue Analysis'!M166,2)</f>
        <v>329633.17</v>
      </c>
      <c r="E16" s="159">
        <f>ROUND('[3]KCPL-MO Revenue Analysis'!N166,2)</f>
        <v>354472.94</v>
      </c>
      <c r="F16" s="159">
        <f>ROUND('[4]KCPL-MO Revenue Analysis'!C212,2)</f>
        <v>390490.39</v>
      </c>
      <c r="G16" s="219">
        <f>ROUND('[4]KCPL-MO Revenue Analysis'!D212,2)</f>
        <v>388311.2</v>
      </c>
      <c r="H16" s="144">
        <f>ROUND('[4]KCPL-MO Revenue Analysis'!E212,2)</f>
        <v>389363.41</v>
      </c>
      <c r="I16" s="197">
        <f>ROUND('[4]KCPL-MO Revenue Analysis'!F212,2)</f>
        <v>412504.72</v>
      </c>
      <c r="J16" s="146">
        <f>'PCR Cycle 1'!J22*$M16</f>
        <v>398125.58724000002</v>
      </c>
      <c r="K16" s="55">
        <f>'PCR Cycle 1'!K22*$M16</f>
        <v>439049.83824000001</v>
      </c>
      <c r="L16" s="77">
        <f>'PCR Cycle 1'!L22*$M16</f>
        <v>484568.8002</v>
      </c>
      <c r="M16" s="88">
        <v>1.08E-3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8"/>
      <c r="J17" s="72"/>
      <c r="K17" s="72"/>
      <c r="L17" s="13"/>
      <c r="N17" s="4"/>
    </row>
    <row r="18" spans="1:14" x14ac:dyDescent="0.25">
      <c r="A18" s="62" t="s">
        <v>113</v>
      </c>
      <c r="C18" s="50"/>
      <c r="D18" s="51"/>
      <c r="E18" s="51"/>
      <c r="F18" s="51"/>
      <c r="G18" s="50"/>
      <c r="H18" s="51"/>
      <c r="I18" s="201"/>
      <c r="J18" s="68"/>
      <c r="K18" s="68"/>
      <c r="L18" s="52"/>
    </row>
    <row r="19" spans="1:14" x14ac:dyDescent="0.25">
      <c r="A19" s="62" t="s">
        <v>29</v>
      </c>
      <c r="C19" s="120">
        <v>-342153.24</v>
      </c>
      <c r="D19" s="132">
        <f>ROUND(+'[9]PI Annuity Calc'!$G$13,2)</f>
        <v>171076.62</v>
      </c>
      <c r="E19" s="132">
        <f>ROUND(+'[9]PI Annuity Calc'!$G$13,2)</f>
        <v>171076.62</v>
      </c>
      <c r="F19" s="133">
        <f>ROUND(+'[9]PI Annuity Calc'!$G$13,2)</f>
        <v>171076.62</v>
      </c>
      <c r="G19" s="16">
        <f>ROUND(+'[9]PI Annuity Calc'!$G$13,2)</f>
        <v>171076.62</v>
      </c>
      <c r="H19" s="71">
        <f>ROUND(+'[9]PI Annuity Calc'!$G$13,2)</f>
        <v>171076.62</v>
      </c>
      <c r="I19" s="195">
        <f>ROUND(+'[9]PI Annuity Calc'!$G$13,2)</f>
        <v>171076.62</v>
      </c>
      <c r="J19" s="190">
        <f>ROUND(+'[9]PI Annuity Calc'!$G$13,2)</f>
        <v>171076.62</v>
      </c>
      <c r="K19" s="167">
        <f>ROUND(+'[9]PI Annuity Calc'!$G$13,2)</f>
        <v>171076.62</v>
      </c>
      <c r="L19" s="98"/>
    </row>
    <row r="20" spans="1:14" x14ac:dyDescent="0.25">
      <c r="A20" s="62" t="s">
        <v>30</v>
      </c>
      <c r="C20" s="120">
        <v>-814802.9</v>
      </c>
      <c r="D20" s="132">
        <f>ROUND('[9]PI Annuity Calc'!$H$13,2)</f>
        <v>407401.45</v>
      </c>
      <c r="E20" s="132">
        <f>ROUND('[9]PI Annuity Calc'!$H$13,2)</f>
        <v>407401.45</v>
      </c>
      <c r="F20" s="133">
        <f>ROUND('[9]PI Annuity Calc'!$H$13,2)</f>
        <v>407401.45</v>
      </c>
      <c r="G20" s="16">
        <f>ROUND('[9]PI Annuity Calc'!$H$13,2)</f>
        <v>407401.45</v>
      </c>
      <c r="H20" s="71">
        <f>ROUND('[9]PI Annuity Calc'!$H$13,2)</f>
        <v>407401.45</v>
      </c>
      <c r="I20" s="195">
        <f>ROUND('[9]PI Annuity Calc'!$H$13,2)</f>
        <v>407401.45</v>
      </c>
      <c r="J20" s="190">
        <f>ROUND('[9]PI Annuity Calc'!$H$13,2)</f>
        <v>407401.45</v>
      </c>
      <c r="K20" s="167">
        <f>ROUND('[9]PI Annuity Calc'!$H$13,2)</f>
        <v>407401.45</v>
      </c>
      <c r="L20" s="98"/>
      <c r="N20" s="63"/>
    </row>
    <row r="21" spans="1:14" x14ac:dyDescent="0.25">
      <c r="C21" s="122"/>
      <c r="D21" s="18"/>
      <c r="E21" s="18"/>
      <c r="F21" s="18"/>
      <c r="G21" s="114"/>
      <c r="H21" s="18"/>
      <c r="I21" s="196"/>
      <c r="J21" s="72"/>
      <c r="K21" s="72"/>
      <c r="L21" s="13"/>
    </row>
    <row r="22" spans="1:14" ht="15.75" thickBot="1" x14ac:dyDescent="0.3">
      <c r="A22" s="3" t="s">
        <v>16</v>
      </c>
      <c r="B22" s="3"/>
      <c r="C22" s="126">
        <v>-2595.71</v>
      </c>
      <c r="D22" s="159">
        <v>1274.76</v>
      </c>
      <c r="E22" s="159">
        <v>1618.25</v>
      </c>
      <c r="F22" s="160">
        <v>1727.69</v>
      </c>
      <c r="G22" s="39">
        <v>1734.59</v>
      </c>
      <c r="H22" s="145">
        <v>1885.17</v>
      </c>
      <c r="I22" s="202">
        <v>1989.8200000000002</v>
      </c>
      <c r="J22" s="191">
        <v>2084.34</v>
      </c>
      <c r="K22" s="169">
        <v>2135.59</v>
      </c>
      <c r="L22" s="101"/>
    </row>
    <row r="23" spans="1:14" x14ac:dyDescent="0.25">
      <c r="C23" s="80"/>
      <c r="D23" s="174"/>
      <c r="E23" s="174"/>
      <c r="F23" s="175"/>
      <c r="G23" s="80"/>
      <c r="H23" s="47"/>
      <c r="I23" s="203"/>
      <c r="J23" s="48"/>
      <c r="K23" s="48"/>
      <c r="L23" s="76"/>
    </row>
    <row r="24" spans="1:14" x14ac:dyDescent="0.25">
      <c r="A24" s="62" t="s">
        <v>68</v>
      </c>
      <c r="C24" s="81"/>
      <c r="D24" s="175"/>
      <c r="E24" s="175"/>
      <c r="F24" s="175"/>
      <c r="G24" s="81"/>
      <c r="H24" s="49"/>
      <c r="I24" s="204"/>
      <c r="J24" s="48"/>
      <c r="K24" s="48"/>
      <c r="L24" s="76"/>
    </row>
    <row r="25" spans="1:14" x14ac:dyDescent="0.25">
      <c r="A25" s="62" t="s">
        <v>29</v>
      </c>
      <c r="C25" s="123">
        <f t="shared" ref="C25:L25" si="4">C19-C15</f>
        <v>151262.49480000004</v>
      </c>
      <c r="D25" s="55">
        <f t="shared" si="4"/>
        <v>55021.81</v>
      </c>
      <c r="E25" s="55">
        <f t="shared" si="4"/>
        <v>21723.380000000005</v>
      </c>
      <c r="F25" s="131">
        <f t="shared" si="4"/>
        <v>-36376.830000000016</v>
      </c>
      <c r="G25" s="54">
        <f t="shared" si="4"/>
        <v>-17682.270000000019</v>
      </c>
      <c r="H25" s="55">
        <f t="shared" si="4"/>
        <v>-365.91000000000349</v>
      </c>
      <c r="I25" s="77">
        <f t="shared" si="4"/>
        <v>18374.910000000003</v>
      </c>
      <c r="J25" s="146">
        <f t="shared" si="4"/>
        <v>45574.608749999999</v>
      </c>
      <c r="K25" s="55">
        <f t="shared" si="4"/>
        <v>11713.43075</v>
      </c>
      <c r="L25" s="77">
        <f t="shared" si="4"/>
        <v>-233713.29955</v>
      </c>
    </row>
    <row r="26" spans="1:14" x14ac:dyDescent="0.25">
      <c r="A26" s="62" t="s">
        <v>30</v>
      </c>
      <c r="C26" s="123">
        <f t="shared" ref="C26:L26" si="5">C20-C16</f>
        <v>291122.39690860186</v>
      </c>
      <c r="D26" s="55">
        <f t="shared" si="5"/>
        <v>77768.280000000028</v>
      </c>
      <c r="E26" s="55">
        <f t="shared" si="5"/>
        <v>52928.510000000009</v>
      </c>
      <c r="F26" s="131">
        <f t="shared" si="5"/>
        <v>16911.059999999998</v>
      </c>
      <c r="G26" s="54">
        <f t="shared" si="5"/>
        <v>19090.25</v>
      </c>
      <c r="H26" s="55">
        <f t="shared" si="5"/>
        <v>18038.040000000037</v>
      </c>
      <c r="I26" s="77">
        <f t="shared" si="5"/>
        <v>-5103.2699999999604</v>
      </c>
      <c r="J26" s="146">
        <f t="shared" si="5"/>
        <v>9275.8627599999891</v>
      </c>
      <c r="K26" s="55">
        <f t="shared" si="5"/>
        <v>-31648.38824</v>
      </c>
      <c r="L26" s="77">
        <f t="shared" si="5"/>
        <v>-484568.8002</v>
      </c>
    </row>
    <row r="27" spans="1:14" x14ac:dyDescent="0.25">
      <c r="C27" s="122"/>
      <c r="D27" s="17"/>
      <c r="E27" s="17"/>
      <c r="F27" s="17"/>
      <c r="G27" s="10"/>
      <c r="H27" s="17"/>
      <c r="I27" s="11"/>
      <c r="J27" s="17"/>
      <c r="K27" s="17"/>
      <c r="L27" s="11"/>
    </row>
    <row r="28" spans="1:14" ht="15.75" thickBot="1" x14ac:dyDescent="0.3">
      <c r="A28" s="62" t="s">
        <v>69</v>
      </c>
      <c r="C28" s="122"/>
      <c r="D28" s="17"/>
      <c r="E28" s="17"/>
      <c r="F28" s="17"/>
      <c r="G28" s="10"/>
      <c r="H28" s="17"/>
      <c r="I28" s="11"/>
      <c r="J28" s="17"/>
      <c r="K28" s="17"/>
      <c r="L28" s="11"/>
    </row>
    <row r="29" spans="1:14" x14ac:dyDescent="0.25">
      <c r="A29" s="62" t="s">
        <v>29</v>
      </c>
      <c r="B29" s="139">
        <v>-4448.5348000000185</v>
      </c>
      <c r="C29" s="123">
        <f>B29+C25+B34</f>
        <v>146813.96000000002</v>
      </c>
      <c r="D29" s="55">
        <f t="shared" ref="D29:L30" si="6">C29+D25+C34</f>
        <v>201085.1</v>
      </c>
      <c r="E29" s="55">
        <f t="shared" si="6"/>
        <v>223175.21000000002</v>
      </c>
      <c r="F29" s="131">
        <f t="shared" si="6"/>
        <v>187283.43</v>
      </c>
      <c r="G29" s="54">
        <f t="shared" si="6"/>
        <v>170082.46999999997</v>
      </c>
      <c r="H29" s="55">
        <f t="shared" si="6"/>
        <v>170141.56999999998</v>
      </c>
      <c r="I29" s="77">
        <f t="shared" si="6"/>
        <v>188949.49999999997</v>
      </c>
      <c r="J29" s="146">
        <f t="shared" si="6"/>
        <v>234995.45874999996</v>
      </c>
      <c r="K29" s="55">
        <f t="shared" si="6"/>
        <v>247265.30949999997</v>
      </c>
      <c r="L29" s="77">
        <f t="shared" si="6"/>
        <v>14184.999949999978</v>
      </c>
    </row>
    <row r="30" spans="1:14" ht="15.75" thickBot="1" x14ac:dyDescent="0.3">
      <c r="A30" s="62" t="s">
        <v>30</v>
      </c>
      <c r="B30" s="140">
        <v>101610.12309139827</v>
      </c>
      <c r="C30" s="123">
        <f>B30+C26+B35</f>
        <v>392732.52000000014</v>
      </c>
      <c r="D30" s="55">
        <f t="shared" si="6"/>
        <v>468649.89000000019</v>
      </c>
      <c r="E30" s="55">
        <f t="shared" si="6"/>
        <v>522486.42000000022</v>
      </c>
      <c r="F30" s="131">
        <f t="shared" si="6"/>
        <v>540530.69000000018</v>
      </c>
      <c r="G30" s="54">
        <f t="shared" si="6"/>
        <v>560867.32000000018</v>
      </c>
      <c r="H30" s="55">
        <f t="shared" si="6"/>
        <v>580214.94000000018</v>
      </c>
      <c r="I30" s="77">
        <f t="shared" si="6"/>
        <v>576563.83000000019</v>
      </c>
      <c r="J30" s="146">
        <f t="shared" si="6"/>
        <v>587358.16276000021</v>
      </c>
      <c r="K30" s="55">
        <f t="shared" si="6"/>
        <v>557237.69452000025</v>
      </c>
      <c r="L30" s="77">
        <f t="shared" si="6"/>
        <v>74171.49432000026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x14ac:dyDescent="0.25">
      <c r="A32" s="53" t="s">
        <v>112</v>
      </c>
      <c r="B32" s="53"/>
      <c r="C32" s="127"/>
      <c r="D32" s="102">
        <f>+'PCR Cycle 1'!D38</f>
        <v>2.1128200000000001E-3</v>
      </c>
      <c r="E32" s="102">
        <f>+'PCR Cycle 1'!E38</f>
        <v>2.28459E-3</v>
      </c>
      <c r="F32" s="102">
        <f>+'PCR Cycle 1'!F38</f>
        <v>2.3424800000000001E-3</v>
      </c>
      <c r="G32" s="103">
        <f>+'PCR Cycle 1'!G38</f>
        <v>2.37535E-3</v>
      </c>
      <c r="H32" s="102">
        <f>+'PCR Cycle 1'!H38</f>
        <v>2.5423099999999999E-3</v>
      </c>
      <c r="I32" s="115">
        <f>+'PCR Cycle 1'!I38</f>
        <v>2.6220499999999999E-3</v>
      </c>
      <c r="J32" s="102">
        <f>+'PCR Cycle 1'!J38</f>
        <v>2.6220499999999999E-3</v>
      </c>
      <c r="K32" s="102">
        <f>+'PCR Cycle 1'!K38</f>
        <v>2.6220499999999999E-3</v>
      </c>
      <c r="L32" s="104"/>
    </row>
    <row r="33" spans="1:12" x14ac:dyDescent="0.25">
      <c r="A33" s="53" t="s">
        <v>44</v>
      </c>
      <c r="B33" s="53"/>
      <c r="C33" s="129"/>
      <c r="D33" s="102"/>
      <c r="E33" s="102"/>
      <c r="F33" s="102"/>
      <c r="G33" s="103"/>
      <c r="H33" s="102"/>
      <c r="I33" s="104"/>
      <c r="J33" s="102"/>
      <c r="K33" s="102"/>
      <c r="L33" s="104"/>
    </row>
    <row r="34" spans="1:12" x14ac:dyDescent="0.25">
      <c r="A34" s="62" t="s">
        <v>29</v>
      </c>
      <c r="C34" s="123">
        <v>-750.67000000000007</v>
      </c>
      <c r="D34" s="55">
        <f t="shared" ref="D34:L35" si="7">ROUND((C29+C34+D25/2)*D$32,2)</f>
        <v>366.73</v>
      </c>
      <c r="E34" s="55">
        <f t="shared" si="7"/>
        <v>485.05</v>
      </c>
      <c r="F34" s="131">
        <f t="shared" si="7"/>
        <v>481.31</v>
      </c>
      <c r="G34" s="54">
        <f t="shared" si="7"/>
        <v>425.01</v>
      </c>
      <c r="H34" s="146">
        <f t="shared" si="7"/>
        <v>433.02</v>
      </c>
      <c r="I34" s="65">
        <f t="shared" si="7"/>
        <v>471.35</v>
      </c>
      <c r="J34" s="192">
        <f t="shared" si="7"/>
        <v>556.41999999999996</v>
      </c>
      <c r="K34" s="131">
        <f t="shared" si="7"/>
        <v>632.99</v>
      </c>
      <c r="L34" s="77">
        <f t="shared" si="7"/>
        <v>0</v>
      </c>
    </row>
    <row r="35" spans="1:12" ht="15.75" thickBot="1" x14ac:dyDescent="0.3">
      <c r="A35" s="62" t="s">
        <v>30</v>
      </c>
      <c r="C35" s="123">
        <v>-1850.9099999999999</v>
      </c>
      <c r="D35" s="55">
        <f t="shared" si="7"/>
        <v>908.02</v>
      </c>
      <c r="E35" s="55">
        <f t="shared" si="7"/>
        <v>1133.21</v>
      </c>
      <c r="F35" s="131">
        <f t="shared" si="7"/>
        <v>1246.3800000000001</v>
      </c>
      <c r="G35" s="54">
        <f t="shared" si="7"/>
        <v>1309.58</v>
      </c>
      <c r="H35" s="146">
        <f t="shared" si="7"/>
        <v>1452.16</v>
      </c>
      <c r="I35" s="65">
        <f t="shared" si="7"/>
        <v>1518.47</v>
      </c>
      <c r="J35" s="192">
        <f t="shared" si="7"/>
        <v>1527.92</v>
      </c>
      <c r="K35" s="131">
        <f t="shared" si="7"/>
        <v>1502.6</v>
      </c>
      <c r="L35" s="77">
        <f t="shared" si="7"/>
        <v>0</v>
      </c>
    </row>
    <row r="36" spans="1:12" ht="16.5" thickTop="1" thickBot="1" x14ac:dyDescent="0.3">
      <c r="A36" s="70" t="s">
        <v>25</v>
      </c>
      <c r="B36" s="70"/>
      <c r="C36" s="130">
        <v>0</v>
      </c>
      <c r="D36" s="56">
        <f t="shared" ref="D36:I36" si="8">SUM(D34:D35)+SUM(D29:D30)-D39</f>
        <v>0</v>
      </c>
      <c r="E36" s="56">
        <f t="shared" si="8"/>
        <v>0</v>
      </c>
      <c r="F36" s="66">
        <f t="shared" ref="F36:H36" si="9">SUM(F34:F35)+SUM(F29:F30)-F39</f>
        <v>0</v>
      </c>
      <c r="G36" s="172">
        <f t="shared" si="9"/>
        <v>0</v>
      </c>
      <c r="H36" s="66">
        <f t="shared" si="9"/>
        <v>0</v>
      </c>
      <c r="I36" s="78">
        <f t="shared" si="8"/>
        <v>0</v>
      </c>
      <c r="J36" s="193">
        <f t="shared" ref="J36:L36" si="10">SUM(J34:J35)+SUM(J29:J30)-J39</f>
        <v>0</v>
      </c>
      <c r="K36" s="66">
        <f t="shared" si="10"/>
        <v>0</v>
      </c>
      <c r="L36" s="78">
        <f t="shared" si="10"/>
        <v>-5.9662852436304092E-10</v>
      </c>
    </row>
    <row r="37" spans="1:12" ht="16.5" thickTop="1" thickBot="1" x14ac:dyDescent="0.3">
      <c r="A37" s="70" t="s">
        <v>26</v>
      </c>
      <c r="B37" s="70"/>
      <c r="C37" s="130">
        <v>0</v>
      </c>
      <c r="D37" s="56">
        <f t="shared" ref="D37:I37" si="11">SUM(D34:D35)-D22</f>
        <v>-9.9999999999909051E-3</v>
      </c>
      <c r="E37" s="56">
        <f t="shared" si="11"/>
        <v>9.9999999999909051E-3</v>
      </c>
      <c r="F37" s="66">
        <f t="shared" ref="F37:H37" si="12">SUM(F34:F35)-F22</f>
        <v>0</v>
      </c>
      <c r="G37" s="172">
        <f t="shared" si="12"/>
        <v>0</v>
      </c>
      <c r="H37" s="66">
        <f t="shared" si="12"/>
        <v>9.9999999999909051E-3</v>
      </c>
      <c r="I37" s="78">
        <f t="shared" si="11"/>
        <v>0</v>
      </c>
      <c r="J37" s="194">
        <f t="shared" ref="J37:L37" si="13">SUM(J34:J35)-J22</f>
        <v>0</v>
      </c>
      <c r="K37" s="56">
        <f t="shared" si="13"/>
        <v>0</v>
      </c>
      <c r="L37" s="56">
        <f t="shared" si="13"/>
        <v>0</v>
      </c>
    </row>
    <row r="38" spans="1:12" ht="16.5" thickTop="1" thickBot="1" x14ac:dyDescent="0.3">
      <c r="C38" s="122"/>
      <c r="D38" s="17"/>
      <c r="E38" s="17"/>
      <c r="F38" s="17"/>
      <c r="G38" s="10"/>
      <c r="H38" s="17"/>
      <c r="I38" s="11"/>
      <c r="J38" s="17"/>
      <c r="K38" s="17"/>
      <c r="L38" s="11"/>
    </row>
    <row r="39" spans="1:12" ht="15.75" thickBot="1" x14ac:dyDescent="0.3">
      <c r="A39" s="62" t="s">
        <v>42</v>
      </c>
      <c r="B39" s="142">
        <v>97161.588291398948</v>
      </c>
      <c r="C39" s="123">
        <f t="shared" ref="C39:L39" si="14">(C12-SUM(C15:C16))+SUM(C34:C35)+B39</f>
        <v>536944.90000000061</v>
      </c>
      <c r="D39" s="55">
        <f t="shared" si="14"/>
        <v>671009.74000000069</v>
      </c>
      <c r="E39" s="55">
        <f t="shared" si="14"/>
        <v>747279.89000000071</v>
      </c>
      <c r="F39" s="131">
        <f t="shared" si="14"/>
        <v>729541.81000000064</v>
      </c>
      <c r="G39" s="54">
        <f t="shared" si="14"/>
        <v>732684.38000000059</v>
      </c>
      <c r="H39" s="55">
        <f t="shared" si="14"/>
        <v>752241.69000000076</v>
      </c>
      <c r="I39" s="77">
        <f t="shared" si="14"/>
        <v>767503.15000000084</v>
      </c>
      <c r="J39" s="192">
        <f t="shared" si="14"/>
        <v>824437.96151000087</v>
      </c>
      <c r="K39" s="131">
        <f t="shared" si="14"/>
        <v>806638.59402000089</v>
      </c>
      <c r="L39" s="77">
        <f t="shared" si="14"/>
        <v>88356.49427000084</v>
      </c>
    </row>
    <row r="40" spans="1:12" x14ac:dyDescent="0.25">
      <c r="A40" s="62" t="s">
        <v>14</v>
      </c>
      <c r="C40" s="143"/>
      <c r="D40" s="17"/>
      <c r="E40" s="17"/>
      <c r="F40" s="17"/>
      <c r="G40" s="10"/>
      <c r="H40" s="17"/>
      <c r="I40" s="11"/>
      <c r="J40" s="17"/>
      <c r="K40" s="17"/>
      <c r="L40" s="11"/>
    </row>
    <row r="41" spans="1:12" ht="15.75" thickBot="1" x14ac:dyDescent="0.3">
      <c r="A41" s="51"/>
      <c r="B41" s="51"/>
      <c r="C41" s="173"/>
      <c r="D41" s="58"/>
      <c r="E41" s="58"/>
      <c r="F41" s="58"/>
      <c r="G41" s="57"/>
      <c r="H41" s="58"/>
      <c r="I41" s="59"/>
      <c r="J41" s="58"/>
      <c r="K41" s="58"/>
      <c r="L41" s="59"/>
    </row>
    <row r="43" spans="1:12" x14ac:dyDescent="0.25">
      <c r="A43" s="85" t="s">
        <v>13</v>
      </c>
      <c r="B43" s="85"/>
      <c r="C43" s="85"/>
    </row>
    <row r="44" spans="1:12" ht="31.5" customHeight="1" x14ac:dyDescent="0.25">
      <c r="A44" s="233" t="s">
        <v>120</v>
      </c>
      <c r="B44" s="233"/>
      <c r="C44" s="233"/>
      <c r="D44" s="233"/>
      <c r="E44" s="233"/>
      <c r="F44" s="233"/>
      <c r="G44" s="233"/>
      <c r="H44" s="233"/>
      <c r="I44" s="233"/>
      <c r="J44" s="216"/>
      <c r="K44" s="216"/>
      <c r="L44" s="216"/>
    </row>
    <row r="45" spans="1:12" ht="45" customHeight="1" x14ac:dyDescent="0.25">
      <c r="A45" s="233" t="s">
        <v>133</v>
      </c>
      <c r="B45" s="233"/>
      <c r="C45" s="233"/>
      <c r="D45" s="233"/>
      <c r="E45" s="233"/>
      <c r="F45" s="233"/>
      <c r="G45" s="233"/>
      <c r="H45" s="233"/>
      <c r="I45" s="233"/>
      <c r="J45" s="216"/>
      <c r="K45" s="216"/>
    </row>
    <row r="46" spans="1:12" ht="18.75" customHeight="1" x14ac:dyDescent="0.25">
      <c r="A46" s="233" t="s">
        <v>121</v>
      </c>
      <c r="B46" s="233"/>
      <c r="C46" s="233"/>
      <c r="D46" s="233"/>
      <c r="E46" s="233"/>
      <c r="F46" s="233"/>
      <c r="G46" s="233"/>
      <c r="H46" s="233"/>
      <c r="I46" s="233"/>
      <c r="J46" s="216"/>
      <c r="K46" s="216"/>
      <c r="L46" s="216"/>
    </row>
    <row r="47" spans="1:12" x14ac:dyDescent="0.25">
      <c r="A47" s="79" t="s">
        <v>91</v>
      </c>
      <c r="B47" s="79"/>
      <c r="C47" s="79"/>
      <c r="D47" s="53"/>
      <c r="E47" s="53"/>
      <c r="F47" s="53"/>
      <c r="G47" s="53"/>
      <c r="H47" s="53"/>
      <c r="I47" s="53"/>
    </row>
    <row r="48" spans="1:12" x14ac:dyDescent="0.25">
      <c r="A48" s="79" t="s">
        <v>129</v>
      </c>
      <c r="B48" s="79"/>
      <c r="C48" s="79"/>
      <c r="D48" s="53"/>
      <c r="E48" s="53"/>
      <c r="F48" s="53"/>
      <c r="G48" s="53"/>
      <c r="H48" s="53"/>
      <c r="I48" s="53"/>
    </row>
    <row r="49" spans="1:9" x14ac:dyDescent="0.25">
      <c r="A49" s="79" t="s">
        <v>122</v>
      </c>
      <c r="B49" s="79"/>
      <c r="C49" s="79"/>
      <c r="D49" s="53"/>
      <c r="E49" s="53"/>
      <c r="F49" s="53"/>
      <c r="G49" s="53"/>
      <c r="H49" s="53"/>
      <c r="I49" s="53"/>
    </row>
    <row r="50" spans="1:9" x14ac:dyDescent="0.25">
      <c r="A50" s="3"/>
      <c r="B50" s="3"/>
      <c r="C50" s="3"/>
    </row>
  </sheetData>
  <mergeCells count="6">
    <mergeCell ref="A46:I46"/>
    <mergeCell ref="A45:I45"/>
    <mergeCell ref="D10:F10"/>
    <mergeCell ref="G10:I10"/>
    <mergeCell ref="J10:L10"/>
    <mergeCell ref="A44:I44"/>
  </mergeCells>
  <pageMargins left="0.2" right="0.2" top="0.75" bottom="0.25" header="0.3" footer="0.3"/>
  <pageSetup scale="62" orientation="landscape" r:id="rId1"/>
  <headerFooter>
    <oddHeader>&amp;C&amp;F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EDB18C5607042858DD9C0A8275B18" ma:contentTypeVersion="" ma:contentTypeDescription="Create a new document." ma:contentTypeScope="" ma:versionID="a8e216e06ef6f22d6d5d250416d9321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E680F6-EEBC-41A4-AEB5-0B773B5EACA2}">
  <ds:schemaRefs>
    <ds:schemaRef ds:uri="http://www.w3.org/XML/1998/namespace"/>
    <ds:schemaRef ds:uri="http://purl.org/dc/elements/1.1/"/>
    <ds:schemaRef ds:uri="c85253b9-0a55-49a1-98ad-b5b6252d7079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180A2E-CC86-4DBE-9C90-336CAE88B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tariff tables</vt:lpstr>
      <vt:lpstr>PPC</vt:lpstr>
      <vt:lpstr>PCR Cycle 1</vt:lpstr>
      <vt:lpstr>PCR Cycle 2</vt:lpstr>
      <vt:lpstr>PTD</vt:lpstr>
      <vt:lpstr>TDR Cycle 1</vt:lpstr>
      <vt:lpstr>TDR Cycle 2</vt:lpstr>
      <vt:lpstr>EO</vt:lpstr>
      <vt:lpstr>EOR</vt:lpstr>
      <vt:lpstr>OA</vt:lpstr>
      <vt:lpstr>OAR</vt:lpstr>
      <vt:lpstr>EO!Print_Area</vt:lpstr>
      <vt:lpstr>OAR!Print_Area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Jordan Shelley</cp:lastModifiedBy>
  <cp:lastPrinted>2018-05-31T15:40:56Z</cp:lastPrinted>
  <dcterms:created xsi:type="dcterms:W3CDTF">2013-08-12T19:20:10Z</dcterms:created>
  <dcterms:modified xsi:type="dcterms:W3CDTF">2018-05-31T15:42:02Z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0x01010060CEDB18C5607042858DD9C0A8275B18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