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caseworks\DavWWWRoot\376\DataRequests\20563\Library\Red lines\"/>
    </mc:Choice>
  </mc:AlternateContent>
  <bookViews>
    <workbookView xWindow="120" yWindow="225" windowWidth="15240" windowHeight="5355"/>
  </bookViews>
  <sheets>
    <sheet name="tariff tables" sheetId="5" r:id="rId1"/>
    <sheet name="PPC" sheetId="4" r:id="rId2"/>
    <sheet name="PCR Cycle 1" sheetId="1" r:id="rId3"/>
    <sheet name="PCR Cycle 2" sheetId="15" r:id="rId4"/>
    <sheet name="PTD" sheetId="12" r:id="rId5"/>
    <sheet name="TDR Cycle 1" sheetId="11" r:id="rId6"/>
    <sheet name="TDR Cycle 2" sheetId="16" r:id="rId7"/>
    <sheet name="EO" sheetId="8" r:id="rId8"/>
    <sheet name="EOR" sheetId="9" r:id="rId9"/>
    <sheet name="OA" sheetId="10" r:id="rId10"/>
    <sheet name="OAR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2">'PCR Cycle 1'!$A$1:$N$55</definedName>
    <definedName name="_xlnm.Print_Area" localSheetId="3">'PCR Cycle 2'!$A$1:$N$55</definedName>
    <definedName name="solver_adj" localSheetId="2" hidden="1">'PCR Cycle 1'!$E$38</definedName>
    <definedName name="solver_adj" localSheetId="3" hidden="1">'PCR Cycle 2'!$E$38</definedName>
    <definedName name="solver_adj" localSheetId="5" hidden="1">'TDR Cycle 1'!#REF!</definedName>
    <definedName name="solver_adj" localSheetId="6" hidden="1">'TDR Cycle 2'!#REF!</definedName>
    <definedName name="solver_cvg" localSheetId="2" hidden="1">0.0001</definedName>
    <definedName name="solver_cvg" localSheetId="3" hidden="1">0.0001</definedName>
    <definedName name="solver_cvg" localSheetId="5" hidden="1">0.0001</definedName>
    <definedName name="solver_cvg" localSheetId="6" hidden="1">0.0001</definedName>
    <definedName name="solver_drv" localSheetId="2" hidden="1">1</definedName>
    <definedName name="solver_drv" localSheetId="3" hidden="1">1</definedName>
    <definedName name="solver_drv" localSheetId="5" hidden="1">2</definedName>
    <definedName name="solver_drv" localSheetId="6" hidden="1">2</definedName>
    <definedName name="solver_eng" localSheetId="2" hidden="1">1</definedName>
    <definedName name="solver_eng" localSheetId="3" hidden="1">1</definedName>
    <definedName name="solver_eng" localSheetId="5" hidden="1">1</definedName>
    <definedName name="solver_eng" localSheetId="6" hidden="1">1</definedName>
    <definedName name="solver_est" localSheetId="2" hidden="1">1</definedName>
    <definedName name="solver_est" localSheetId="3" hidden="1">1</definedName>
    <definedName name="solver_est" localSheetId="5" hidden="1">1</definedName>
    <definedName name="solver_est" localSheetId="6" hidden="1">1</definedName>
    <definedName name="solver_itr" localSheetId="2" hidden="1">2147483647</definedName>
    <definedName name="solver_itr" localSheetId="3" hidden="1">2147483647</definedName>
    <definedName name="solver_itr" localSheetId="5" hidden="1">2147483647</definedName>
    <definedName name="solver_itr" localSheetId="6" hidden="1">2147483647</definedName>
    <definedName name="solver_mip" localSheetId="2" hidden="1">2147483647</definedName>
    <definedName name="solver_mip" localSheetId="3" hidden="1">2147483647</definedName>
    <definedName name="solver_mip" localSheetId="5" hidden="1">2147483647</definedName>
    <definedName name="solver_mip" localSheetId="6" hidden="1">2147483647</definedName>
    <definedName name="solver_mni" localSheetId="2" hidden="1">30</definedName>
    <definedName name="solver_mni" localSheetId="3" hidden="1">30</definedName>
    <definedName name="solver_mni" localSheetId="5" hidden="1">30</definedName>
    <definedName name="solver_mni" localSheetId="6" hidden="1">30</definedName>
    <definedName name="solver_mrt" localSheetId="2" hidden="1">0.075</definedName>
    <definedName name="solver_mrt" localSheetId="3" hidden="1">0.075</definedName>
    <definedName name="solver_mrt" localSheetId="5" hidden="1">0.075</definedName>
    <definedName name="solver_mrt" localSheetId="6" hidden="1">0.075</definedName>
    <definedName name="solver_msl" localSheetId="2" hidden="1">2</definedName>
    <definedName name="solver_msl" localSheetId="3" hidden="1">2</definedName>
    <definedName name="solver_msl" localSheetId="5" hidden="1">2</definedName>
    <definedName name="solver_msl" localSheetId="6" hidden="1">2</definedName>
    <definedName name="solver_neg" localSheetId="2" hidden="1">1</definedName>
    <definedName name="solver_neg" localSheetId="3" hidden="1">1</definedName>
    <definedName name="solver_neg" localSheetId="5" hidden="1">1</definedName>
    <definedName name="solver_neg" localSheetId="6" hidden="1">1</definedName>
    <definedName name="solver_nod" localSheetId="2" hidden="1">2147483647</definedName>
    <definedName name="solver_nod" localSheetId="3" hidden="1">2147483647</definedName>
    <definedName name="solver_nod" localSheetId="5" hidden="1">2147483647</definedName>
    <definedName name="solver_nod" localSheetId="6" hidden="1">2147483647</definedName>
    <definedName name="solver_num" localSheetId="2" hidden="1">0</definedName>
    <definedName name="solver_num" localSheetId="3" hidden="1">0</definedName>
    <definedName name="solver_num" localSheetId="5" hidden="1">0</definedName>
    <definedName name="solver_num" localSheetId="6" hidden="1">0</definedName>
    <definedName name="solver_nwt" localSheetId="2" hidden="1">1</definedName>
    <definedName name="solver_nwt" localSheetId="3" hidden="1">1</definedName>
    <definedName name="solver_nwt" localSheetId="5" hidden="1">1</definedName>
    <definedName name="solver_nwt" localSheetId="6" hidden="1">1</definedName>
    <definedName name="solver_opt" localSheetId="2" hidden="1">'PCR Cycle 1'!$E$43</definedName>
    <definedName name="solver_opt" localSheetId="3" hidden="1">'PCR Cycle 2'!$E$43</definedName>
    <definedName name="solver_opt" localSheetId="5" hidden="1">'TDR Cycle 1'!#REF!</definedName>
    <definedName name="solver_opt" localSheetId="6" hidden="1">'TDR Cycle 2'!#REF!</definedName>
    <definedName name="solver_pre" localSheetId="2" hidden="1">0.000001</definedName>
    <definedName name="solver_pre" localSheetId="3" hidden="1">0.000001</definedName>
    <definedName name="solver_pre" localSheetId="5" hidden="1">0.000001</definedName>
    <definedName name="solver_pre" localSheetId="6" hidden="1">0.000001</definedName>
    <definedName name="solver_rbv" localSheetId="2" hidden="1">1</definedName>
    <definedName name="solver_rbv" localSheetId="3" hidden="1">1</definedName>
    <definedName name="solver_rbv" localSheetId="5" hidden="1">2</definedName>
    <definedName name="solver_rbv" localSheetId="6" hidden="1">2</definedName>
    <definedName name="solver_rlx" localSheetId="2" hidden="1">2</definedName>
    <definedName name="solver_rlx" localSheetId="3" hidden="1">2</definedName>
    <definedName name="solver_rlx" localSheetId="5" hidden="1">2</definedName>
    <definedName name="solver_rlx" localSheetId="6" hidden="1">2</definedName>
    <definedName name="solver_rsd" localSheetId="2" hidden="1">0</definedName>
    <definedName name="solver_rsd" localSheetId="3" hidden="1">0</definedName>
    <definedName name="solver_rsd" localSheetId="5" hidden="1">0</definedName>
    <definedName name="solver_rsd" localSheetId="6" hidden="1">0</definedName>
    <definedName name="solver_scl" localSheetId="2" hidden="1">1</definedName>
    <definedName name="solver_scl" localSheetId="3" hidden="1">1</definedName>
    <definedName name="solver_scl" localSheetId="5" hidden="1">2</definedName>
    <definedName name="solver_scl" localSheetId="6" hidden="1">2</definedName>
    <definedName name="solver_sho" localSheetId="2" hidden="1">2</definedName>
    <definedName name="solver_sho" localSheetId="3" hidden="1">2</definedName>
    <definedName name="solver_sho" localSheetId="5" hidden="1">2</definedName>
    <definedName name="solver_sho" localSheetId="6" hidden="1">2</definedName>
    <definedName name="solver_ssz" localSheetId="2" hidden="1">100</definedName>
    <definedName name="solver_ssz" localSheetId="3" hidden="1">100</definedName>
    <definedName name="solver_ssz" localSheetId="5" hidden="1">100</definedName>
    <definedName name="solver_ssz" localSheetId="6" hidden="1">100</definedName>
    <definedName name="solver_tim" localSheetId="2" hidden="1">2147483647</definedName>
    <definedName name="solver_tim" localSheetId="3" hidden="1">2147483647</definedName>
    <definedName name="solver_tim" localSheetId="5" hidden="1">2147483647</definedName>
    <definedName name="solver_tim" localSheetId="6" hidden="1">2147483647</definedName>
    <definedName name="solver_tol" localSheetId="2" hidden="1">0.01</definedName>
    <definedName name="solver_tol" localSheetId="3" hidden="1">0.01</definedName>
    <definedName name="solver_tol" localSheetId="5" hidden="1">0.01</definedName>
    <definedName name="solver_tol" localSheetId="6" hidden="1">0.01</definedName>
    <definedName name="solver_typ" localSheetId="2" hidden="1">3</definedName>
    <definedName name="solver_typ" localSheetId="3" hidden="1">3</definedName>
    <definedName name="solver_typ" localSheetId="5" hidden="1">3</definedName>
    <definedName name="solver_typ" localSheetId="6" hidden="1">3</definedName>
    <definedName name="solver_val" localSheetId="2" hidden="1">0</definedName>
    <definedName name="solver_val" localSheetId="3" hidden="1">0</definedName>
    <definedName name="solver_val" localSheetId="5" hidden="1">23888.44</definedName>
    <definedName name="solver_val" localSheetId="6" hidden="1">23888.44</definedName>
    <definedName name="solver_ver" localSheetId="2" hidden="1">3</definedName>
    <definedName name="solver_ver" localSheetId="3" hidden="1">3</definedName>
    <definedName name="solver_ver" localSheetId="5" hidden="1">3</definedName>
    <definedName name="solver_ver" localSheetId="6" hidden="1">3</definedName>
  </definedNames>
  <calcPr calcId="171027"/>
</workbook>
</file>

<file path=xl/calcChain.xml><?xml version="1.0" encoding="utf-8"?>
<calcChain xmlns="http://schemas.openxmlformats.org/spreadsheetml/2006/main">
  <c r="C10" i="10" l="1"/>
  <c r="K13" i="15" l="1"/>
  <c r="K12" i="15"/>
  <c r="K11" i="15"/>
  <c r="K10" i="15"/>
  <c r="J13" i="15"/>
  <c r="J12" i="15"/>
  <c r="J11" i="15"/>
  <c r="J10" i="15"/>
  <c r="I8" i="4"/>
  <c r="H8" i="4"/>
  <c r="D20" i="16" l="1"/>
  <c r="D19" i="16"/>
  <c r="D23" i="16" l="1"/>
  <c r="E20" i="16" l="1"/>
  <c r="E19" i="16"/>
  <c r="D24" i="16" l="1"/>
  <c r="F20" i="16"/>
  <c r="F23" i="16"/>
  <c r="F19" i="16"/>
  <c r="E23" i="16" l="1"/>
  <c r="E24" i="16"/>
  <c r="G23" i="16"/>
  <c r="G19" i="16"/>
  <c r="G20" i="16"/>
  <c r="H20" i="16" l="1"/>
  <c r="H23" i="16"/>
  <c r="H19" i="16"/>
  <c r="F24" i="16" l="1"/>
  <c r="I23" i="16"/>
  <c r="I19" i="16"/>
  <c r="I20" i="16"/>
  <c r="G24" i="16" l="1"/>
  <c r="H24" i="16" l="1"/>
  <c r="I24" i="16" l="1"/>
  <c r="I16" i="13" l="1"/>
  <c r="H16" i="13"/>
  <c r="G16" i="13"/>
  <c r="F16" i="13"/>
  <c r="E16" i="13"/>
  <c r="I15" i="13"/>
  <c r="H15" i="13"/>
  <c r="G15" i="13"/>
  <c r="F15" i="13"/>
  <c r="E15" i="13"/>
  <c r="D16" i="13"/>
  <c r="D15" i="13"/>
  <c r="G20" i="9"/>
  <c r="F20" i="9"/>
  <c r="E20" i="9"/>
  <c r="D20" i="9"/>
  <c r="G19" i="9"/>
  <c r="F19" i="9"/>
  <c r="E19" i="9"/>
  <c r="D19" i="9"/>
  <c r="I16" i="9" l="1"/>
  <c r="H16" i="9"/>
  <c r="G16" i="9"/>
  <c r="F16" i="9"/>
  <c r="E16" i="9"/>
  <c r="I15" i="9"/>
  <c r="H15" i="9"/>
  <c r="G15" i="9"/>
  <c r="F15" i="9"/>
  <c r="E15" i="9"/>
  <c r="D16" i="9"/>
  <c r="D15" i="9"/>
  <c r="I16" i="16" l="1"/>
  <c r="H16" i="16"/>
  <c r="G16" i="16"/>
  <c r="F16" i="16"/>
  <c r="E16" i="16"/>
  <c r="I15" i="16"/>
  <c r="H15" i="16"/>
  <c r="G15" i="16"/>
  <c r="F15" i="16"/>
  <c r="E15" i="16"/>
  <c r="D16" i="16"/>
  <c r="D15" i="16"/>
  <c r="I26" i="15"/>
  <c r="H26" i="15"/>
  <c r="G26" i="15"/>
  <c r="F26" i="15"/>
  <c r="E26" i="15"/>
  <c r="I25" i="15"/>
  <c r="H25" i="15"/>
  <c r="G25" i="15"/>
  <c r="F25" i="15"/>
  <c r="E25" i="15"/>
  <c r="D26" i="15"/>
  <c r="D25" i="15"/>
  <c r="I22" i="15"/>
  <c r="H22" i="15"/>
  <c r="G22" i="15"/>
  <c r="F22" i="15"/>
  <c r="E22" i="15"/>
  <c r="I21" i="15"/>
  <c r="H21" i="15"/>
  <c r="G21" i="15"/>
  <c r="F21" i="15"/>
  <c r="E21" i="15"/>
  <c r="D22" i="15"/>
  <c r="D21" i="15"/>
  <c r="I13" i="15"/>
  <c r="H13" i="15"/>
  <c r="G13" i="15"/>
  <c r="F13" i="15"/>
  <c r="E13" i="15"/>
  <c r="I12" i="15"/>
  <c r="H12" i="15"/>
  <c r="G12" i="15"/>
  <c r="F12" i="15"/>
  <c r="E12" i="15"/>
  <c r="I11" i="15"/>
  <c r="H11" i="15"/>
  <c r="G11" i="15"/>
  <c r="F11" i="15"/>
  <c r="E11" i="15"/>
  <c r="I10" i="15"/>
  <c r="H10" i="15"/>
  <c r="G10" i="15"/>
  <c r="F10" i="15"/>
  <c r="E10" i="15"/>
  <c r="D13" i="15"/>
  <c r="D12" i="15"/>
  <c r="D11" i="15"/>
  <c r="D10" i="15"/>
  <c r="I16" i="11" l="1"/>
  <c r="H16" i="11"/>
  <c r="G16" i="11"/>
  <c r="F16" i="11"/>
  <c r="E16" i="11"/>
  <c r="I15" i="11"/>
  <c r="H15" i="11"/>
  <c r="G15" i="11"/>
  <c r="F15" i="11"/>
  <c r="E15" i="11"/>
  <c r="D16" i="11"/>
  <c r="D15" i="11"/>
  <c r="B6" i="4"/>
  <c r="B5" i="4"/>
  <c r="I38" i="1" l="1"/>
  <c r="H38" i="1"/>
  <c r="G38" i="1"/>
  <c r="F38" i="1"/>
  <c r="E38" i="1"/>
  <c r="D38" i="1"/>
  <c r="I26" i="1" l="1"/>
  <c r="H26" i="1"/>
  <c r="G26" i="1"/>
  <c r="F26" i="1"/>
  <c r="E26" i="1"/>
  <c r="I25" i="1"/>
  <c r="H25" i="1"/>
  <c r="G25" i="1"/>
  <c r="F25" i="1"/>
  <c r="E25" i="1"/>
  <c r="D26" i="1"/>
  <c r="D25" i="1"/>
  <c r="L22" i="1"/>
  <c r="K22" i="1"/>
  <c r="L21" i="1"/>
  <c r="K21" i="1"/>
  <c r="J22" i="1"/>
  <c r="J21" i="1"/>
  <c r="I22" i="1"/>
  <c r="H22" i="1"/>
  <c r="G22" i="1"/>
  <c r="F22" i="1"/>
  <c r="E22" i="1"/>
  <c r="I21" i="1"/>
  <c r="H21" i="1"/>
  <c r="G21" i="1"/>
  <c r="F21" i="1"/>
  <c r="E21" i="1"/>
  <c r="D22" i="1"/>
  <c r="D21" i="1"/>
  <c r="E9" i="1" l="1"/>
  <c r="F9" i="1" s="1"/>
  <c r="G9" i="1" s="1"/>
  <c r="H9" i="1" s="1"/>
  <c r="I9" i="1" s="1"/>
  <c r="C39" i="13" l="1"/>
  <c r="F26" i="13"/>
  <c r="E26" i="13"/>
  <c r="D26" i="13"/>
  <c r="C26" i="13"/>
  <c r="C30" i="13" s="1"/>
  <c r="F25" i="13"/>
  <c r="E25" i="13"/>
  <c r="D25" i="13"/>
  <c r="C25" i="13"/>
  <c r="C29" i="13" s="1"/>
  <c r="H26" i="13"/>
  <c r="J12" i="13"/>
  <c r="I12" i="13"/>
  <c r="I25" i="13"/>
  <c r="H25" i="13"/>
  <c r="G25" i="13"/>
  <c r="K12" i="13"/>
  <c r="G12" i="13"/>
  <c r="F12" i="13"/>
  <c r="E12" i="13"/>
  <c r="D12" i="13"/>
  <c r="D11" i="13"/>
  <c r="E11" i="13" s="1"/>
  <c r="F11" i="13" s="1"/>
  <c r="G11" i="13" s="1"/>
  <c r="H11" i="13" s="1"/>
  <c r="C10" i="13"/>
  <c r="B10" i="13"/>
  <c r="G5" i="13"/>
  <c r="G4" i="13"/>
  <c r="G6" i="13" s="1"/>
  <c r="A1" i="13"/>
  <c r="I11" i="13" l="1"/>
  <c r="J11" i="13" s="1"/>
  <c r="K11" i="13" s="1"/>
  <c r="L11" i="13" s="1"/>
  <c r="D30" i="13"/>
  <c r="D29" i="13"/>
  <c r="I26" i="13"/>
  <c r="E5" i="13"/>
  <c r="E4" i="13"/>
  <c r="G26" i="13"/>
  <c r="H12" i="13"/>
  <c r="K20" i="9"/>
  <c r="J20" i="9"/>
  <c r="I20" i="9"/>
  <c r="K19" i="9"/>
  <c r="J19" i="9"/>
  <c r="I19" i="9"/>
  <c r="H20" i="9"/>
  <c r="H19" i="9"/>
  <c r="E6" i="13" l="1"/>
  <c r="C39" i="9" l="1"/>
  <c r="D26" i="9"/>
  <c r="C26" i="9"/>
  <c r="C30" i="9" s="1"/>
  <c r="C25" i="9"/>
  <c r="C29" i="9" s="1"/>
  <c r="I26" i="9"/>
  <c r="H26" i="9"/>
  <c r="G26" i="9"/>
  <c r="F26" i="9"/>
  <c r="E26" i="9"/>
  <c r="I25" i="9"/>
  <c r="H25" i="9"/>
  <c r="G25" i="9"/>
  <c r="F25" i="9"/>
  <c r="E25" i="9"/>
  <c r="D25" i="9"/>
  <c r="K12" i="9"/>
  <c r="J12" i="9"/>
  <c r="I12" i="9"/>
  <c r="H12" i="9"/>
  <c r="G12" i="9"/>
  <c r="F12" i="9"/>
  <c r="E12" i="9"/>
  <c r="D12" i="9"/>
  <c r="D11" i="9"/>
  <c r="E11" i="9" s="1"/>
  <c r="F11" i="9" s="1"/>
  <c r="G11" i="9" s="1"/>
  <c r="H11" i="9" s="1"/>
  <c r="C10" i="9"/>
  <c r="B10" i="9"/>
  <c r="G5" i="9"/>
  <c r="E5" i="9"/>
  <c r="G4" i="9"/>
  <c r="E4" i="9"/>
  <c r="A1" i="9"/>
  <c r="A1" i="10"/>
  <c r="A2" i="10"/>
  <c r="I11" i="9" l="1"/>
  <c r="J11" i="9" s="1"/>
  <c r="K11" i="9" s="1"/>
  <c r="L11" i="9" s="1"/>
  <c r="E6" i="9"/>
  <c r="G6" i="9"/>
  <c r="D30" i="9"/>
  <c r="D29" i="9"/>
  <c r="L16" i="13" l="1"/>
  <c r="L26" i="13" s="1"/>
  <c r="L16" i="9"/>
  <c r="L26" i="9" s="1"/>
  <c r="J15" i="13"/>
  <c r="J15" i="9"/>
  <c r="L15" i="13"/>
  <c r="L25" i="13" s="1"/>
  <c r="L15" i="9"/>
  <c r="L25" i="9" s="1"/>
  <c r="K15" i="13"/>
  <c r="K25" i="13" s="1"/>
  <c r="K15" i="9"/>
  <c r="K25" i="9" s="1"/>
  <c r="J16" i="13"/>
  <c r="J16" i="9"/>
  <c r="K16" i="13"/>
  <c r="K26" i="13" s="1"/>
  <c r="K16" i="9"/>
  <c r="K26" i="9" s="1"/>
  <c r="J25" i="13" l="1"/>
  <c r="D4" i="13"/>
  <c r="J25" i="9"/>
  <c r="D4" i="9"/>
  <c r="J26" i="9"/>
  <c r="D5" i="9"/>
  <c r="F5" i="9" s="1"/>
  <c r="J26" i="13"/>
  <c r="D5" i="13"/>
  <c r="F5" i="13" s="1"/>
  <c r="D6" i="13" l="1"/>
  <c r="F4" i="13"/>
  <c r="F4" i="9"/>
  <c r="D6" i="9"/>
  <c r="F6" i="13" l="1"/>
  <c r="F6" i="9"/>
  <c r="I32" i="13" l="1"/>
  <c r="I32" i="9"/>
  <c r="H32" i="13" l="1"/>
  <c r="H32" i="9"/>
  <c r="G32" i="13" l="1"/>
  <c r="G32" i="9"/>
  <c r="D32" i="13"/>
  <c r="D32" i="9"/>
  <c r="E32" i="13"/>
  <c r="E32" i="9"/>
  <c r="F32" i="13"/>
  <c r="F32" i="9"/>
  <c r="D35" i="13" l="1"/>
  <c r="D34" i="13"/>
  <c r="D34" i="9"/>
  <c r="D35" i="9"/>
  <c r="D37" i="9" l="1"/>
  <c r="E34" i="9"/>
  <c r="D39" i="9"/>
  <c r="E29" i="9"/>
  <c r="E30" i="9"/>
  <c r="E35" i="9"/>
  <c r="D37" i="13"/>
  <c r="D39" i="13"/>
  <c r="E34" i="13"/>
  <c r="E29" i="13"/>
  <c r="E35" i="13"/>
  <c r="E30" i="13"/>
  <c r="E37" i="13" l="1"/>
  <c r="F29" i="9"/>
  <c r="F34" i="9"/>
  <c r="F29" i="13"/>
  <c r="F34" i="13"/>
  <c r="E39" i="9"/>
  <c r="D36" i="9"/>
  <c r="F35" i="13"/>
  <c r="F30" i="13"/>
  <c r="F35" i="9"/>
  <c r="F30" i="9"/>
  <c r="E37" i="9"/>
  <c r="E39" i="13"/>
  <c r="D36" i="13"/>
  <c r="E36" i="13" l="1"/>
  <c r="F39" i="13"/>
  <c r="G29" i="13"/>
  <c r="G34" i="13"/>
  <c r="G35" i="13"/>
  <c r="G30" i="13"/>
  <c r="G35" i="9"/>
  <c r="G30" i="9"/>
  <c r="F37" i="9"/>
  <c r="F37" i="13"/>
  <c r="F39" i="9"/>
  <c r="E36" i="9"/>
  <c r="G29" i="9"/>
  <c r="G34" i="9"/>
  <c r="B13" i="8"/>
  <c r="B12" i="8"/>
  <c r="G37" i="13" l="1"/>
  <c r="H29" i="13"/>
  <c r="H34" i="13"/>
  <c r="F36" i="9"/>
  <c r="G39" i="9"/>
  <c r="H30" i="9"/>
  <c r="H35" i="9"/>
  <c r="G37" i="9"/>
  <c r="H34" i="9"/>
  <c r="H29" i="9"/>
  <c r="H30" i="13"/>
  <c r="H35" i="13"/>
  <c r="G39" i="13"/>
  <c r="F36" i="13"/>
  <c r="D5" i="8"/>
  <c r="I30" i="13" l="1"/>
  <c r="I35" i="13"/>
  <c r="I29" i="9"/>
  <c r="I34" i="9"/>
  <c r="I35" i="9"/>
  <c r="I30" i="9"/>
  <c r="I29" i="13"/>
  <c r="I34" i="13"/>
  <c r="H37" i="9"/>
  <c r="H39" i="9"/>
  <c r="G36" i="9"/>
  <c r="G36" i="13"/>
  <c r="H39" i="13"/>
  <c r="H37" i="13"/>
  <c r="I39" i="9" l="1"/>
  <c r="I39" i="13"/>
  <c r="H36" i="13"/>
  <c r="H36" i="9"/>
  <c r="I37" i="13" l="1"/>
  <c r="I37" i="9"/>
  <c r="J30" i="9"/>
  <c r="J29" i="9"/>
  <c r="J29" i="13"/>
  <c r="J30" i="13"/>
  <c r="B14" i="8"/>
  <c r="I36" i="9" l="1"/>
  <c r="I36" i="13"/>
  <c r="C13" i="8"/>
  <c r="C12" i="8"/>
  <c r="C14" i="8" l="1"/>
  <c r="I18" i="15" l="1"/>
  <c r="I17" i="15"/>
  <c r="C18" i="15"/>
  <c r="C17" i="15"/>
  <c r="G18" i="15"/>
  <c r="C10" i="16"/>
  <c r="B10" i="16"/>
  <c r="C8" i="15"/>
  <c r="B8" i="15"/>
  <c r="G17" i="15" l="1"/>
  <c r="F18" i="15"/>
  <c r="E18" i="15"/>
  <c r="H18" i="15"/>
  <c r="H17" i="15"/>
  <c r="D17" i="15"/>
  <c r="E17" i="15"/>
  <c r="D18" i="15"/>
  <c r="F17" i="15"/>
  <c r="H36" i="16"/>
  <c r="G36" i="16"/>
  <c r="F36" i="16"/>
  <c r="E36" i="16"/>
  <c r="D36" i="16"/>
  <c r="H5" i="11"/>
  <c r="H4" i="11"/>
  <c r="C43" i="11"/>
  <c r="H38" i="15" l="1"/>
  <c r="G38" i="15"/>
  <c r="F38" i="15"/>
  <c r="E38" i="15"/>
  <c r="D38" i="15"/>
  <c r="I36" i="16" l="1"/>
  <c r="I38" i="15"/>
  <c r="C43" i="16" l="1"/>
  <c r="L22" i="15" l="1"/>
  <c r="K22" i="15"/>
  <c r="J22" i="15"/>
  <c r="L21" i="15"/>
  <c r="K21" i="15"/>
  <c r="J21" i="15"/>
  <c r="D9" i="15"/>
  <c r="M19" i="11" l="1"/>
  <c r="C10" i="11" l="1"/>
  <c r="B10" i="11"/>
  <c r="J38" i="1" l="1"/>
  <c r="C18" i="1"/>
  <c r="C17" i="1"/>
  <c r="J32" i="13" l="1"/>
  <c r="J32" i="9"/>
  <c r="J36" i="16"/>
  <c r="J38" i="15"/>
  <c r="C30" i="16"/>
  <c r="C34" i="16" s="1"/>
  <c r="C29" i="16"/>
  <c r="C33" i="16" s="1"/>
  <c r="L16" i="16"/>
  <c r="L30" i="16" s="1"/>
  <c r="K16" i="16"/>
  <c r="J16" i="16"/>
  <c r="L15" i="16"/>
  <c r="L29" i="16" s="1"/>
  <c r="K15" i="16"/>
  <c r="J15" i="16"/>
  <c r="D11" i="16"/>
  <c r="E11" i="16" s="1"/>
  <c r="F11" i="16" s="1"/>
  <c r="G11" i="16" s="1"/>
  <c r="H11" i="16" s="1"/>
  <c r="H5" i="16"/>
  <c r="H4" i="16"/>
  <c r="A1" i="16"/>
  <c r="C45" i="15"/>
  <c r="L43" i="15"/>
  <c r="C32" i="15"/>
  <c r="C36" i="15" s="1"/>
  <c r="C31" i="15"/>
  <c r="C35" i="15" s="1"/>
  <c r="L26" i="15"/>
  <c r="K26" i="15"/>
  <c r="J26" i="15"/>
  <c r="A26" i="15"/>
  <c r="L25" i="15"/>
  <c r="K25" i="15"/>
  <c r="J25" i="15"/>
  <c r="L18" i="15"/>
  <c r="I32" i="15"/>
  <c r="H32" i="15"/>
  <c r="F32" i="15"/>
  <c r="E32" i="15"/>
  <c r="D32" i="15"/>
  <c r="L17" i="15"/>
  <c r="I31" i="15"/>
  <c r="H31" i="15"/>
  <c r="G31" i="15"/>
  <c r="F31" i="15"/>
  <c r="E31" i="15"/>
  <c r="D31" i="15"/>
  <c r="E9" i="15"/>
  <c r="F9" i="15" s="1"/>
  <c r="G9" i="15" s="1"/>
  <c r="H9" i="15" s="1"/>
  <c r="H5" i="15"/>
  <c r="E5" i="15"/>
  <c r="H4" i="15"/>
  <c r="E4" i="15"/>
  <c r="A1" i="15"/>
  <c r="I11" i="16" l="1"/>
  <c r="J11" i="16" s="1"/>
  <c r="K11" i="16" s="1"/>
  <c r="L11" i="16" s="1"/>
  <c r="I9" i="15"/>
  <c r="J9" i="15" s="1"/>
  <c r="K9" i="15" s="1"/>
  <c r="L9" i="15" s="1"/>
  <c r="J34" i="9"/>
  <c r="J35" i="9"/>
  <c r="J35" i="13"/>
  <c r="J34" i="13"/>
  <c r="H6" i="15"/>
  <c r="D5" i="15"/>
  <c r="D36" i="15"/>
  <c r="D41" i="15"/>
  <c r="D40" i="15"/>
  <c r="D35" i="15"/>
  <c r="H6" i="16"/>
  <c r="E6" i="15"/>
  <c r="D4" i="15"/>
  <c r="L32" i="15"/>
  <c r="L31" i="15"/>
  <c r="D5" i="16"/>
  <c r="D4" i="16"/>
  <c r="G32" i="15"/>
  <c r="J37" i="13" l="1"/>
  <c r="K29" i="13"/>
  <c r="J39" i="13"/>
  <c r="K30" i="13"/>
  <c r="K30" i="9"/>
  <c r="J37" i="9"/>
  <c r="K29" i="9"/>
  <c r="J39" i="9"/>
  <c r="D6" i="15"/>
  <c r="E36" i="15"/>
  <c r="E41" i="15"/>
  <c r="E35" i="15"/>
  <c r="E40" i="15"/>
  <c r="D6" i="16"/>
  <c r="D43" i="15"/>
  <c r="D45" i="15"/>
  <c r="D42" i="15" s="1"/>
  <c r="J36" i="9" l="1"/>
  <c r="J36" i="13"/>
  <c r="F36" i="15"/>
  <c r="F41" i="15"/>
  <c r="F40" i="15"/>
  <c r="F35" i="15"/>
  <c r="E43" i="15"/>
  <c r="E45" i="15"/>
  <c r="E42" i="15" s="1"/>
  <c r="K16" i="11"/>
  <c r="J16" i="11"/>
  <c r="K15" i="11"/>
  <c r="J15" i="11"/>
  <c r="G41" i="15" l="1"/>
  <c r="G36" i="15"/>
  <c r="G35" i="15"/>
  <c r="G40" i="15"/>
  <c r="F45" i="15"/>
  <c r="F42" i="15" s="1"/>
  <c r="F43" i="15"/>
  <c r="F5" i="11"/>
  <c r="F4" i="11"/>
  <c r="G43" i="15" l="1"/>
  <c r="H35" i="15"/>
  <c r="H36" i="15"/>
  <c r="H41" i="15"/>
  <c r="H40" i="15"/>
  <c r="K38" i="1"/>
  <c r="J36" i="11"/>
  <c r="G45" i="15"/>
  <c r="G42" i="15" s="1"/>
  <c r="J29" i="11"/>
  <c r="K29" i="11"/>
  <c r="J30" i="11"/>
  <c r="K30" i="11"/>
  <c r="J12" i="11"/>
  <c r="K12" i="11"/>
  <c r="K26" i="1"/>
  <c r="J26" i="1"/>
  <c r="K25" i="1"/>
  <c r="J25" i="1"/>
  <c r="J17" i="1"/>
  <c r="K17" i="1"/>
  <c r="L17" i="1"/>
  <c r="J18" i="1"/>
  <c r="K18" i="1"/>
  <c r="L18" i="1"/>
  <c r="I36" i="15" l="1"/>
  <c r="I41" i="15"/>
  <c r="I35" i="15"/>
  <c r="I40" i="15"/>
  <c r="K32" i="13"/>
  <c r="K32" i="9"/>
  <c r="K36" i="16"/>
  <c r="K38" i="15"/>
  <c r="K36" i="11"/>
  <c r="H45" i="15"/>
  <c r="H42" i="15" s="1"/>
  <c r="H43" i="15"/>
  <c r="K31" i="1"/>
  <c r="J32" i="1"/>
  <c r="K32" i="1"/>
  <c r="J31" i="1"/>
  <c r="I45" i="15" l="1"/>
  <c r="K34" i="9"/>
  <c r="K35" i="9"/>
  <c r="K35" i="13"/>
  <c r="K34" i="13"/>
  <c r="H5" i="13" l="1"/>
  <c r="I5" i="13" s="1"/>
  <c r="F17" i="5" s="1"/>
  <c r="L30" i="13"/>
  <c r="L35" i="13"/>
  <c r="K37" i="13"/>
  <c r="H4" i="13"/>
  <c r="L29" i="13"/>
  <c r="L34" i="13"/>
  <c r="L37" i="13" s="1"/>
  <c r="K39" i="13"/>
  <c r="H5" i="9"/>
  <c r="I5" i="9" s="1"/>
  <c r="E17" i="5" s="1"/>
  <c r="L35" i="9"/>
  <c r="L30" i="9"/>
  <c r="K37" i="9"/>
  <c r="H4" i="9"/>
  <c r="L34" i="9"/>
  <c r="L37" i="9" s="1"/>
  <c r="K39" i="9"/>
  <c r="L29" i="9"/>
  <c r="I42" i="15"/>
  <c r="I43" i="15"/>
  <c r="G36" i="11"/>
  <c r="H36" i="11"/>
  <c r="J5" i="9" l="1"/>
  <c r="L39" i="9"/>
  <c r="L36" i="9" s="1"/>
  <c r="K36" i="9"/>
  <c r="J5" i="13"/>
  <c r="K36" i="13"/>
  <c r="L39" i="13"/>
  <c r="L36" i="13" s="1"/>
  <c r="H6" i="9"/>
  <c r="I4" i="9"/>
  <c r="I4" i="13"/>
  <c r="H6" i="13"/>
  <c r="H5" i="1"/>
  <c r="H4" i="1"/>
  <c r="I6" i="13" l="1"/>
  <c r="F16" i="5"/>
  <c r="J4" i="13"/>
  <c r="E16" i="5"/>
  <c r="J4" i="9"/>
  <c r="I6" i="9"/>
  <c r="H6" i="11"/>
  <c r="H6" i="1"/>
  <c r="C30" i="11"/>
  <c r="C34" i="11" s="1"/>
  <c r="C29" i="11"/>
  <c r="C33" i="11" s="1"/>
  <c r="I36" i="11" l="1"/>
  <c r="F36" i="11"/>
  <c r="E36" i="11"/>
  <c r="D36" i="11"/>
  <c r="C32" i="1" l="1"/>
  <c r="C36" i="1" s="1"/>
  <c r="C31" i="1"/>
  <c r="C35" i="1" s="1"/>
  <c r="I12" i="11" l="1"/>
  <c r="M20" i="11" l="1"/>
  <c r="E5" i="1"/>
  <c r="E4" i="1"/>
  <c r="C45" i="1" l="1"/>
  <c r="H12" i="11" l="1"/>
  <c r="G12" i="11"/>
  <c r="F12" i="11"/>
  <c r="E12" i="11"/>
  <c r="D12" i="11"/>
  <c r="H30" i="11" l="1"/>
  <c r="H29" i="11"/>
  <c r="G30" i="11"/>
  <c r="G29" i="11"/>
  <c r="F30" i="11"/>
  <c r="F29" i="11"/>
  <c r="H18" i="1"/>
  <c r="H32" i="1" s="1"/>
  <c r="H17" i="1"/>
  <c r="H31" i="1" s="1"/>
  <c r="G18" i="1"/>
  <c r="G17" i="1"/>
  <c r="F18" i="1"/>
  <c r="F32" i="1" s="1"/>
  <c r="F17" i="1"/>
  <c r="F31" i="1" s="1"/>
  <c r="G31" i="1" l="1"/>
  <c r="G32" i="1"/>
  <c r="L16" i="11" l="1"/>
  <c r="L30" i="11" s="1"/>
  <c r="L15" i="11"/>
  <c r="L29" i="11" s="1"/>
  <c r="L43" i="1" l="1"/>
  <c r="L26" i="1"/>
  <c r="L25" i="1"/>
  <c r="L32" i="1" l="1"/>
  <c r="L31" i="1"/>
  <c r="A1" i="5"/>
  <c r="A1" i="11"/>
  <c r="A1" i="12"/>
  <c r="A1" i="1"/>
  <c r="I18" i="1" l="1"/>
  <c r="E18" i="1"/>
  <c r="D18" i="1"/>
  <c r="F5" i="1" l="1"/>
  <c r="I17" i="1"/>
  <c r="D17" i="1"/>
  <c r="E17" i="1"/>
  <c r="F4" i="1" l="1"/>
  <c r="A2" i="12"/>
  <c r="D11" i="11" l="1"/>
  <c r="E6" i="1" l="1"/>
  <c r="E31" i="1" l="1"/>
  <c r="E32" i="1"/>
  <c r="D31" i="1" l="1"/>
  <c r="D32" i="1"/>
  <c r="D41" i="1" s="1"/>
  <c r="D40" i="1" l="1"/>
  <c r="D35" i="1"/>
  <c r="D36" i="1"/>
  <c r="E41" i="1" l="1"/>
  <c r="D45" i="1"/>
  <c r="E35" i="1"/>
  <c r="D43" i="1"/>
  <c r="E40" i="1"/>
  <c r="F40" i="1" l="1"/>
  <c r="D42" i="1"/>
  <c r="E43" i="1"/>
  <c r="F35" i="1"/>
  <c r="E30" i="11"/>
  <c r="E29" i="11"/>
  <c r="G40" i="1" l="1"/>
  <c r="G35" i="1"/>
  <c r="D30" i="11"/>
  <c r="D29" i="11"/>
  <c r="E4" i="11"/>
  <c r="H40" i="1" l="1"/>
  <c r="D34" i="11"/>
  <c r="D39" i="11"/>
  <c r="D33" i="11"/>
  <c r="D38" i="11"/>
  <c r="H35" i="1"/>
  <c r="E5" i="11"/>
  <c r="D43" i="11" l="1"/>
  <c r="E38" i="11"/>
  <c r="E33" i="11"/>
  <c r="F33" i="11" l="1"/>
  <c r="F38" i="11"/>
  <c r="D41" i="11"/>
  <c r="E39" i="11"/>
  <c r="E34" i="11"/>
  <c r="D40" i="11"/>
  <c r="G38" i="11" l="1"/>
  <c r="G33" i="11"/>
  <c r="F34" i="11"/>
  <c r="F39" i="11"/>
  <c r="F41" i="11" s="1"/>
  <c r="E43" i="11"/>
  <c r="E41" i="11"/>
  <c r="D5" i="11"/>
  <c r="H33" i="11" l="1"/>
  <c r="H38" i="11"/>
  <c r="D4" i="11"/>
  <c r="E40" i="11"/>
  <c r="F43" i="11"/>
  <c r="G34" i="11"/>
  <c r="G39" i="11"/>
  <c r="G41" i="11" s="1"/>
  <c r="F40" i="11" l="1"/>
  <c r="G43" i="11"/>
  <c r="H39" i="11"/>
  <c r="H41" i="11" s="1"/>
  <c r="H34" i="11"/>
  <c r="D6" i="11"/>
  <c r="F6" i="1"/>
  <c r="B7" i="4"/>
  <c r="F7" i="4"/>
  <c r="D4" i="1" l="1"/>
  <c r="D5" i="1"/>
  <c r="G40" i="11"/>
  <c r="H43" i="11"/>
  <c r="I32" i="1"/>
  <c r="I31" i="1"/>
  <c r="I35" i="1" l="1"/>
  <c r="I40" i="1"/>
  <c r="H40" i="11"/>
  <c r="D6" i="1"/>
  <c r="G4" i="1"/>
  <c r="E11" i="11"/>
  <c r="F11" i="11" s="1"/>
  <c r="G11" i="11" s="1"/>
  <c r="H11" i="11" s="1"/>
  <c r="I11" i="11" s="1"/>
  <c r="J11" i="11" l="1"/>
  <c r="K11" i="11" s="1"/>
  <c r="L11" i="11" s="1"/>
  <c r="G5" i="5" l="1"/>
  <c r="G4" i="5"/>
  <c r="A26" i="1"/>
  <c r="H7" i="4" l="1"/>
  <c r="G7" i="4"/>
  <c r="I7" i="4" l="1"/>
  <c r="G5" i="1"/>
  <c r="G6" i="1" l="1"/>
  <c r="J9" i="1" l="1"/>
  <c r="K9" i="1" s="1"/>
  <c r="L9" i="1" s="1"/>
  <c r="E36" i="1" l="1"/>
  <c r="F41" i="1" s="1"/>
  <c r="F36" i="1" l="1"/>
  <c r="F43" i="1"/>
  <c r="E45" i="1"/>
  <c r="G41" i="1" l="1"/>
  <c r="G43" i="1" s="1"/>
  <c r="J40" i="1"/>
  <c r="J35" i="1"/>
  <c r="E42" i="1"/>
  <c r="F45" i="1"/>
  <c r="G36" i="1"/>
  <c r="K40" i="1" l="1"/>
  <c r="F42" i="1"/>
  <c r="G45" i="1"/>
  <c r="H36" i="1"/>
  <c r="H41" i="1"/>
  <c r="H43" i="1" s="1"/>
  <c r="I36" i="1" l="1"/>
  <c r="I41" i="1"/>
  <c r="G42" i="1"/>
  <c r="H45" i="1"/>
  <c r="I45" i="1" l="1"/>
  <c r="H42" i="1"/>
  <c r="J41" i="1" l="1"/>
  <c r="J36" i="1"/>
  <c r="K41" i="1" l="1"/>
  <c r="J45" i="1"/>
  <c r="I42" i="1"/>
  <c r="I43" i="1"/>
  <c r="K35" i="1" l="1"/>
  <c r="L35" i="1" l="1"/>
  <c r="I4" i="1"/>
  <c r="J4" i="1" s="1"/>
  <c r="K4" i="1" l="1"/>
  <c r="J43" i="1" l="1"/>
  <c r="K36" i="1" l="1"/>
  <c r="J42" i="1" l="1"/>
  <c r="K45" i="1"/>
  <c r="I5" i="1"/>
  <c r="K43" i="1"/>
  <c r="L36" i="1"/>
  <c r="I30" i="11"/>
  <c r="I29" i="11"/>
  <c r="I39" i="11" l="1"/>
  <c r="I34" i="11"/>
  <c r="I38" i="11"/>
  <c r="I33" i="11"/>
  <c r="J5" i="1"/>
  <c r="I6" i="1"/>
  <c r="K42" i="1"/>
  <c r="L45" i="1"/>
  <c r="L42" i="1" s="1"/>
  <c r="F6" i="11"/>
  <c r="E6" i="11"/>
  <c r="G5" i="11"/>
  <c r="G4" i="11"/>
  <c r="I43" i="11" l="1"/>
  <c r="I40" i="11" s="1"/>
  <c r="J38" i="11"/>
  <c r="J33" i="11"/>
  <c r="J34" i="11"/>
  <c r="J39" i="11"/>
  <c r="K5" i="1"/>
  <c r="J6" i="1"/>
  <c r="G6" i="11"/>
  <c r="I41" i="11"/>
  <c r="K34" i="11" l="1"/>
  <c r="K33" i="11"/>
  <c r="J43" i="11"/>
  <c r="K39" i="11" l="1"/>
  <c r="J41" i="11"/>
  <c r="J40" i="11"/>
  <c r="K38" i="11"/>
  <c r="I5" i="11" l="1"/>
  <c r="J5" i="11" s="1"/>
  <c r="L34" i="11"/>
  <c r="I4" i="11"/>
  <c r="J4" i="11" s="1"/>
  <c r="L33" i="11"/>
  <c r="L39" i="11"/>
  <c r="K43" i="11"/>
  <c r="K40" i="11" s="1"/>
  <c r="K41" i="11"/>
  <c r="L38" i="11"/>
  <c r="K5" i="11" l="1"/>
  <c r="I6" i="11"/>
  <c r="K4" i="11"/>
  <c r="J6" i="11"/>
  <c r="L41" i="11"/>
  <c r="L43" i="11"/>
  <c r="L40" i="11" s="1"/>
  <c r="D7" i="8" l="1"/>
  <c r="D9" i="8" s="1"/>
  <c r="D12" i="8" l="1"/>
  <c r="D13" i="8"/>
  <c r="E11" i="5" l="1"/>
  <c r="L5" i="5" s="1"/>
  <c r="E10" i="5"/>
  <c r="D14" i="8"/>
  <c r="D15" i="8" s="1"/>
  <c r="E5" i="5" l="1"/>
  <c r="E4" i="5"/>
  <c r="L4" i="5"/>
  <c r="I9" i="4" l="1"/>
  <c r="I10" i="4"/>
  <c r="H10" i="4" l="1"/>
  <c r="H9" i="4"/>
  <c r="K17" i="15" l="1"/>
  <c r="K31" i="15" s="1"/>
  <c r="J18" i="15"/>
  <c r="J32" i="15" l="1"/>
  <c r="J17" i="15"/>
  <c r="K18" i="15" l="1"/>
  <c r="J36" i="15"/>
  <c r="J41" i="15"/>
  <c r="F4" i="15"/>
  <c r="J31" i="15"/>
  <c r="J35" i="15" l="1"/>
  <c r="J40" i="15"/>
  <c r="G4" i="15"/>
  <c r="K32" i="15"/>
  <c r="F5" i="15"/>
  <c r="G5" i="15" s="1"/>
  <c r="K36" i="15" l="1"/>
  <c r="K41" i="15"/>
  <c r="G6" i="15"/>
  <c r="K35" i="15"/>
  <c r="K40" i="15"/>
  <c r="J43" i="15"/>
  <c r="J45" i="15"/>
  <c r="J42" i="15" s="1"/>
  <c r="F6" i="15"/>
  <c r="I5" i="15" l="1"/>
  <c r="J5" i="15" s="1"/>
  <c r="L36" i="15"/>
  <c r="K43" i="15"/>
  <c r="K45" i="15"/>
  <c r="I4" i="15"/>
  <c r="L35" i="15"/>
  <c r="C17" i="5" l="1"/>
  <c r="K5" i="15"/>
  <c r="I6" i="15"/>
  <c r="J4" i="15"/>
  <c r="K42" i="15"/>
  <c r="L45" i="15"/>
  <c r="L42" i="15" s="1"/>
  <c r="J6" i="15" l="1"/>
  <c r="K4" i="15"/>
  <c r="C16" i="5"/>
  <c r="D30" i="16" l="1"/>
  <c r="D39" i="16" s="1"/>
  <c r="D29" i="16"/>
  <c r="D38" i="16" s="1"/>
  <c r="D12" i="16"/>
  <c r="E30" i="16"/>
  <c r="E12" i="16" l="1"/>
  <c r="E29" i="16"/>
  <c r="D34" i="16"/>
  <c r="D33" i="16"/>
  <c r="F30" i="16"/>
  <c r="D43" i="16" l="1"/>
  <c r="D40" i="16" s="1"/>
  <c r="G29" i="16"/>
  <c r="D41" i="16"/>
  <c r="F12" i="16"/>
  <c r="F29" i="16"/>
  <c r="E39" i="16"/>
  <c r="E34" i="16"/>
  <c r="E33" i="16"/>
  <c r="E38" i="16"/>
  <c r="G30" i="16"/>
  <c r="H30" i="16"/>
  <c r="E41" i="16" l="1"/>
  <c r="F33" i="16"/>
  <c r="F38" i="16"/>
  <c r="H12" i="16"/>
  <c r="H29" i="16"/>
  <c r="E43" i="16"/>
  <c r="E40" i="16" s="1"/>
  <c r="G12" i="16"/>
  <c r="F34" i="16"/>
  <c r="F39" i="16"/>
  <c r="F43" i="16" l="1"/>
  <c r="F40" i="16" s="1"/>
  <c r="F41" i="16"/>
  <c r="G39" i="16"/>
  <c r="G34" i="16"/>
  <c r="G38" i="16"/>
  <c r="G33" i="16"/>
  <c r="I30" i="16"/>
  <c r="G43" i="16" l="1"/>
  <c r="G40" i="16" s="1"/>
  <c r="H38" i="16"/>
  <c r="H33" i="16"/>
  <c r="G41" i="16"/>
  <c r="I12" i="16"/>
  <c r="I29" i="16"/>
  <c r="H39" i="16"/>
  <c r="H34" i="16"/>
  <c r="I33" i="16" l="1"/>
  <c r="I38" i="16"/>
  <c r="I34" i="16"/>
  <c r="I39" i="16"/>
  <c r="H43" i="16"/>
  <c r="H40" i="16" s="1"/>
  <c r="H41" i="16"/>
  <c r="I43" i="16" l="1"/>
  <c r="I41" i="16"/>
  <c r="I40" i="16" l="1"/>
  <c r="G8" i="4" l="1"/>
  <c r="G10" i="4" l="1"/>
  <c r="G9" i="4"/>
  <c r="F8" i="4" l="1"/>
  <c r="F9" i="4" l="1"/>
  <c r="C5" i="4" s="1"/>
  <c r="F10" i="4"/>
  <c r="C6" i="4" s="1"/>
  <c r="C11" i="5" l="1"/>
  <c r="J5" i="5" s="1"/>
  <c r="C10" i="5"/>
  <c r="J4" i="5" s="1"/>
  <c r="C7" i="4"/>
  <c r="C8" i="4" s="1"/>
  <c r="C4" i="5" l="1"/>
  <c r="C5" i="5"/>
  <c r="J19" i="16" l="1"/>
  <c r="K19" i="16" l="1"/>
  <c r="M19" i="16" s="1"/>
  <c r="E4" i="16" s="1"/>
  <c r="J20" i="16"/>
  <c r="J23" i="16" l="1"/>
  <c r="K20" i="16"/>
  <c r="M20" i="16" s="1"/>
  <c r="E5" i="16" s="1"/>
  <c r="E6" i="16" s="1"/>
  <c r="J24" i="16"/>
  <c r="J30" i="16" l="1"/>
  <c r="J12" i="16"/>
  <c r="J29" i="16"/>
  <c r="K23" i="16"/>
  <c r="K24" i="16"/>
  <c r="K30" i="16" s="1"/>
  <c r="J33" i="16" l="1"/>
  <c r="J38" i="16"/>
  <c r="K29" i="16"/>
  <c r="K12" i="16"/>
  <c r="F5" i="16"/>
  <c r="G5" i="16" s="1"/>
  <c r="F4" i="16"/>
  <c r="J34" i="16"/>
  <c r="J39" i="16"/>
  <c r="J43" i="16" l="1"/>
  <c r="J40" i="16" s="1"/>
  <c r="K39" i="16"/>
  <c r="I5" i="16" s="1"/>
  <c r="J5" i="16" s="1"/>
  <c r="K34" i="16"/>
  <c r="G4" i="16"/>
  <c r="F6" i="16"/>
  <c r="J41" i="16"/>
  <c r="K38" i="16"/>
  <c r="I4" i="16" s="1"/>
  <c r="K33" i="16"/>
  <c r="K41" i="16" l="1"/>
  <c r="K43" i="16"/>
  <c r="G6" i="16"/>
  <c r="J4" i="16"/>
  <c r="I6" i="16"/>
  <c r="L39" i="16"/>
  <c r="L34" i="16"/>
  <c r="K5" i="16" s="1"/>
  <c r="L33" i="16"/>
  <c r="L38" i="16"/>
  <c r="D17" i="5"/>
  <c r="L41" i="16" l="1"/>
  <c r="D16" i="5"/>
  <c r="K4" i="16"/>
  <c r="J6" i="16"/>
  <c r="K40" i="16"/>
  <c r="L43" i="16"/>
  <c r="L40" i="16" s="1"/>
  <c r="B6" i="12"/>
  <c r="B7" i="12" l="1"/>
  <c r="B8" i="12" s="1"/>
  <c r="C6" i="12" l="1"/>
  <c r="C7" i="12"/>
  <c r="D11" i="5" l="1"/>
  <c r="D10" i="5"/>
  <c r="C8" i="12"/>
  <c r="D4" i="5" l="1"/>
  <c r="K4" i="5"/>
  <c r="D5" i="5"/>
  <c r="K5" i="5"/>
  <c r="D5" i="10" l="1"/>
  <c r="D6" i="10" l="1"/>
  <c r="D9" i="10" l="1"/>
  <c r="F11" i="5" s="1"/>
  <c r="D8" i="10"/>
  <c r="F10" i="5" l="1"/>
  <c r="D10" i="10"/>
  <c r="D11" i="10" s="1"/>
  <c r="F5" i="5"/>
  <c r="H5" i="5" s="1"/>
  <c r="M5" i="5"/>
  <c r="F4" i="5" l="1"/>
  <c r="H4" i="5" s="1"/>
  <c r="M4" i="5"/>
</calcChain>
</file>

<file path=xl/sharedStrings.xml><?xml version="1.0" encoding="utf-8"?>
<sst xmlns="http://schemas.openxmlformats.org/spreadsheetml/2006/main" count="379" uniqueCount="150">
  <si>
    <t>Low Income</t>
  </si>
  <si>
    <t>Common/General</t>
  </si>
  <si>
    <t>Allocated Program Costs</t>
  </si>
  <si>
    <t>Over/(Under)</t>
  </si>
  <si>
    <t>PCR</t>
  </si>
  <si>
    <t>Allocations</t>
  </si>
  <si>
    <t>Total</t>
  </si>
  <si>
    <t>PPC</t>
  </si>
  <si>
    <t>Service Class</t>
  </si>
  <si>
    <t>FORECASTED</t>
  </si>
  <si>
    <t>TDR</t>
  </si>
  <si>
    <t>Interest</t>
  </si>
  <si>
    <t>CHECK</t>
  </si>
  <si>
    <t>INPUTS</t>
  </si>
  <si>
    <t>Starting Balance</t>
  </si>
  <si>
    <t>Program Cost Rate</t>
  </si>
  <si>
    <t>4. Total Interest</t>
  </si>
  <si>
    <t>2. Actual Revenues - TD-NSB Only</t>
  </si>
  <si>
    <t>5. Total Interest</t>
  </si>
  <si>
    <t>PTD</t>
  </si>
  <si>
    <t>OA</t>
  </si>
  <si>
    <t>OAR</t>
  </si>
  <si>
    <t>NPC</t>
  </si>
  <si>
    <t>NTD</t>
  </si>
  <si>
    <t>NOA</t>
  </si>
  <si>
    <t>cumulative check</t>
  </si>
  <si>
    <t>monthly GL interest check</t>
  </si>
  <si>
    <t>Programmable Thermostat</t>
  </si>
  <si>
    <t>Non-Residential %</t>
  </si>
  <si>
    <t>Residential</t>
  </si>
  <si>
    <t>Non-Residential</t>
  </si>
  <si>
    <t>2. PPC</t>
  </si>
  <si>
    <t>Residential/Non-Residential %</t>
  </si>
  <si>
    <t>DSIM($/kWh)</t>
  </si>
  <si>
    <t>2. PTD</t>
  </si>
  <si>
    <t xml:space="preserve">INPUTS </t>
  </si>
  <si>
    <t>3. Energy Savings (kWh)</t>
  </si>
  <si>
    <t>4. Total monthly interest - Source: calculated</t>
  </si>
  <si>
    <t>1. Actual/Forecasted Program Costs</t>
  </si>
  <si>
    <t>ACTUAL</t>
  </si>
  <si>
    <t>3. Actual/Forecasted Revenues - Program Costs Only</t>
  </si>
  <si>
    <t>Allocated Actual Program Costs (calculated)</t>
  </si>
  <si>
    <t>Regulatory Asset/(Liability) (calculated)</t>
  </si>
  <si>
    <t>1. Actual/Forecasted TD-NSB</t>
  </si>
  <si>
    <t>Interest Carrying Cost (calculated)</t>
  </si>
  <si>
    <t>Cumulative kWh Savings</t>
  </si>
  <si>
    <t>TD-NSB</t>
  </si>
  <si>
    <t>PE (kWh)</t>
  </si>
  <si>
    <t>Defined Terms</t>
  </si>
  <si>
    <t>EP = Effective Period (six months beginning July 2014) and each six month period thereafter</t>
  </si>
  <si>
    <t>PPC = Projected Program Costs in the upcoming EP</t>
  </si>
  <si>
    <t>PCR = Program Costs Reconciliation for the current EP</t>
  </si>
  <si>
    <t>NPC = Net Program Costs for the upcoming EP (PPC + PCR)</t>
  </si>
  <si>
    <t>PTD = Projected Throughput Disincentive in the upcoming EP</t>
  </si>
  <si>
    <t>NTD = Net Throughput Disincentive for the upcoming EP (PTD + TDR)</t>
  </si>
  <si>
    <t>OA = Ordered Adjustment</t>
  </si>
  <si>
    <t>OAR = Ordered Adjustment Reconciliation</t>
  </si>
  <si>
    <t>NOA = Net Order Adjustment (OA + OAR)</t>
  </si>
  <si>
    <t>PE = Projected Energy, in kWh to be delivered during the upcoming RP</t>
  </si>
  <si>
    <t>RP = Recovery Period (six months beginning August 2014) and each six month period thereafter</t>
  </si>
  <si>
    <t>1. PE - Recovery Period Forecasted Billed kWh Sales</t>
  </si>
  <si>
    <t>Billed kWh Sales</t>
  </si>
  <si>
    <t>Billed Revenues</t>
  </si>
  <si>
    <t>2. Actual/Forecasted Billed KWh Sales - Reduced for Opt-Out</t>
  </si>
  <si>
    <t>TDR = Throughput Disincentive Reconciliation in the current EP</t>
  </si>
  <si>
    <t>5. Short-Term Interest Rate</t>
  </si>
  <si>
    <t>6. Current Tariff Rate</t>
  </si>
  <si>
    <t>6. Actual program cost rate component of the tariff rate</t>
  </si>
  <si>
    <t>(Over)/Under (calculated)</t>
  </si>
  <si>
    <t>Cumulative (Over)/Under (calculated)</t>
  </si>
  <si>
    <t>TD</t>
  </si>
  <si>
    <t>Beginning Over/(Under)</t>
  </si>
  <si>
    <t>EO = Earnings Opportunity</t>
  </si>
  <si>
    <t>NEO = Net Earnings Opportunity (EO + EOR)</t>
  </si>
  <si>
    <t>EOR = Earnings Opportunity Reconciliation</t>
  </si>
  <si>
    <t>TD Rate</t>
  </si>
  <si>
    <t>NEO</t>
  </si>
  <si>
    <t>EO</t>
  </si>
  <si>
    <t>EOR</t>
  </si>
  <si>
    <t>Cycle 1 Program Costs Reconciliation (PCR) Calculation</t>
  </si>
  <si>
    <t>Income-Eligible</t>
  </si>
  <si>
    <t>Cycle 2 Program Costs Reconciliation (PCR) Calculation</t>
  </si>
  <si>
    <t>Cycle 2 Throughput Disincentive TD Reconciliation (TDR) Calculation</t>
  </si>
  <si>
    <t>2. Actual Revenues - TD Only</t>
  </si>
  <si>
    <t>1. Actual/Forecasted TD</t>
  </si>
  <si>
    <t>Cycle 2 Projected Program Costs (PPC) Calculation</t>
  </si>
  <si>
    <t>Cycle 1 Throughput Disincentive TD-NSB Reconciliation (TDR) Calculation</t>
  </si>
  <si>
    <t>Cycle 2 Projected Throughput Disincentive (PTD) TD Calculation</t>
  </si>
  <si>
    <t>1. Forecasted kWh Sales Impact</t>
  </si>
  <si>
    <t>3. kWh Sales Impact</t>
  </si>
  <si>
    <t>4. Actual/Forecasted TD-NSB</t>
  </si>
  <si>
    <t>5. Total monthly interest - Source: calculated</t>
  </si>
  <si>
    <t>7. Actual TD-NSB rate component of the tariff rate</t>
  </si>
  <si>
    <t>7. Current Tariff Rate</t>
  </si>
  <si>
    <t>4. Actual/Forecasted TD</t>
  </si>
  <si>
    <t>7. Actual TD rate component of the tariff rate</t>
  </si>
  <si>
    <t>Cumulative kWh Sales Impact</t>
  </si>
  <si>
    <t>Kansas City Power &amp; Light Company - DSIM Rider Update Filed 12/01/2016</t>
  </si>
  <si>
    <t>Cycle 1 Earnings Opportunity (EO) Calculation</t>
  </si>
  <si>
    <t>Cycle 1 Ordered Adjustment (OA) Calculation</t>
  </si>
  <si>
    <t>Projections for Cycle 1 January - June 2017 DSIM</t>
  </si>
  <si>
    <t>EO Rate</t>
  </si>
  <si>
    <t>OA Rate</t>
  </si>
  <si>
    <t>1. Calculated Performance Incentive</t>
  </si>
  <si>
    <t>2. Performance Incentive Award</t>
  </si>
  <si>
    <t>5. Allocation % - Calculated % of Residential and Non-Residential kWh Savings to Total Savings.</t>
  </si>
  <si>
    <t xml:space="preserve">3. Performance Incentive Award Recovery in Effective Period - Calculated as one-third of total Performance Incentive Award. </t>
  </si>
  <si>
    <t>3. Performance Incentive Award Recovery in Effective Period</t>
  </si>
  <si>
    <t>4. Verified kWh Savings</t>
  </si>
  <si>
    <t>5. Allocation %</t>
  </si>
  <si>
    <t>1. Calculated Performance Incentive - Source: PI Annuity Calc KCPL.xlsx</t>
  </si>
  <si>
    <t>2. Performance Incentive Award - Source:  PI Annuity Calc KCPL.xlsx</t>
  </si>
  <si>
    <t>4. Verified kWh Savings per final EM&amp;V Report summarized by Residential/Non-Residential programs - Source: PI Annuity Calc KCPL.xlsx</t>
  </si>
  <si>
    <t>1. Ordered Adjustment</t>
  </si>
  <si>
    <t>2. Carrying Costs on OA</t>
  </si>
  <si>
    <t>Cycle 1 Earnings Opportunity Reconciliation (EOR) Calculation</t>
  </si>
  <si>
    <t>1. Actual/Forecasted Earnings Opportunity</t>
  </si>
  <si>
    <t>2. Actual Revenues - EO Only</t>
  </si>
  <si>
    <t>4. Short-Term Interest Rate</t>
  </si>
  <si>
    <t>3. Actual/Forecasted EO Amortization</t>
  </si>
  <si>
    <t>Cycle 1 Ordered Adjustments Reconciliation (OAR) Calculation</t>
  </si>
  <si>
    <t>2. Actual Revenues - OA Only</t>
  </si>
  <si>
    <t>1. Actual/Forecasted Ordered Adjustments</t>
  </si>
  <si>
    <t>3. Actual/Forecasted Ordered Adjustments</t>
  </si>
  <si>
    <t>1. &amp; 4. Actual monthly TD-NSB - Source: None
    Forecasted monthly TD-NSB - Source: None</t>
  </si>
  <si>
    <t>3. Energy Savings (kWh) - Source: none</t>
  </si>
  <si>
    <t>1. &amp; 4. Actual monthly EO - Source: PI Annuity Calc KCPL.xlsx
    Forecasted monthly TD-NSB - Source: PI Annuity Calc KCPL.xlsx</t>
  </si>
  <si>
    <t>3. Actual/Forecasted EO Amortization - Source:  PI Annuity Calc KCPL.xlsx</t>
  </si>
  <si>
    <t>7. Actual EO rate component of the tariff rate</t>
  </si>
  <si>
    <t>Projections for Cycle 2 January - July 2018 DSIM</t>
  </si>
  <si>
    <t>Cumulative Over/Under Carryover From 06/01/2017 Filing</t>
  </si>
  <si>
    <t>Reverse May-17 - July-17  Forecast From 06/01/2017 Filing</t>
  </si>
  <si>
    <t>1. Forecasted kWh by Residential/Non-Residential for January - July 2018 (Reduced for Opt-Out) - Source: Billed kWh Budget KCPL 2017-2018.xlsx</t>
  </si>
  <si>
    <t>2. Actual monthly kWh billed sales by Residential/Non-Residential (reduced for opt-out) - Source: KCPLMO MEEIA 2017 Revenue Analysis.xlsx
    Forecasted monthly kWh billed sales by Residential/Non-Residential (reduced for opt-out) - Source:Billed kWh Budget KCPL 2017-2018.xlsx</t>
  </si>
  <si>
    <t>3. Actual monthly billed revenues by Residential/Non-Residential (program cost revenues only) - KCPLMO MEEIA 2017 Revenue Analysis.xlsx
    Forecasted monthly billed revenues by Residential/Non-Residential (program cost revenues only) - Source: calculated = Forecasted billed kWh sales X tariff rate</t>
  </si>
  <si>
    <t>5. Monthly Short-Term Borrowing Rate - Source: KCPL Short-Term Borrowing Rate May - October 2017.xls</t>
  </si>
  <si>
    <t>2. Actual monthly kWh billed sales by Residential/Non-Residential (reduced for opt-out) - Source: KCPLMO MEEIA 2017 Revenue Analysis.xlsx
    Forecasted monthly kWh billed sales by Residential/Non-Residential (reduced for opt-out) - Source: Billed kWh Budget KCPL 2017-2018.xlsx</t>
  </si>
  <si>
    <t>2. Actual monthly billed revenues by Residential/Non-Residential (TD-NSB revenues only) - KCPLMO MEEIA 2017 Revenue Analysis.xlsx
Forecasted monthly billed revenues by Residential/Non-Residential (TD-NSB revenues only) - Source: calculated = Forecasted billed kWh sales X tariff rate</t>
  </si>
  <si>
    <t>2. Actual monthly billed revenues by Residential/Non-Residential (TD revenues only) - KCPLMO MEEIA 2017 Revenue Analysis.xlsx
Forecasted monthly billed revenues by Residential/Non-Residential (TD revenues only) - Source: calculated = Forecasted billed kWh sales X tariff rate</t>
  </si>
  <si>
    <t>1. Actual monthly program costs by allocation bucket Residential, Non-Residential, Low Income, Common/General, Programmable Thermostat) - Source: SI Projects 052017-102017 KCPL.xls</t>
  </si>
  <si>
    <t>Res/Non-Res Allocation - Verified kWh Savings from EM&amp;V</t>
  </si>
  <si>
    <t>1. Ordered Adjustment - Source: KCPL OA 08032017.xlsx</t>
  </si>
  <si>
    <t>2. Carrying Costs on OA - Source: KCPL OA 08032017.xlsx</t>
  </si>
  <si>
    <t>2. Forecasted program costs by allocation bucket (Residential, Non-Residential, Income-Eligible, Common/General) - Source: KCPL MEEIA Cycle 2 Forecast 2017-2019 102017 actuals 11212017.xlsx</t>
  </si>
  <si>
    <t>1. Actual monthly program costs by allocation bucket Residential, Non-Residential, Income-Eligible, Common/General) - Source: SI Projects 052017-102017 KCPL.xls
    Forecasted monthly program costs by allocation bucket - Source: KCPL MEEIA Cycle 2 Forecast 2017-2019 102017 actuals 11212017.xlsx</t>
  </si>
  <si>
    <t>1. Forecasted Residential/Non-Residential kWh savings (January - July 2018) - Source: KCPL MEEIA Cycle 2 Forecast 2017-2019 102017 actuals 11212017.xlsx</t>
  </si>
  <si>
    <t>2. Forecasted Throughput Disincentive - Source: KCPL MEEIA Cycle 2 Forecast 2017-2019 102017 actuals 11212017.xlsx</t>
  </si>
  <si>
    <t>1. &amp; 4. Actual monthly TD - Source: TD Model KCPL-MO 102017 final 11152017.xlsx
    Forecasted monthly TD - Source: KCPL MEEIA Cycle 2 Forecast 2017-2019 102017 actuals 11212017.xlsx</t>
  </si>
  <si>
    <t>3. Actual kWh Sales Impact - Source:  TD Model KCPL-MO 102017 final 11092017.xls
    Forecasted kWh Sales Impact - Source: KCPL MEEIA Cycle 2 Forecast 2017-2019 102017 actuals 11212017.xlsx</t>
  </si>
  <si>
    <t>Kansas City Power &amp; Light Company - DSIM Rider Update Filed 11/30/2017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</si>
</sst>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00%"/>
    <numFmt numFmtId="169" formatCode="0.0000%"/>
    <numFmt numFmtId="170" formatCode="_(&quot;$&quot;* #,##0.00000_);_(&quot;$&quot;* \(#,##0.00000\);_(&quot;$&quot;* &quot;-&quot;?????_);_(@_)"/>
    <numFmt numFmtId="171" formatCode="0.000000%"/>
    <numFmt numFmtId="172" formatCode="_(&quot;$&quot;* #,##0.0_);_(&quot;$&quot;* \(#,##0.0\);_(&quot;$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6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double">
        <color rgb="FF3F3F3F"/>
      </left>
      <right style="medium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theme="0" tint="-0.24994659260841701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0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7" borderId="17" applyNumberFormat="0" applyAlignment="0" applyProtection="0"/>
    <xf numFmtId="0" fontId="14" fillId="7" borderId="1" applyNumberFormat="0" applyAlignment="0" applyProtection="0"/>
    <xf numFmtId="0" fontId="1" fillId="8" borderId="18" applyNumberFormat="0" applyFont="0" applyAlignment="0" applyProtection="0"/>
    <xf numFmtId="0" fontId="15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9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3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</cellStyleXfs>
  <cellXfs count="242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4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5" fillId="5" borderId="13" xfId="6" applyNumberFormat="1" applyBorder="1"/>
    <xf numFmtId="0" fontId="0" fillId="0" borderId="0" xfId="0" applyBorder="1"/>
    <xf numFmtId="0" fontId="7" fillId="0" borderId="0" xfId="8" applyBorder="1"/>
    <xf numFmtId="44" fontId="0" fillId="0" borderId="0" xfId="0" applyNumberFormat="1" applyBorder="1"/>
    <xf numFmtId="164" fontId="0" fillId="0" borderId="12" xfId="0" applyNumberFormat="1" applyBorder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10" fontId="0" fillId="0" borderId="0" xfId="0" applyNumberFormat="1"/>
    <xf numFmtId="165" fontId="14" fillId="7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7" borderId="1" xfId="13" applyNumberFormat="1" applyBorder="1" applyAlignment="1">
      <alignment horizontal="center"/>
    </xf>
    <xf numFmtId="10" fontId="14" fillId="7" borderId="14" xfId="13" applyNumberFormat="1" applyBorder="1" applyAlignment="1">
      <alignment horizontal="center"/>
    </xf>
    <xf numFmtId="165" fontId="14" fillId="7" borderId="16" xfId="13" applyNumberFormat="1" applyBorder="1" applyAlignment="1">
      <alignment horizontal="center"/>
    </xf>
    <xf numFmtId="165" fontId="14" fillId="7" borderId="21" xfId="13" applyNumberFormat="1" applyBorder="1" applyAlignment="1">
      <alignment horizontal="center"/>
    </xf>
    <xf numFmtId="0" fontId="7" fillId="0" borderId="9" xfId="8" applyBorder="1" applyAlignment="1">
      <alignment horizontal="right"/>
    </xf>
    <xf numFmtId="0" fontId="8" fillId="0" borderId="25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7" borderId="1" xfId="13" applyNumberFormat="1"/>
    <xf numFmtId="165" fontId="13" fillId="7" borderId="17" xfId="12" applyNumberFormat="1"/>
    <xf numFmtId="165" fontId="5" fillId="5" borderId="16" xfId="6" applyNumberFormat="1" applyBorder="1" applyAlignment="1">
      <alignment horizontal="center"/>
    </xf>
    <xf numFmtId="165" fontId="5" fillId="5" borderId="21" xfId="6" applyNumberFormat="1" applyBorder="1" applyAlignment="1">
      <alignment horizontal="center"/>
    </xf>
    <xf numFmtId="165" fontId="5" fillId="5" borderId="15" xfId="11" applyNumberFormat="1" applyFont="1" applyFill="1" applyBorder="1"/>
    <xf numFmtId="165" fontId="6" fillId="6" borderId="2" xfId="7" applyNumberFormat="1"/>
    <xf numFmtId="165" fontId="0" fillId="0" borderId="9" xfId="0" applyNumberFormat="1" applyBorder="1"/>
    <xf numFmtId="165" fontId="0" fillId="0" borderId="10" xfId="0" applyNumberFormat="1" applyBorder="1"/>
    <xf numFmtId="0" fontId="8" fillId="0" borderId="0" xfId="0" applyFont="1" applyFill="1" applyBorder="1" applyAlignment="1">
      <alignment horizontal="right"/>
    </xf>
    <xf numFmtId="165" fontId="0" fillId="0" borderId="0" xfId="0" applyNumberFormat="1" applyBorder="1"/>
    <xf numFmtId="168" fontId="0" fillId="0" borderId="0" xfId="2" applyNumberFormat="1" applyFont="1"/>
    <xf numFmtId="44" fontId="6" fillId="6" borderId="2" xfId="7" applyNumberFormat="1"/>
    <xf numFmtId="165" fontId="5" fillId="0" borderId="0" xfId="11" applyNumberFormat="1" applyFont="1" applyFill="1" applyBorder="1"/>
    <xf numFmtId="165" fontId="4" fillId="0" borderId="0" xfId="11" applyNumberFormat="1" applyFont="1" applyFill="1" applyBorder="1"/>
    <xf numFmtId="10" fontId="5" fillId="0" borderId="0" xfId="2" applyNumberFormat="1" applyFont="1" applyFill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4" fillId="0" borderId="10" xfId="5" applyNumberFormat="1" applyFill="1" applyBorder="1"/>
    <xf numFmtId="0" fontId="0" fillId="0" borderId="0" xfId="0" applyFill="1"/>
    <xf numFmtId="165" fontId="14" fillId="7" borderId="13" xfId="13" applyNumberFormat="1" applyBorder="1"/>
    <xf numFmtId="165" fontId="14" fillId="7" borderId="1" xfId="13" applyNumberFormat="1" applyBorder="1"/>
    <xf numFmtId="44" fontId="6" fillId="6" borderId="2" xfId="7" applyNumberFormat="1" applyBorder="1"/>
    <xf numFmtId="0" fontId="0" fillId="0" borderId="11" xfId="0" applyBorder="1"/>
    <xf numFmtId="0" fontId="0" fillId="0" borderId="28" xfId="0" applyBorder="1"/>
    <xf numFmtId="0" fontId="0" fillId="0" borderId="6" xfId="0" applyBorder="1"/>
    <xf numFmtId="0" fontId="0" fillId="0" borderId="0" xfId="0"/>
    <xf numFmtId="0" fontId="0" fillId="0" borderId="0" xfId="0"/>
    <xf numFmtId="0" fontId="0" fillId="0" borderId="0" xfId="0"/>
    <xf numFmtId="165" fontId="0" fillId="0" borderId="0" xfId="0" applyNumberFormat="1"/>
    <xf numFmtId="0" fontId="8" fillId="0" borderId="0" xfId="0" applyFont="1" applyAlignment="1">
      <alignment horizontal="center"/>
    </xf>
    <xf numFmtId="165" fontId="14" fillId="7" borderId="33" xfId="13" applyNumberFormat="1" applyBorder="1"/>
    <xf numFmtId="44" fontId="6" fillId="6" borderId="34" xfId="7" applyNumberFormat="1" applyBorder="1"/>
    <xf numFmtId="44" fontId="6" fillId="6" borderId="35" xfId="7" applyNumberFormat="1" applyBorder="1"/>
    <xf numFmtId="37" fontId="4" fillId="0" borderId="0" xfId="5" applyNumberFormat="1" applyFill="1" applyBorder="1"/>
    <xf numFmtId="0" fontId="8" fillId="35" borderId="0" xfId="0" applyFont="1" applyFill="1"/>
    <xf numFmtId="0" fontId="7" fillId="0" borderId="0" xfId="8" applyBorder="1" applyAlignment="1">
      <alignment horizontal="right"/>
    </xf>
    <xf numFmtId="165" fontId="5" fillId="5" borderId="1" xfId="6" applyNumberFormat="1" applyBorder="1"/>
    <xf numFmtId="44" fontId="0" fillId="0" borderId="0" xfId="0" applyNumberFormat="1" applyBorder="1"/>
    <xf numFmtId="44" fontId="0" fillId="0" borderId="36" xfId="0" applyNumberFormat="1" applyBorder="1"/>
    <xf numFmtId="44" fontId="0" fillId="0" borderId="37" xfId="0" applyNumberFormat="1" applyBorder="1"/>
    <xf numFmtId="3" fontId="14" fillId="7" borderId="23" xfId="13" applyNumberFormat="1" applyBorder="1" applyAlignment="1">
      <alignment horizontal="right"/>
    </xf>
    <xf numFmtId="165" fontId="4" fillId="0" borderId="10" xfId="11" applyNumberFormat="1" applyFont="1" applyFill="1" applyBorder="1"/>
    <xf numFmtId="165" fontId="14" fillId="7" borderId="14" xfId="13" applyNumberFormat="1" applyBorder="1"/>
    <xf numFmtId="44" fontId="6" fillId="6" borderId="24" xfId="7" applyNumberFormat="1" applyBorder="1"/>
    <xf numFmtId="0" fontId="8" fillId="0" borderId="0" xfId="0" applyFont="1" applyFill="1"/>
    <xf numFmtId="165" fontId="5" fillId="0" borderId="9" xfId="11" applyNumberFormat="1" applyFont="1" applyFill="1" applyBorder="1"/>
    <xf numFmtId="10" fontId="5" fillId="0" borderId="9" xfId="2" applyNumberFormat="1" applyFont="1" applyFill="1" applyBorder="1"/>
    <xf numFmtId="165" fontId="5" fillId="0" borderId="12" xfId="11" applyNumberFormat="1" applyFont="1" applyFill="1" applyBorder="1"/>
    <xf numFmtId="44" fontId="0" fillId="0" borderId="9" xfId="0" applyNumberFormat="1" applyFill="1" applyBorder="1"/>
    <xf numFmtId="44" fontId="0" fillId="0" borderId="0" xfId="0" applyNumberFormat="1" applyFill="1" applyBorder="1"/>
    <xf numFmtId="0" fontId="8" fillId="36" borderId="0" xfId="0" applyFont="1" applyFill="1"/>
    <xf numFmtId="0" fontId="8" fillId="0" borderId="0" xfId="0" applyFont="1" applyAlignment="1">
      <alignment horizontal="center" wrapText="1"/>
    </xf>
    <xf numFmtId="169" fontId="0" fillId="0" borderId="9" xfId="0" applyNumberFormat="1" applyBorder="1"/>
    <xf numFmtId="170" fontId="5" fillId="5" borderId="23" xfId="6" applyNumberFormat="1" applyBorder="1"/>
    <xf numFmtId="10" fontId="5" fillId="5" borderId="23" xfId="6" applyNumberFormat="1" applyBorder="1"/>
    <xf numFmtId="0" fontId="8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41" fontId="5" fillId="5" borderId="13" xfId="6" applyNumberFormat="1" applyBorder="1"/>
    <xf numFmtId="41" fontId="5" fillId="5" borderId="1" xfId="6" applyNumberFormat="1" applyBorder="1"/>
    <xf numFmtId="165" fontId="6" fillId="6" borderId="2" xfId="1" applyNumberFormat="1" applyFont="1" applyFill="1" applyBorder="1"/>
    <xf numFmtId="165" fontId="4" fillId="4" borderId="39" xfId="11" applyNumberFormat="1" applyFont="1" applyFill="1" applyBorder="1"/>
    <xf numFmtId="3" fontId="4" fillId="4" borderId="39" xfId="5" applyNumberFormat="1" applyBorder="1"/>
    <xf numFmtId="165" fontId="4" fillId="4" borderId="38" xfId="5" applyNumberFormat="1" applyBorder="1"/>
    <xf numFmtId="165" fontId="4" fillId="4" borderId="39" xfId="5" applyNumberFormat="1" applyBorder="1"/>
    <xf numFmtId="41" fontId="4" fillId="4" borderId="39" xfId="5" applyNumberFormat="1" applyBorder="1"/>
    <xf numFmtId="165" fontId="4" fillId="4" borderId="40" xfId="5" applyNumberFormat="1" applyBorder="1"/>
    <xf numFmtId="165" fontId="4" fillId="4" borderId="40" xfId="11" applyNumberFormat="1" applyFont="1" applyFill="1" applyBorder="1"/>
    <xf numFmtId="171" fontId="0" fillId="0" borderId="0" xfId="2" applyNumberFormat="1" applyFont="1" applyBorder="1"/>
    <xf numFmtId="171" fontId="0" fillId="0" borderId="9" xfId="2" applyNumberFormat="1" applyFont="1" applyBorder="1"/>
    <xf numFmtId="171" fontId="0" fillId="0" borderId="10" xfId="2" applyNumberFormat="1" applyFont="1" applyBorder="1"/>
    <xf numFmtId="42" fontId="5" fillId="5" borderId="1" xfId="6" applyNumberFormat="1"/>
    <xf numFmtId="0" fontId="8" fillId="0" borderId="7" xfId="0" applyFont="1" applyBorder="1" applyAlignment="1">
      <alignment horizontal="right"/>
    </xf>
    <xf numFmtId="165" fontId="14" fillId="7" borderId="26" xfId="13" applyNumberFormat="1" applyBorder="1" applyAlignment="1">
      <alignment horizontal="center"/>
    </xf>
    <xf numFmtId="165" fontId="14" fillId="7" borderId="41" xfId="13" applyNumberFormat="1" applyBorder="1" applyAlignment="1">
      <alignment horizontal="center"/>
    </xf>
    <xf numFmtId="0" fontId="30" fillId="0" borderId="3" xfId="0" applyFont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9" xfId="8" applyBorder="1"/>
    <xf numFmtId="171" fontId="0" fillId="0" borderId="10" xfId="0" applyNumberFormat="1" applyBorder="1"/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64" fontId="0" fillId="0" borderId="42" xfId="0" applyNumberFormat="1" applyBorder="1"/>
    <xf numFmtId="44" fontId="6" fillId="6" borderId="43" xfId="7" applyNumberFormat="1" applyBorder="1"/>
    <xf numFmtId="165" fontId="5" fillId="0" borderId="13" xfId="6" applyNumberFormat="1" applyFill="1" applyBorder="1"/>
    <xf numFmtId="165" fontId="0" fillId="0" borderId="9" xfId="0" applyNumberFormat="1" applyFill="1" applyBorder="1"/>
    <xf numFmtId="0" fontId="0" fillId="0" borderId="9" xfId="0" applyFill="1" applyBorder="1"/>
    <xf numFmtId="165" fontId="14" fillId="0" borderId="13" xfId="13" applyNumberFormat="1" applyFill="1" applyBorder="1"/>
    <xf numFmtId="0" fontId="7" fillId="0" borderId="9" xfId="8" applyFill="1" applyBorder="1"/>
    <xf numFmtId="41" fontId="5" fillId="0" borderId="13" xfId="6" applyNumberFormat="1" applyFill="1" applyBorder="1"/>
    <xf numFmtId="165" fontId="5" fillId="0" borderId="15" xfId="11" applyNumberFormat="1" applyFont="1" applyFill="1" applyBorder="1"/>
    <xf numFmtId="171" fontId="0" fillId="0" borderId="9" xfId="0" applyNumberFormat="1" applyFill="1" applyBorder="1"/>
    <xf numFmtId="164" fontId="0" fillId="0" borderId="7" xfId="0" applyNumberFormat="1" applyFill="1" applyBorder="1"/>
    <xf numFmtId="171" fontId="0" fillId="0" borderId="9" xfId="2" applyNumberFormat="1" applyFont="1" applyFill="1" applyBorder="1"/>
    <xf numFmtId="44" fontId="6" fillId="0" borderId="35" xfId="7" applyNumberFormat="1" applyFill="1" applyBorder="1"/>
    <xf numFmtId="165" fontId="14" fillId="7" borderId="22" xfId="13" applyNumberFormat="1" applyBorder="1"/>
    <xf numFmtId="165" fontId="5" fillId="37" borderId="1" xfId="6" applyNumberFormat="1" applyFill="1" applyBorder="1"/>
    <xf numFmtId="165" fontId="5" fillId="37" borderId="22" xfId="6" applyNumberFormat="1" applyFill="1" applyBorder="1"/>
    <xf numFmtId="41" fontId="5" fillId="37" borderId="1" xfId="6" applyNumberFormat="1" applyFill="1" applyBorder="1"/>
    <xf numFmtId="165" fontId="5" fillId="37" borderId="16" xfId="11" applyNumberFormat="1" applyFont="1" applyFill="1" applyBorder="1"/>
    <xf numFmtId="165" fontId="5" fillId="37" borderId="44" xfId="11" applyNumberFormat="1" applyFont="1" applyFill="1" applyBorder="1"/>
    <xf numFmtId="165" fontId="14" fillId="7" borderId="45" xfId="13" applyNumberFormat="1" applyBorder="1"/>
    <xf numFmtId="167" fontId="6" fillId="0" borderId="35" xfId="1" applyNumberFormat="1" applyFont="1" applyFill="1" applyBorder="1"/>
    <xf numFmtId="165" fontId="14" fillId="7" borderId="46" xfId="13" applyNumberFormat="1" applyBorder="1"/>
    <xf numFmtId="165" fontId="14" fillId="7" borderId="47" xfId="13" applyNumberFormat="1" applyBorder="1"/>
    <xf numFmtId="0" fontId="0" fillId="0" borderId="3" xfId="0" applyBorder="1" applyAlignment="1">
      <alignment horizontal="center" wrapText="1"/>
    </xf>
    <xf numFmtId="165" fontId="14" fillId="7" borderId="19" xfId="13" applyNumberFormat="1" applyBorder="1"/>
    <xf numFmtId="0" fontId="0" fillId="0" borderId="48" xfId="0" applyBorder="1"/>
    <xf numFmtId="165" fontId="5" fillId="5" borderId="23" xfId="6" applyNumberFormat="1" applyBorder="1"/>
    <xf numFmtId="165" fontId="5" fillId="5" borderId="49" xfId="11" applyNumberFormat="1" applyFont="1" applyFill="1" applyBorder="1"/>
    <xf numFmtId="165" fontId="14" fillId="7" borderId="23" xfId="13" applyNumberFormat="1" applyBorder="1"/>
    <xf numFmtId="44" fontId="6" fillId="6" borderId="50" xfId="7" applyNumberFormat="1" applyBorder="1"/>
    <xf numFmtId="41" fontId="5" fillId="37" borderId="22" xfId="6" applyNumberFormat="1" applyFill="1" applyBorder="1"/>
    <xf numFmtId="42" fontId="0" fillId="0" borderId="0" xfId="0" applyNumberFormat="1"/>
    <xf numFmtId="42" fontId="0" fillId="0" borderId="0" xfId="0" applyNumberFormat="1" applyAlignment="1">
      <alignment horizontal="right"/>
    </xf>
    <xf numFmtId="42" fontId="10" fillId="0" borderId="6" xfId="0" applyNumberFormat="1" applyFont="1" applyBorder="1" applyAlignment="1">
      <alignment horizontal="right"/>
    </xf>
    <xf numFmtId="42" fontId="11" fillId="0" borderId="6" xfId="0" applyNumberFormat="1" applyFont="1" applyBorder="1" applyAlignment="1">
      <alignment horizontal="right"/>
    </xf>
    <xf numFmtId="0" fontId="30" fillId="0" borderId="4" xfId="0" applyFont="1" applyBorder="1" applyAlignment="1">
      <alignment horizontal="center" vertical="center" wrapText="1"/>
    </xf>
    <xf numFmtId="42" fontId="30" fillId="0" borderId="4" xfId="0" applyNumberFormat="1" applyFont="1" applyBorder="1" applyAlignment="1">
      <alignment horizontal="center"/>
    </xf>
    <xf numFmtId="41" fontId="10" fillId="0" borderId="6" xfId="0" applyNumberFormat="1" applyFont="1" applyBorder="1" applyAlignment="1">
      <alignment vertical="center"/>
    </xf>
    <xf numFmtId="170" fontId="10" fillId="0" borderId="6" xfId="0" applyNumberFormat="1" applyFont="1" applyFill="1" applyBorder="1" applyAlignment="1">
      <alignment vertical="center"/>
    </xf>
    <xf numFmtId="170" fontId="0" fillId="0" borderId="0" xfId="0" applyNumberFormat="1" applyFill="1" applyAlignment="1"/>
    <xf numFmtId="170" fontId="10" fillId="0" borderId="4" xfId="0" applyNumberFormat="1" applyFont="1" applyFill="1" applyBorder="1" applyAlignment="1">
      <alignment vertical="center"/>
    </xf>
    <xf numFmtId="42" fontId="5" fillId="37" borderId="1" xfId="6" applyNumberFormat="1" applyFill="1" applyBorder="1"/>
    <xf numFmtId="42" fontId="5" fillId="37" borderId="44" xfId="6" applyNumberFormat="1" applyFill="1" applyBorder="1"/>
    <xf numFmtId="41" fontId="14" fillId="7" borderId="1" xfId="13" applyNumberFormat="1"/>
    <xf numFmtId="41" fontId="6" fillId="6" borderId="2" xfId="7" applyNumberFormat="1"/>
    <xf numFmtId="0" fontId="8" fillId="0" borderId="0" xfId="0" applyFont="1" applyAlignment="1">
      <alignment horizontal="left" vertical="center" wrapText="1"/>
    </xf>
    <xf numFmtId="165" fontId="4" fillId="4" borderId="51" xfId="11" applyNumberFormat="1" applyFont="1" applyFill="1" applyBorder="1"/>
    <xf numFmtId="3" fontId="4" fillId="4" borderId="51" xfId="5" applyNumberFormat="1" applyBorder="1"/>
    <xf numFmtId="165" fontId="4" fillId="4" borderId="53" xfId="5" applyNumberFormat="1" applyBorder="1"/>
    <xf numFmtId="165" fontId="4" fillId="4" borderId="51" xfId="5" applyNumberFormat="1" applyBorder="1"/>
    <xf numFmtId="41" fontId="4" fillId="4" borderId="51" xfId="5" applyNumberFormat="1" applyBorder="1"/>
    <xf numFmtId="165" fontId="4" fillId="4" borderId="53" xfId="11" applyNumberFormat="1" applyFont="1" applyFill="1" applyBorder="1"/>
    <xf numFmtId="0" fontId="8" fillId="0" borderId="0" xfId="0" applyFont="1" applyAlignment="1">
      <alignment horizontal="left" vertical="center" wrapText="1"/>
    </xf>
    <xf numFmtId="42" fontId="5" fillId="5" borderId="1" xfId="6" applyNumberFormat="1" applyBorder="1"/>
    <xf numFmtId="44" fontId="6" fillId="6" borderId="54" xfId="7" applyNumberFormat="1" applyBorder="1"/>
    <xf numFmtId="165" fontId="5" fillId="0" borderId="11" xfId="6" applyNumberFormat="1" applyFill="1" applyBorder="1"/>
    <xf numFmtId="43" fontId="5" fillId="0" borderId="12" xfId="1" applyFont="1" applyFill="1" applyBorder="1"/>
    <xf numFmtId="43" fontId="5" fillId="0" borderId="0" xfId="1" applyFont="1" applyFill="1" applyBorder="1"/>
    <xf numFmtId="0" fontId="0" fillId="0" borderId="0" xfId="0" applyFill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wrapText="1"/>
    </xf>
    <xf numFmtId="0" fontId="0" fillId="39" borderId="19" xfId="0" applyFill="1" applyBorder="1" applyAlignment="1">
      <alignment horizontal="center" wrapText="1"/>
    </xf>
    <xf numFmtId="43" fontId="8" fillId="0" borderId="0" xfId="1" applyNumberFormat="1" applyFont="1" applyAlignment="1">
      <alignment horizontal="center"/>
    </xf>
    <xf numFmtId="10" fontId="5" fillId="5" borderId="1" xfId="2" applyNumberFormat="1" applyFont="1" applyFill="1" applyBorder="1"/>
    <xf numFmtId="10" fontId="14" fillId="7" borderId="1" xfId="2" applyNumberFormat="1" applyFont="1" applyFill="1" applyBorder="1"/>
    <xf numFmtId="42" fontId="8" fillId="0" borderId="0" xfId="1" applyNumberFormat="1" applyFont="1" applyAlignment="1">
      <alignment horizontal="center"/>
    </xf>
    <xf numFmtId="42" fontId="11" fillId="0" borderId="0" xfId="0" applyNumberFormat="1" applyFont="1" applyBorder="1" applyAlignment="1">
      <alignment horizontal="right" wrapText="1"/>
    </xf>
    <xf numFmtId="0" fontId="8" fillId="0" borderId="0" xfId="0" applyFont="1" applyAlignment="1">
      <alignment horizontal="left"/>
    </xf>
    <xf numFmtId="0" fontId="32" fillId="3" borderId="20" xfId="4" applyFont="1" applyBorder="1" applyAlignment="1"/>
    <xf numFmtId="0" fontId="32" fillId="3" borderId="4" xfId="4" applyFont="1" applyBorder="1" applyAlignment="1"/>
    <xf numFmtId="165" fontId="4" fillId="4" borderId="55" xfId="5" applyNumberFormat="1" applyBorder="1"/>
    <xf numFmtId="41" fontId="4" fillId="4" borderId="56" xfId="5" applyNumberFormat="1" applyBorder="1"/>
    <xf numFmtId="165" fontId="4" fillId="4" borderId="56" xfId="5" applyNumberFormat="1" applyBorder="1"/>
    <xf numFmtId="165" fontId="4" fillId="4" borderId="57" xfId="11" applyNumberFormat="1" applyFont="1" applyFill="1" applyBorder="1"/>
    <xf numFmtId="165" fontId="14" fillId="7" borderId="52" xfId="13" applyNumberFormat="1" applyBorder="1"/>
    <xf numFmtId="44" fontId="6" fillId="6" borderId="58" xfId="7" applyNumberFormat="1" applyBorder="1"/>
    <xf numFmtId="44" fontId="6" fillId="6" borderId="59" xfId="7" applyNumberFormat="1" applyBorder="1"/>
    <xf numFmtId="165" fontId="5" fillId="5" borderId="14" xfId="6" applyNumberFormat="1" applyBorder="1"/>
    <xf numFmtId="0" fontId="7" fillId="0" borderId="10" xfId="8" applyBorder="1"/>
    <xf numFmtId="165" fontId="5" fillId="5" borderId="33" xfId="6" applyNumberFormat="1" applyBorder="1"/>
    <xf numFmtId="44" fontId="0" fillId="0" borderId="10" xfId="0" applyNumberFormat="1" applyFill="1" applyBorder="1"/>
    <xf numFmtId="44" fontId="7" fillId="0" borderId="10" xfId="8" applyNumberFormat="1" applyFill="1" applyBorder="1"/>
    <xf numFmtId="41" fontId="5" fillId="5" borderId="14" xfId="6" applyNumberFormat="1" applyBorder="1"/>
    <xf numFmtId="165" fontId="5" fillId="0" borderId="10" xfId="6" applyNumberFormat="1" applyFill="1" applyBorder="1"/>
    <xf numFmtId="165" fontId="5" fillId="5" borderId="60" xfId="11" applyNumberFormat="1" applyFont="1" applyFill="1" applyBorder="1"/>
    <xf numFmtId="165" fontId="5" fillId="0" borderId="10" xfId="11" applyNumberFormat="1" applyFont="1" applyFill="1" applyBorder="1"/>
    <xf numFmtId="10" fontId="5" fillId="0" borderId="10" xfId="2" applyNumberFormat="1" applyFont="1" applyFill="1" applyBorder="1"/>
    <xf numFmtId="0" fontId="8" fillId="0" borderId="19" xfId="0" applyFont="1" applyBorder="1" applyAlignment="1"/>
    <xf numFmtId="0" fontId="8" fillId="0" borderId="20" xfId="0" applyFont="1" applyBorder="1" applyAlignment="1"/>
    <xf numFmtId="0" fontId="8" fillId="0" borderId="4" xfId="0" applyFont="1" applyBorder="1" applyAlignment="1"/>
    <xf numFmtId="165" fontId="4" fillId="4" borderId="56" xfId="11" applyNumberFormat="1" applyFont="1" applyFill="1" applyBorder="1"/>
    <xf numFmtId="3" fontId="4" fillId="4" borderId="56" xfId="5" applyNumberFormat="1" applyBorder="1"/>
    <xf numFmtId="165" fontId="4" fillId="4" borderId="57" xfId="5" applyNumberFormat="1" applyBorder="1"/>
    <xf numFmtId="42" fontId="5" fillId="5" borderId="14" xfId="1" applyNumberFormat="1" applyFont="1" applyFill="1" applyBorder="1"/>
    <xf numFmtId="165" fontId="5" fillId="5" borderId="21" xfId="11" applyNumberFormat="1" applyFont="1" applyFill="1" applyBorder="1"/>
    <xf numFmtId="42" fontId="5" fillId="5" borderId="14" xfId="6" applyNumberFormat="1" applyBorder="1"/>
    <xf numFmtId="41" fontId="5" fillId="5" borderId="23" xfId="6" applyNumberFormat="1" applyBorder="1"/>
    <xf numFmtId="41" fontId="5" fillId="5" borderId="33" xfId="6" applyNumberFormat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41" fontId="5" fillId="5" borderId="61" xfId="6" applyNumberFormat="1" applyBorder="1"/>
    <xf numFmtId="42" fontId="5" fillId="5" borderId="13" xfId="6" applyNumberFormat="1" applyBorder="1"/>
    <xf numFmtId="42" fontId="5" fillId="37" borderId="22" xfId="6" applyNumberFormat="1" applyFill="1" applyBorder="1"/>
    <xf numFmtId="41" fontId="5" fillId="5" borderId="62" xfId="6" applyNumberFormat="1" applyBorder="1"/>
    <xf numFmtId="10" fontId="8" fillId="0" borderId="0" xfId="0" applyNumberFormat="1" applyFont="1" applyAlignment="1">
      <alignment horizontal="center" wrapText="1"/>
    </xf>
    <xf numFmtId="44" fontId="33" fillId="0" borderId="0" xfId="1" applyNumberFormat="1" applyFont="1" applyAlignment="1">
      <alignment horizontal="right"/>
    </xf>
    <xf numFmtId="172" fontId="14" fillId="7" borderId="13" xfId="13" applyNumberFormat="1" applyBorder="1"/>
    <xf numFmtId="170" fontId="10" fillId="0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38" borderId="20" xfId="0" applyFont="1" applyFill="1" applyBorder="1" applyAlignment="1">
      <alignment horizontal="center"/>
    </xf>
    <xf numFmtId="0" fontId="8" fillId="38" borderId="4" xfId="0" applyFont="1" applyFill="1" applyBorder="1" applyAlignment="1">
      <alignment horizontal="center"/>
    </xf>
    <xf numFmtId="0" fontId="32" fillId="3" borderId="19" xfId="4" applyFont="1" applyBorder="1" applyAlignment="1">
      <alignment horizontal="center"/>
    </xf>
    <xf numFmtId="0" fontId="32" fillId="3" borderId="20" xfId="4" applyFont="1" applyBorder="1" applyAlignment="1">
      <alignment horizontal="center"/>
    </xf>
    <xf numFmtId="0" fontId="32" fillId="3" borderId="4" xfId="4" applyFont="1" applyBorder="1" applyAlignment="1">
      <alignment horizontal="center"/>
    </xf>
    <xf numFmtId="0" fontId="8" fillId="0" borderId="0" xfId="0" applyFont="1" applyFill="1" applyAlignment="1">
      <alignment horizontal="left" vertical="center" wrapText="1"/>
    </xf>
    <xf numFmtId="0" fontId="33" fillId="0" borderId="19" xfId="8" applyFont="1" applyBorder="1" applyAlignment="1">
      <alignment horizontal="center"/>
    </xf>
    <xf numFmtId="0" fontId="33" fillId="0" borderId="20" xfId="8" applyFont="1" applyBorder="1" applyAlignment="1">
      <alignment horizontal="center"/>
    </xf>
    <xf numFmtId="0" fontId="33" fillId="0" borderId="4" xfId="8" applyFont="1" applyBorder="1" applyAlignment="1">
      <alignment horizontal="center"/>
    </xf>
  </cellXfs>
  <cellStyles count="302">
    <cellStyle name="20% - Accent1" xfId="24" builtinId="30" customBuiltin="1"/>
    <cellStyle name="20% - Accent1 2" xfId="54"/>
    <cellStyle name="20% - Accent2" xfId="28" builtinId="34" customBuiltin="1"/>
    <cellStyle name="20% - Accent2 2" xfId="56"/>
    <cellStyle name="20% - Accent3" xfId="32" builtinId="38" customBuiltin="1"/>
    <cellStyle name="20% - Accent3 2" xfId="58"/>
    <cellStyle name="20% - Accent4" xfId="36" builtinId="42" customBuiltin="1"/>
    <cellStyle name="20% - Accent4 2" xfId="60"/>
    <cellStyle name="20% - Accent5" xfId="40" builtinId="46" customBuiltin="1"/>
    <cellStyle name="20% - Accent5 2" xfId="62"/>
    <cellStyle name="20% - Accent6" xfId="44" builtinId="50" customBuiltin="1"/>
    <cellStyle name="20% - Accent6 2" xfId="64"/>
    <cellStyle name="40% - Accent1" xfId="25" builtinId="31" customBuiltin="1"/>
    <cellStyle name="40% - Accent1 2" xfId="55"/>
    <cellStyle name="40% - Accent2" xfId="29" builtinId="35" customBuiltin="1"/>
    <cellStyle name="40% - Accent2 2" xfId="57"/>
    <cellStyle name="40% - Accent3" xfId="33" builtinId="39" customBuiltin="1"/>
    <cellStyle name="40% - Accent3 2" xfId="59"/>
    <cellStyle name="40% - Accent4" xfId="37" builtinId="43" customBuiltin="1"/>
    <cellStyle name="40% - Accent4 2" xfId="61"/>
    <cellStyle name="40% - Accent5" xfId="41" builtinId="47" customBuiltin="1"/>
    <cellStyle name="40% - Accent5 2" xfId="63"/>
    <cellStyle name="40% - Accent6" xfId="45" builtinId="51" customBuiltin="1"/>
    <cellStyle name="40% - Accent6 2" xfId="65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68"/>
    <cellStyle name="Comma 2 2" xfId="282"/>
    <cellStyle name="Comma 3" xfId="66"/>
    <cellStyle name="Comma 3 2" xfId="9"/>
    <cellStyle name="Comma 4" xfId="192"/>
    <cellStyle name="Comma 5" xfId="52"/>
    <cellStyle name="Currency" xfId="11" builtinId="4"/>
    <cellStyle name="Currency [0] 2" xfId="114"/>
    <cellStyle name="Currency [0] 2 2" xfId="203"/>
    <cellStyle name="Currency 10" xfId="193"/>
    <cellStyle name="Currency 11" xfId="112"/>
    <cellStyle name="Currency 12" xfId="197"/>
    <cellStyle name="Currency 13" xfId="50"/>
    <cellStyle name="Currency 13 2" xfId="288"/>
    <cellStyle name="Currency 14" xfId="285"/>
    <cellStyle name="Currency 15" xfId="289"/>
    <cellStyle name="Currency 16" xfId="291"/>
    <cellStyle name="Currency 17" xfId="292"/>
    <cellStyle name="Currency 18" xfId="293"/>
    <cellStyle name="Currency 19" xfId="294"/>
    <cellStyle name="Currency 2" xfId="69"/>
    <cellStyle name="Currency 2 2" xfId="111"/>
    <cellStyle name="Currency 2 2 2" xfId="202"/>
    <cellStyle name="Currency 2 3" xfId="280"/>
    <cellStyle name="Currency 20" xfId="295"/>
    <cellStyle name="Currency 21" xfId="296"/>
    <cellStyle name="Currency 22" xfId="297"/>
    <cellStyle name="Currency 3" xfId="67"/>
    <cellStyle name="Currency 3 2" xfId="279"/>
    <cellStyle name="Currency 4" xfId="115"/>
    <cellStyle name="Currency 4 2" xfId="204"/>
    <cellStyle name="Currency 4 3" xfId="281"/>
    <cellStyle name="Currency 5" xfId="116"/>
    <cellStyle name="Currency 5 2" xfId="205"/>
    <cellStyle name="Currency 6" xfId="117"/>
    <cellStyle name="Currency 6 2" xfId="206"/>
    <cellStyle name="Currency 7" xfId="118"/>
    <cellStyle name="Currency 7 2" xfId="207"/>
    <cellStyle name="Currency 8" xfId="194"/>
    <cellStyle name="Currency 9" xfId="195"/>
    <cellStyle name="Data Field" xfId="119"/>
    <cellStyle name="Data Field 2" xfId="208"/>
    <cellStyle name="Data Name" xfId="120"/>
    <cellStyle name="Data Name 2" xfId="209"/>
    <cellStyle name="Explanatory Text" xfId="8" builtinId="53" customBuiltin="1"/>
    <cellStyle name="Followed Hyperlink" xfId="287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6" builtinId="8" customBuiltin="1"/>
    <cellStyle name="Hyperlink 2" xfId="121"/>
    <cellStyle name="Hyperlink 3" xfId="122"/>
    <cellStyle name="Hyperlink 4" xfId="300"/>
    <cellStyle name="Hyperlink 5" xfId="298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3"/>
    <cellStyle name="Normal 10 2" xfId="124"/>
    <cellStyle name="Normal 10 2 2" xfId="211"/>
    <cellStyle name="Normal 10 3" xfId="210"/>
    <cellStyle name="Normal 11" xfId="125"/>
    <cellStyle name="Normal 11 2" xfId="212"/>
    <cellStyle name="Normal 12" xfId="126"/>
    <cellStyle name="Normal 12 2" xfId="213"/>
    <cellStyle name="Normal 13" xfId="127"/>
    <cellStyle name="Normal 13 2" xfId="214"/>
    <cellStyle name="Normal 14" xfId="128"/>
    <cellStyle name="Normal 14 2" xfId="215"/>
    <cellStyle name="Normal 15" xfId="129"/>
    <cellStyle name="Normal 16" xfId="130"/>
    <cellStyle name="Normal 16 2" xfId="216"/>
    <cellStyle name="Normal 17" xfId="48"/>
    <cellStyle name="Normal 18" xfId="131"/>
    <cellStyle name="Normal 18 2" xfId="217"/>
    <cellStyle name="Normal 19" xfId="132"/>
    <cellStyle name="Normal 19 2" xfId="218"/>
    <cellStyle name="Normal 2" xfId="51"/>
    <cellStyle name="Normal 2 2" xfId="71"/>
    <cellStyle name="Normal 2 2 2" xfId="72"/>
    <cellStyle name="Normal 2 2 3" xfId="73"/>
    <cellStyle name="Normal 2 2 4" xfId="74"/>
    <cellStyle name="Normal 2 2 5" xfId="75"/>
    <cellStyle name="Normal 2 2 6" xfId="76"/>
    <cellStyle name="Normal 2 2 7" xfId="77"/>
    <cellStyle name="Normal 2 2 8" xfId="78"/>
    <cellStyle name="Normal 2 2 9" xfId="79"/>
    <cellStyle name="Normal 2 3" xfId="80"/>
    <cellStyle name="Normal 2 4" xfId="81"/>
    <cellStyle name="Normal 2 4 2" xfId="82"/>
    <cellStyle name="Normal 2 5" xfId="110"/>
    <cellStyle name="Normal 2 5 2" xfId="201"/>
    <cellStyle name="Normal 2 6" xfId="47"/>
    <cellStyle name="Normal 2 6 2" xfId="70"/>
    <cellStyle name="Normal 2 7" xfId="299"/>
    <cellStyle name="Normal 26" xfId="106"/>
    <cellStyle name="Normal 26 2" xfId="199"/>
    <cellStyle name="Normal 27" xfId="107"/>
    <cellStyle name="Normal 27 2" xfId="200"/>
    <cellStyle name="Normal 28" xfId="133"/>
    <cellStyle name="Normal 28 2" xfId="219"/>
    <cellStyle name="Normal 3" xfId="83"/>
    <cellStyle name="Normal 3 2" xfId="84"/>
    <cellStyle name="Normal 3 2 2" xfId="85"/>
    <cellStyle name="Normal 3 2 3" xfId="86"/>
    <cellStyle name="Normal 3 2 4" xfId="87"/>
    <cellStyle name="Normal 3 2 5" xfId="88"/>
    <cellStyle name="Normal 3 2 6" xfId="89"/>
    <cellStyle name="Normal 3 2 7" xfId="90"/>
    <cellStyle name="Normal 3 2 8" xfId="91"/>
    <cellStyle name="Normal 3 2 9" xfId="92"/>
    <cellStyle name="Normal 3 3" xfId="108"/>
    <cellStyle name="Normal 3 40" xfId="109"/>
    <cellStyle name="Normal 33" xfId="277"/>
    <cellStyle name="Normal 35" xfId="301"/>
    <cellStyle name="Normal 36" xfId="134"/>
    <cellStyle name="Normal 36 2" xfId="220"/>
    <cellStyle name="Normal 37" xfId="135"/>
    <cellStyle name="Normal 37 2" xfId="221"/>
    <cellStyle name="Normal 38" xfId="136"/>
    <cellStyle name="Normal 38 2" xfId="222"/>
    <cellStyle name="Normal 39" xfId="137"/>
    <cellStyle name="Normal 39 2" xfId="223"/>
    <cellStyle name="Normal 4" xfId="10"/>
    <cellStyle name="Normal 4 2" xfId="94"/>
    <cellStyle name="Normal 4 3" xfId="93"/>
    <cellStyle name="Normal 4 4" xfId="278"/>
    <cellStyle name="Normal 40" xfId="138"/>
    <cellStyle name="Normal 40 2" xfId="224"/>
    <cellStyle name="Normal 41" xfId="139"/>
    <cellStyle name="Normal 41 2" xfId="225"/>
    <cellStyle name="Normal 42" xfId="140"/>
    <cellStyle name="Normal 42 2" xfId="226"/>
    <cellStyle name="Normal 43" xfId="141"/>
    <cellStyle name="Normal 43 2" xfId="227"/>
    <cellStyle name="Normal 44" xfId="142"/>
    <cellStyle name="Normal 44 2" xfId="228"/>
    <cellStyle name="Normal 45" xfId="143"/>
    <cellStyle name="Normal 45 2" xfId="229"/>
    <cellStyle name="Normal 46" xfId="144"/>
    <cellStyle name="Normal 46 2" xfId="230"/>
    <cellStyle name="Normal 47" xfId="145"/>
    <cellStyle name="Normal 47 2" xfId="231"/>
    <cellStyle name="Normal 48" xfId="146"/>
    <cellStyle name="Normal 48 2" xfId="232"/>
    <cellStyle name="Normal 49" xfId="147"/>
    <cellStyle name="Normal 49 2" xfId="233"/>
    <cellStyle name="Normal 5" xfId="95"/>
    <cellStyle name="Normal 5 2" xfId="96"/>
    <cellStyle name="Normal 5 3" xfId="97"/>
    <cellStyle name="Normal 5 4" xfId="98"/>
    <cellStyle name="Normal 50" xfId="148"/>
    <cellStyle name="Normal 50 2" xfId="234"/>
    <cellStyle name="Normal 51" xfId="149"/>
    <cellStyle name="Normal 51 2" xfId="235"/>
    <cellStyle name="Normal 52" xfId="150"/>
    <cellStyle name="Normal 52 2" xfId="236"/>
    <cellStyle name="Normal 53" xfId="151"/>
    <cellStyle name="Normal 53 2" xfId="237"/>
    <cellStyle name="Normal 54" xfId="152"/>
    <cellStyle name="Normal 54 2" xfId="238"/>
    <cellStyle name="Normal 55" xfId="153"/>
    <cellStyle name="Normal 55 2" xfId="239"/>
    <cellStyle name="Normal 56" xfId="154"/>
    <cellStyle name="Normal 56 2" xfId="240"/>
    <cellStyle name="Normal 57" xfId="155"/>
    <cellStyle name="Normal 57 2" xfId="241"/>
    <cellStyle name="Normal 58" xfId="156"/>
    <cellStyle name="Normal 58 2" xfId="242"/>
    <cellStyle name="Normal 59" xfId="157"/>
    <cellStyle name="Normal 59 2" xfId="243"/>
    <cellStyle name="Normal 6" xfId="99"/>
    <cellStyle name="Normal 6 2" xfId="100"/>
    <cellStyle name="Normal 6 3" xfId="101"/>
    <cellStyle name="Normal 60" xfId="158"/>
    <cellStyle name="Normal 60 2" xfId="244"/>
    <cellStyle name="Normal 61" xfId="159"/>
    <cellStyle name="Normal 61 2" xfId="245"/>
    <cellStyle name="Normal 62" xfId="160"/>
    <cellStyle name="Normal 62 2" xfId="246"/>
    <cellStyle name="Normal 63" xfId="161"/>
    <cellStyle name="Normal 63 2" xfId="247"/>
    <cellStyle name="Normal 64" xfId="162"/>
    <cellStyle name="Normal 64 2" xfId="248"/>
    <cellStyle name="Normal 65" xfId="163"/>
    <cellStyle name="Normal 65 2" xfId="249"/>
    <cellStyle name="Normal 66" xfId="164"/>
    <cellStyle name="Normal 66 2" xfId="250"/>
    <cellStyle name="Normal 67" xfId="165"/>
    <cellStyle name="Normal 67 2" xfId="251"/>
    <cellStyle name="Normal 69" xfId="166"/>
    <cellStyle name="Normal 69 2" xfId="252"/>
    <cellStyle name="Normal 7" xfId="102"/>
    <cellStyle name="Normal 70" xfId="167"/>
    <cellStyle name="Normal 70 2" xfId="253"/>
    <cellStyle name="Normal 71" xfId="168"/>
    <cellStyle name="Normal 71 2" xfId="254"/>
    <cellStyle name="Normal 72" xfId="169"/>
    <cellStyle name="Normal 72 2" xfId="255"/>
    <cellStyle name="Normal 73" xfId="170"/>
    <cellStyle name="Normal 73 2" xfId="256"/>
    <cellStyle name="Normal 74" xfId="171"/>
    <cellStyle name="Normal 74 2" xfId="257"/>
    <cellStyle name="Normal 75" xfId="172"/>
    <cellStyle name="Normal 75 2" xfId="258"/>
    <cellStyle name="Normal 76" xfId="173"/>
    <cellStyle name="Normal 76 2" xfId="259"/>
    <cellStyle name="Normal 77" xfId="174"/>
    <cellStyle name="Normal 77 2" xfId="260"/>
    <cellStyle name="Normal 78" xfId="175"/>
    <cellStyle name="Normal 78 2" xfId="261"/>
    <cellStyle name="Normal 79" xfId="176"/>
    <cellStyle name="Normal 79 2" xfId="262"/>
    <cellStyle name="Normal 8" xfId="103"/>
    <cellStyle name="Normal 80" xfId="177"/>
    <cellStyle name="Normal 80 2" xfId="263"/>
    <cellStyle name="Normal 81" xfId="178"/>
    <cellStyle name="Normal 81 2" xfId="264"/>
    <cellStyle name="Normal 82" xfId="179"/>
    <cellStyle name="Normal 82 2" xfId="265"/>
    <cellStyle name="Normal 83" xfId="180"/>
    <cellStyle name="Normal 83 2" xfId="266"/>
    <cellStyle name="Normal 84" xfId="181"/>
    <cellStyle name="Normal 84 2" xfId="267"/>
    <cellStyle name="Normal 85" xfId="182"/>
    <cellStyle name="Normal 85 2" xfId="268"/>
    <cellStyle name="Normal 86" xfId="183"/>
    <cellStyle name="Normal 86 2" xfId="269"/>
    <cellStyle name="Normal 87" xfId="184"/>
    <cellStyle name="Normal 87 2" xfId="270"/>
    <cellStyle name="Normal 9" xfId="104"/>
    <cellStyle name="Normal 9 2" xfId="105"/>
    <cellStyle name="Normal 9 2 2" xfId="198"/>
    <cellStyle name="Note" xfId="14" builtinId="10" customBuiltin="1"/>
    <cellStyle name="Note 2" xfId="53"/>
    <cellStyle name="Output" xfId="12" builtinId="21" customBuiltin="1"/>
    <cellStyle name="Percent" xfId="2" builtinId="5"/>
    <cellStyle name="Percent 10" xfId="113"/>
    <cellStyle name="Percent 11" xfId="49"/>
    <cellStyle name="Percent 11 2" xfId="290"/>
    <cellStyle name="Percent 2" xfId="185"/>
    <cellStyle name="Percent 2 2" xfId="271"/>
    <cellStyle name="Percent 3" xfId="186"/>
    <cellStyle name="Percent 3 2" xfId="272"/>
    <cellStyle name="Percent 3 3" xfId="283"/>
    <cellStyle name="Percent 4" xfId="187"/>
    <cellStyle name="Percent 4 2" xfId="273"/>
    <cellStyle name="Percent 4 3" xfId="284"/>
    <cellStyle name="Percent 5" xfId="188"/>
    <cellStyle name="Percent 5 2" xfId="274"/>
    <cellStyle name="Percent 6" xfId="189"/>
    <cellStyle name="Percent 6 2" xfId="275"/>
    <cellStyle name="Percent 7" xfId="190"/>
    <cellStyle name="Percent 8" xfId="191"/>
    <cellStyle name="Percent 8 2" xfId="276"/>
    <cellStyle name="Percent 9" xfId="196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colors>
    <mruColors>
      <color rgb="FFFFFF99"/>
      <color rgb="FFFF00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Billed%20kWh%20Budget%20KCPL%202017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KCPL%20MEEIA%20Cycle%202%20Forecast%202017-2019%20102017%20actuals%201121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KCPLMO%20MEEIA%202017%20Revenue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CorpAcctg/MEEIA/KCPL%20MEEIA%20DSIM%20RIDER/20170601%20Filing/KCPL%20Short-Term%20Borrowing%20Rate%20May%20-%20October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SI%20Projects%20052017-102017%20KCP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TD%20Model%20KCPL-MO%20102017%201109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CorpAcctg/MEEIA/KCPL%20MEEIA%20DSIM%20RIDER/20161201%20Filing/PI%20Annuity%20Calc%20KCP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PI%20Annuity%20Calc%20KCP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KCPL%20OA%200803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CPL"/>
    </sheetNames>
    <sheetDataSet>
      <sheetData sheetId="0">
        <row r="14">
          <cell r="M14">
            <v>166742902</v>
          </cell>
          <cell r="N14">
            <v>236526712</v>
          </cell>
          <cell r="O14">
            <v>263508406</v>
          </cell>
        </row>
        <row r="15">
          <cell r="M15">
            <v>369762592.51991725</v>
          </cell>
          <cell r="N15">
            <v>406394331.36253566</v>
          </cell>
          <cell r="O15">
            <v>413010062.04077494</v>
          </cell>
        </row>
        <row r="19">
          <cell r="U19">
            <v>1206943063</v>
          </cell>
        </row>
        <row r="20">
          <cell r="U20">
            <v>2350641500.094481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 Budget Sumry"/>
      <sheetName val="EEIA Non-labor loadfile"/>
      <sheetName val="Base Rate EE Non-labor loadfile"/>
      <sheetName val="KCPL Monthly TD Calc"/>
      <sheetName val="Program Costs - KCP&amp;L"/>
    </sheetNames>
    <sheetDataSet>
      <sheetData sheetId="0"/>
      <sheetData sheetId="1"/>
      <sheetData sheetId="2"/>
      <sheetData sheetId="3">
        <row r="317">
          <cell r="V317">
            <v>180983.79</v>
          </cell>
          <cell r="W317">
            <v>197708.49</v>
          </cell>
        </row>
        <row r="318">
          <cell r="V318">
            <v>292069.31</v>
          </cell>
          <cell r="W318">
            <v>292236.71999999997</v>
          </cell>
        </row>
        <row r="321">
          <cell r="AC321">
            <v>1597499.99</v>
          </cell>
        </row>
        <row r="322">
          <cell r="AC322">
            <v>2317937.29</v>
          </cell>
        </row>
        <row r="338">
          <cell r="V338">
            <v>2626710.2895660573</v>
          </cell>
          <cell r="W338">
            <v>3299632.0410235371</v>
          </cell>
        </row>
        <row r="339">
          <cell r="V339">
            <v>6489537.0390723916</v>
          </cell>
          <cell r="W339">
            <v>6795882.0053746812</v>
          </cell>
        </row>
        <row r="343">
          <cell r="AC343">
            <v>22737158.390450407</v>
          </cell>
        </row>
        <row r="344">
          <cell r="AC344">
            <v>49880726.33835005</v>
          </cell>
        </row>
      </sheetData>
      <sheetData sheetId="4">
        <row r="153">
          <cell r="W153">
            <v>468780.12134502933</v>
          </cell>
          <cell r="X153">
            <v>474568.54467836261</v>
          </cell>
        </row>
        <row r="154">
          <cell r="W154">
            <v>716130.79052631569</v>
          </cell>
          <cell r="X154">
            <v>718033.11052631587</v>
          </cell>
        </row>
        <row r="155">
          <cell r="W155">
            <v>364042.23</v>
          </cell>
          <cell r="X155">
            <v>51366.430000000008</v>
          </cell>
        </row>
        <row r="159">
          <cell r="AD159">
            <v>2162578.8379261624</v>
          </cell>
        </row>
        <row r="160">
          <cell r="AD160">
            <v>4209694.0031578951</v>
          </cell>
        </row>
        <row r="161">
          <cell r="AD161">
            <v>531133.56999999995</v>
          </cell>
        </row>
        <row r="162">
          <cell r="AD16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CPL-MO Revenue Analysis"/>
      <sheetName val="KCP&amp;L MO DSIM Rate Table"/>
      <sheetName val="DSIM Rates - Initial RP"/>
      <sheetName val="DSIM Rates - 2nd RP"/>
      <sheetName val="DSIM Rates - 3rd RP"/>
      <sheetName val="DSIM Rates - 4th RP"/>
      <sheetName val="DSIM Rates - 4th RP Cycle 2"/>
      <sheetName val="DSIM Rates 5th RP"/>
      <sheetName val="DSIM Rates 6th RP"/>
      <sheetName val="DSIM Rates 7th RP"/>
    </sheetNames>
    <sheetDataSet>
      <sheetData sheetId="0">
        <row r="150">
          <cell r="G150">
            <v>18.79</v>
          </cell>
          <cell r="H150">
            <v>10.61</v>
          </cell>
          <cell r="I150">
            <v>-2.87</v>
          </cell>
          <cell r="J150">
            <v>141.91</v>
          </cell>
          <cell r="K150">
            <v>61.15</v>
          </cell>
          <cell r="L150">
            <v>25.09</v>
          </cell>
        </row>
        <row r="151">
          <cell r="G151">
            <v>-1.37</v>
          </cell>
          <cell r="H151">
            <v>5.31</v>
          </cell>
          <cell r="I151">
            <v>-2.31</v>
          </cell>
          <cell r="J151">
            <v>23.22</v>
          </cell>
          <cell r="K151">
            <v>0</v>
          </cell>
          <cell r="L151">
            <v>0</v>
          </cell>
        </row>
        <row r="155">
          <cell r="G155">
            <v>2879.03</v>
          </cell>
          <cell r="H155">
            <v>4012.6</v>
          </cell>
          <cell r="I155">
            <v>5581.87</v>
          </cell>
          <cell r="J155">
            <v>8369.0299999999988</v>
          </cell>
          <cell r="K155">
            <v>-61.15</v>
          </cell>
          <cell r="L155">
            <v>-25.09</v>
          </cell>
        </row>
        <row r="156">
          <cell r="G156">
            <v>224796.41</v>
          </cell>
          <cell r="H156">
            <v>259159.98</v>
          </cell>
          <cell r="I156">
            <v>282582.21000000002</v>
          </cell>
          <cell r="J156">
            <v>101110.56</v>
          </cell>
          <cell r="K156">
            <v>-145526.24</v>
          </cell>
          <cell r="L156">
            <v>-163796.70000000001</v>
          </cell>
        </row>
        <row r="160">
          <cell r="G160">
            <v>-25877.21</v>
          </cell>
          <cell r="H160">
            <v>-36063.040000000001</v>
          </cell>
          <cell r="I160">
            <v>-50285.71</v>
          </cell>
          <cell r="J160">
            <v>-35768.660000000003</v>
          </cell>
          <cell r="K160">
            <v>-8670.4699999999993</v>
          </cell>
          <cell r="L160">
            <v>-7665.64</v>
          </cell>
        </row>
        <row r="161">
          <cell r="G161">
            <v>103766.63</v>
          </cell>
          <cell r="H161">
            <v>118916.89</v>
          </cell>
          <cell r="I161">
            <v>130418.63</v>
          </cell>
          <cell r="J161">
            <v>54909.17</v>
          </cell>
          <cell r="K161">
            <v>-48488.32</v>
          </cell>
          <cell r="L161">
            <v>-55803.53</v>
          </cell>
        </row>
        <row r="165">
          <cell r="G165">
            <v>122250.23</v>
          </cell>
          <cell r="H165">
            <v>170402.96</v>
          </cell>
          <cell r="I165">
            <v>237488.03</v>
          </cell>
          <cell r="J165">
            <v>222798.62</v>
          </cell>
          <cell r="K165">
            <v>160509.38</v>
          </cell>
          <cell r="L165">
            <v>141977.93</v>
          </cell>
        </row>
        <row r="166">
          <cell r="G166">
            <v>356406.54</v>
          </cell>
          <cell r="H166">
            <v>400622.95</v>
          </cell>
          <cell r="I166">
            <v>447741.82</v>
          </cell>
          <cell r="J166">
            <v>429816.64</v>
          </cell>
          <cell r="K166">
            <v>376600.5</v>
          </cell>
          <cell r="L166">
            <v>360589.78</v>
          </cell>
        </row>
        <row r="175">
          <cell r="G175">
            <v>384080.89</v>
          </cell>
          <cell r="H175">
            <v>535383.52</v>
          </cell>
          <cell r="I175">
            <v>746060.68</v>
          </cell>
          <cell r="J175">
            <v>722967.13</v>
          </cell>
          <cell r="K175">
            <v>555219.18000000005</v>
          </cell>
          <cell r="L175">
            <v>491219.02</v>
          </cell>
        </row>
        <row r="176">
          <cell r="G176">
            <v>709328.24</v>
          </cell>
          <cell r="H176">
            <v>798605.8</v>
          </cell>
          <cell r="I176">
            <v>891141.69</v>
          </cell>
          <cell r="J176">
            <v>757935.34</v>
          </cell>
          <cell r="K176">
            <v>530626.94999999995</v>
          </cell>
          <cell r="L176">
            <v>498570.95</v>
          </cell>
        </row>
        <row r="180">
          <cell r="G180">
            <v>-63269.18</v>
          </cell>
          <cell r="H180">
            <v>-88184.68</v>
          </cell>
          <cell r="I180">
            <v>-122916.39</v>
          </cell>
          <cell r="J180">
            <v>15738.64</v>
          </cell>
          <cell r="K180">
            <v>218911.46999999997</v>
          </cell>
          <cell r="L180">
            <v>193809.15</v>
          </cell>
        </row>
        <row r="181">
          <cell r="G181">
            <v>24220.38</v>
          </cell>
          <cell r="H181">
            <v>27314.87</v>
          </cell>
          <cell r="I181">
            <v>30430.9</v>
          </cell>
          <cell r="J181">
            <v>503629.32</v>
          </cell>
          <cell r="K181">
            <v>1088591.48</v>
          </cell>
          <cell r="L181">
            <v>1076858.71</v>
          </cell>
        </row>
        <row r="185">
          <cell r="G185">
            <v>142407.43</v>
          </cell>
          <cell r="H185">
            <v>198506.32</v>
          </cell>
          <cell r="I185">
            <v>276627.26</v>
          </cell>
          <cell r="J185">
            <v>288612.86</v>
          </cell>
          <cell r="K185">
            <v>251553.74</v>
          </cell>
          <cell r="L185">
            <v>222574.99</v>
          </cell>
        </row>
        <row r="186">
          <cell r="G186">
            <v>79584.509999999995</v>
          </cell>
          <cell r="H186">
            <v>89538.31</v>
          </cell>
          <cell r="I186">
            <v>99981.739999999991</v>
          </cell>
          <cell r="J186">
            <v>161426.95000000001</v>
          </cell>
          <cell r="K186">
            <v>230720.96</v>
          </cell>
          <cell r="L186">
            <v>225551.54</v>
          </cell>
        </row>
        <row r="194">
          <cell r="G194">
            <v>143868231</v>
          </cell>
          <cell r="H194">
            <v>200517334</v>
          </cell>
          <cell r="I194">
            <v>279429318</v>
          </cell>
          <cell r="J194">
            <v>274875442</v>
          </cell>
          <cell r="K194">
            <v>216905940</v>
          </cell>
          <cell r="L194">
            <v>191898728</v>
          </cell>
        </row>
        <row r="195">
          <cell r="G195">
            <v>346003426</v>
          </cell>
          <cell r="H195">
            <v>389950694</v>
          </cell>
          <cell r="I195">
            <v>434706577</v>
          </cell>
          <cell r="J195">
            <v>434990644</v>
          </cell>
          <cell r="K195">
            <v>404919595</v>
          </cell>
          <cell r="L195">
            <v>387124293</v>
          </cell>
        </row>
        <row r="200">
          <cell r="G200">
            <v>143859205</v>
          </cell>
          <cell r="H200">
            <v>200511157</v>
          </cell>
          <cell r="I200">
            <v>279429696</v>
          </cell>
          <cell r="J200">
            <v>274808330</v>
          </cell>
          <cell r="K200">
            <v>216874626</v>
          </cell>
          <cell r="L200">
            <v>191887500</v>
          </cell>
        </row>
        <row r="201">
          <cell r="G201">
            <v>346004150</v>
          </cell>
          <cell r="H201">
            <v>389947876</v>
          </cell>
          <cell r="I201">
            <v>434706890</v>
          </cell>
          <cell r="J201">
            <v>434980420</v>
          </cell>
          <cell r="K201">
            <v>404919595</v>
          </cell>
          <cell r="L201">
            <v>387124293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2017"/>
      <sheetName val="June 2017"/>
      <sheetName val="July 2017"/>
      <sheetName val="Aug 2017"/>
      <sheetName val="Sept 2017"/>
      <sheetName val="Oct 2017"/>
    </sheetNames>
    <sheetDataSet>
      <sheetData sheetId="0">
        <row r="51">
          <cell r="F51">
            <v>1.8848000000000001E-3</v>
          </cell>
        </row>
      </sheetData>
      <sheetData sheetId="1">
        <row r="51">
          <cell r="F51">
            <v>2.0156100000000001E-3</v>
          </cell>
        </row>
      </sheetData>
      <sheetData sheetId="2">
        <row r="51">
          <cell r="F51">
            <v>2.0650299999999998E-3</v>
          </cell>
        </row>
      </sheetData>
      <sheetData sheetId="3">
        <row r="51">
          <cell r="F51">
            <v>2.0681900000000001E-3</v>
          </cell>
        </row>
      </sheetData>
      <sheetData sheetId="4">
        <row r="51">
          <cell r="F51">
            <v>2.0708300000000001E-3</v>
          </cell>
        </row>
      </sheetData>
      <sheetData sheetId="5">
        <row r="51">
          <cell r="F51">
            <v>2.0734999999999998E-3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052017-102017"/>
    </sheetNames>
    <sheetDataSet>
      <sheetData sheetId="0">
        <row r="27">
          <cell r="D27">
            <v>573527.12999999989</v>
          </cell>
          <cell r="E27">
            <v>1325319.7399999998</v>
          </cell>
          <cell r="F27">
            <v>1176164.9900000002</v>
          </cell>
          <cell r="G27">
            <v>794440.46</v>
          </cell>
          <cell r="H27">
            <v>610170.23</v>
          </cell>
          <cell r="I27">
            <v>860728.25000000047</v>
          </cell>
        </row>
        <row r="28">
          <cell r="D28">
            <v>827703.02</v>
          </cell>
          <cell r="E28">
            <v>585745.81000000006</v>
          </cell>
          <cell r="F28">
            <v>851931.52</v>
          </cell>
          <cell r="G28">
            <v>928863.25000000012</v>
          </cell>
          <cell r="H28">
            <v>835716.74</v>
          </cell>
          <cell r="I28">
            <v>1090401.3699999999</v>
          </cell>
        </row>
        <row r="29">
          <cell r="D29">
            <v>41543.480000000018</v>
          </cell>
          <cell r="E29">
            <v>123446.98999999999</v>
          </cell>
          <cell r="F29">
            <v>55967.679999999993</v>
          </cell>
          <cell r="G29">
            <v>22251.75</v>
          </cell>
          <cell r="H29">
            <v>48576.470000000008</v>
          </cell>
          <cell r="I29">
            <v>14214.909999999996</v>
          </cell>
        </row>
        <row r="30">
          <cell r="D30">
            <v>2.8649083105847239E-11</v>
          </cell>
          <cell r="E30">
            <v>3.0468072509393096E-11</v>
          </cell>
          <cell r="F30">
            <v>9.0949470177292824E-13</v>
          </cell>
          <cell r="G30">
            <v>-2.7284841053187847E-11</v>
          </cell>
          <cell r="H30">
            <v>-2.2737367544323206E-13</v>
          </cell>
          <cell r="I30">
            <v>6.8212102632969618E-13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nthly TD Calc"/>
    </sheetNames>
    <sheetDataSet>
      <sheetData sheetId="0"/>
      <sheetData sheetId="1">
        <row r="285">
          <cell r="P285">
            <v>2884428.5345423138</v>
          </cell>
          <cell r="Q285">
            <v>2786472.6287827203</v>
          </cell>
          <cell r="R285">
            <v>3901333.945663698</v>
          </cell>
          <cell r="S285">
            <v>4117683.6556096864</v>
          </cell>
          <cell r="T285">
            <v>3621465.2633807245</v>
          </cell>
          <cell r="U285">
            <v>3140082.7151308162</v>
          </cell>
        </row>
        <row r="286">
          <cell r="P286">
            <v>6525091.7732651113</v>
          </cell>
          <cell r="Q286">
            <v>5170241.2726275204</v>
          </cell>
          <cell r="R286">
            <v>5638389.9412095528</v>
          </cell>
          <cell r="S286">
            <v>6064928.9506365722</v>
          </cell>
          <cell r="T286">
            <v>5822352.1739910841</v>
          </cell>
          <cell r="U286">
            <v>6387899.5064356178</v>
          </cell>
        </row>
        <row r="318">
          <cell r="P318">
            <v>192620.09</v>
          </cell>
          <cell r="Q318">
            <v>284258.78999999998</v>
          </cell>
          <cell r="R318">
            <v>408834.87</v>
          </cell>
          <cell r="S318">
            <v>436098.36</v>
          </cell>
          <cell r="T318">
            <v>376417.12</v>
          </cell>
          <cell r="U318">
            <v>205519.18</v>
          </cell>
        </row>
        <row r="319">
          <cell r="P319">
            <v>284537.77</v>
          </cell>
          <cell r="Q319">
            <v>298598.84999999998</v>
          </cell>
          <cell r="R319">
            <v>316777.48</v>
          </cell>
          <cell r="S319">
            <v>337191.97</v>
          </cell>
          <cell r="T319">
            <v>330154.13</v>
          </cell>
          <cell r="U319">
            <v>273473.25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 Annuity Calc"/>
      <sheetName val="kWh Savings Alloc"/>
      <sheetName val="Sheet3"/>
    </sheetNames>
    <sheetDataSet>
      <sheetData sheetId="0">
        <row r="4">
          <cell r="C4">
            <v>9917518.1799999997</v>
          </cell>
        </row>
        <row r="10">
          <cell r="E10">
            <v>10412605.24395318</v>
          </cell>
        </row>
      </sheetData>
      <sheetData sheetId="1">
        <row r="20">
          <cell r="B20">
            <v>55891906.5</v>
          </cell>
        </row>
        <row r="21">
          <cell r="B21">
            <v>133100849.5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nl"/>
      <sheetName val="PI Annuity Calc"/>
      <sheetName val="kWh Savings Alloc"/>
      <sheetName val="2016"/>
    </sheetNames>
    <sheetDataSet>
      <sheetData sheetId="0"/>
      <sheetData sheetId="1">
        <row r="13">
          <cell r="G13">
            <v>171076.62090909091</v>
          </cell>
          <cell r="H13">
            <v>407401.44818181818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CPL Ordered Adjustment"/>
      <sheetName val="KCPL OA Cycle 1 Carrying Cost"/>
    </sheetNames>
    <sheetDataSet>
      <sheetData sheetId="0"/>
      <sheetData sheetId="1">
        <row r="23">
          <cell r="AD23">
            <v>-4722.6499999999996</v>
          </cell>
        </row>
        <row r="65">
          <cell r="AK65">
            <v>-113.48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zoomScaleNormal="100" workbookViewId="0">
      <pane xSplit="2" ySplit="3" topLeftCell="C13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2" max="2" width="18.7109375" customWidth="1"/>
    <col min="3" max="3" width="16" bestFit="1" customWidth="1"/>
    <col min="4" max="4" width="15.5703125" customWidth="1"/>
    <col min="5" max="5" width="14.85546875" bestFit="1" customWidth="1"/>
    <col min="6" max="6" width="11.28515625" bestFit="1" customWidth="1"/>
    <col min="7" max="7" width="18.42578125" bestFit="1" customWidth="1"/>
    <col min="8" max="8" width="13.42578125" customWidth="1"/>
    <col min="9" max="9" width="3.5703125" customWidth="1"/>
    <col min="10" max="12" width="12.42578125" bestFit="1" customWidth="1"/>
    <col min="13" max="13" width="11.28515625" bestFit="1" customWidth="1"/>
  </cols>
  <sheetData>
    <row r="1" spans="1:13" x14ac:dyDescent="0.25">
      <c r="A1" s="3" t="str">
        <f>+PPC!A1</f>
        <v>Kansas City Power &amp; Light Company - DSIM Rider Update Filed 11/30/2017</v>
      </c>
    </row>
    <row r="2" spans="1:13" ht="15.75" thickBot="1" x14ac:dyDescent="0.3">
      <c r="H2" s="62"/>
      <c r="I2" s="62"/>
      <c r="J2" s="64"/>
      <c r="K2" s="64"/>
    </row>
    <row r="3" spans="1:13" ht="27.75" thickBot="1" x14ac:dyDescent="0.3">
      <c r="B3" s="109" t="s">
        <v>8</v>
      </c>
      <c r="C3" s="153" t="s">
        <v>22</v>
      </c>
      <c r="D3" s="153" t="s">
        <v>23</v>
      </c>
      <c r="E3" s="153" t="s">
        <v>76</v>
      </c>
      <c r="F3" s="153" t="s">
        <v>24</v>
      </c>
      <c r="G3" s="153" t="s">
        <v>47</v>
      </c>
      <c r="H3" s="111" t="s">
        <v>33</v>
      </c>
      <c r="I3" s="53"/>
      <c r="J3" s="110" t="s">
        <v>15</v>
      </c>
      <c r="K3" s="111" t="s">
        <v>75</v>
      </c>
      <c r="L3" s="111" t="s">
        <v>101</v>
      </c>
      <c r="M3" s="111" t="s">
        <v>102</v>
      </c>
    </row>
    <row r="4" spans="1:13" ht="15.75" thickBot="1" x14ac:dyDescent="0.3">
      <c r="B4" s="112" t="s">
        <v>29</v>
      </c>
      <c r="C4" s="151">
        <f t="shared" ref="C4:F5" si="0">C10+C16</f>
        <v>4863789.0936000003</v>
      </c>
      <c r="D4" s="152">
        <f t="shared" si="0"/>
        <v>2147208.0295965802</v>
      </c>
      <c r="E4" s="152">
        <f t="shared" si="0"/>
        <v>1022011.1951999998</v>
      </c>
      <c r="F4" s="152">
        <f t="shared" si="0"/>
        <v>-1430.22</v>
      </c>
      <c r="G4" s="155">
        <f>PPC!B5</f>
        <v>1206943063</v>
      </c>
      <c r="H4" s="156">
        <f>ROUND(SUM(C4:F4)/G4,5)</f>
        <v>6.6499999999999997E-3</v>
      </c>
      <c r="I4" s="157"/>
      <c r="J4" s="225">
        <f>ROUND((C10+C16)/G4,5)-0.00001</f>
        <v>4.0200000000000001E-3</v>
      </c>
      <c r="K4" s="158">
        <f>ROUND((D10+D16)/G4,5)</f>
        <v>1.7799999999999999E-3</v>
      </c>
      <c r="L4" s="158">
        <f>ROUND((E10+E16)/G4,5)</f>
        <v>8.4999999999999995E-4</v>
      </c>
      <c r="M4" s="158">
        <f>ROUND((F10+F16)/G4,5)</f>
        <v>0</v>
      </c>
    </row>
    <row r="5" spans="1:13" ht="15.75" thickBot="1" x14ac:dyDescent="0.3">
      <c r="B5" s="112" t="s">
        <v>30</v>
      </c>
      <c r="C5" s="151">
        <f t="shared" si="0"/>
        <v>7818607.9962394526</v>
      </c>
      <c r="D5" s="152">
        <f t="shared" si="0"/>
        <v>3562515.9831085345</v>
      </c>
      <c r="E5" s="152">
        <f t="shared" si="0"/>
        <v>2546018.803091398</v>
      </c>
      <c r="F5" s="152">
        <f t="shared" si="0"/>
        <v>-3405.91</v>
      </c>
      <c r="G5" s="155">
        <f>PPC!B6</f>
        <v>2350641500.094481</v>
      </c>
      <c r="H5" s="156">
        <f>ROUND(SUM(C5:F5)/G5,5)</f>
        <v>5.9199999999999999E-3</v>
      </c>
      <c r="I5" s="157"/>
      <c r="J5" s="225">
        <f>ROUND((C11+C17)/G5,5)-0.00001</f>
        <v>3.32E-3</v>
      </c>
      <c r="K5" s="158">
        <f>ROUND((D11+D17)/G5,5)</f>
        <v>1.5200000000000001E-3</v>
      </c>
      <c r="L5" s="158">
        <f>ROUND((E11+E17)/G5,5)</f>
        <v>1.08E-3</v>
      </c>
      <c r="M5" s="158">
        <f>ROUND((F11+F17)/G5,5)</f>
        <v>0</v>
      </c>
    </row>
    <row r="6" spans="1:13" x14ac:dyDescent="0.25">
      <c r="C6" s="150"/>
      <c r="D6" s="150"/>
      <c r="E6" s="150"/>
      <c r="F6" s="150"/>
      <c r="G6" s="149"/>
    </row>
    <row r="7" spans="1:13" x14ac:dyDescent="0.25">
      <c r="C7" s="150"/>
      <c r="D7" s="150"/>
      <c r="E7" s="150"/>
      <c r="F7" s="150"/>
      <c r="G7" s="149"/>
    </row>
    <row r="8" spans="1:13" ht="15.75" thickBot="1" x14ac:dyDescent="0.3">
      <c r="C8" s="150"/>
      <c r="D8" s="150"/>
      <c r="E8" s="150"/>
      <c r="F8" s="150"/>
      <c r="G8" s="149"/>
    </row>
    <row r="9" spans="1:13" ht="15.75" thickBot="1" x14ac:dyDescent="0.3">
      <c r="B9" s="109" t="s">
        <v>8</v>
      </c>
      <c r="C9" s="154" t="s">
        <v>7</v>
      </c>
      <c r="D9" s="154" t="s">
        <v>19</v>
      </c>
      <c r="E9" s="154" t="s">
        <v>77</v>
      </c>
      <c r="F9" s="154" t="s">
        <v>20</v>
      </c>
      <c r="G9" s="149"/>
      <c r="J9" s="17"/>
      <c r="K9" s="17"/>
    </row>
    <row r="10" spans="1:13" ht="15.75" thickBot="1" x14ac:dyDescent="0.3">
      <c r="B10" s="112" t="s">
        <v>29</v>
      </c>
      <c r="C10" s="152">
        <f>PPC!C5</f>
        <v>2428145.625</v>
      </c>
      <c r="D10" s="152">
        <f>PTD!C6</f>
        <v>1597499.99</v>
      </c>
      <c r="E10" s="152">
        <f>+EO!D12</f>
        <v>1026459.73</v>
      </c>
      <c r="F10" s="151">
        <f>+OA!D8</f>
        <v>-1430.22</v>
      </c>
      <c r="G10" s="149"/>
      <c r="J10" s="184"/>
      <c r="K10" s="17"/>
    </row>
    <row r="11" spans="1:13" ht="15.75" thickBot="1" x14ac:dyDescent="0.3">
      <c r="B11" s="112" t="s">
        <v>30</v>
      </c>
      <c r="C11" s="152">
        <f>PPC!C6</f>
        <v>4475260.7850000001</v>
      </c>
      <c r="D11" s="152">
        <f>PTD!C7</f>
        <v>2317937.29</v>
      </c>
      <c r="E11" s="152">
        <f>+EO!D13</f>
        <v>2444408.6800000002</v>
      </c>
      <c r="F11" s="151">
        <f>+OA!D9</f>
        <v>-3405.91</v>
      </c>
      <c r="G11" s="149"/>
      <c r="J11" s="184"/>
      <c r="K11" s="17"/>
    </row>
    <row r="12" spans="1:13" x14ac:dyDescent="0.25">
      <c r="C12" s="150"/>
      <c r="D12" s="150"/>
      <c r="E12" s="150"/>
      <c r="F12" s="150"/>
      <c r="G12" s="149"/>
      <c r="J12" s="17"/>
      <c r="K12" s="17"/>
    </row>
    <row r="13" spans="1:13" x14ac:dyDescent="0.25">
      <c r="C13" s="150"/>
      <c r="D13" s="150"/>
      <c r="E13" s="150"/>
      <c r="F13" s="150"/>
      <c r="G13" s="149"/>
      <c r="J13" s="17"/>
      <c r="K13" s="17"/>
    </row>
    <row r="14" spans="1:13" ht="15.75" thickBot="1" x14ac:dyDescent="0.3">
      <c r="C14" s="150"/>
      <c r="D14" s="150"/>
      <c r="E14" s="150"/>
      <c r="F14" s="150"/>
      <c r="G14" s="149"/>
      <c r="J14" s="17"/>
      <c r="K14" s="17"/>
    </row>
    <row r="15" spans="1:13" ht="15.75" thickBot="1" x14ac:dyDescent="0.3">
      <c r="B15" s="109" t="s">
        <v>8</v>
      </c>
      <c r="C15" s="154" t="s">
        <v>4</v>
      </c>
      <c r="D15" s="154" t="s">
        <v>10</v>
      </c>
      <c r="E15" s="154" t="s">
        <v>78</v>
      </c>
      <c r="F15" s="154" t="s">
        <v>21</v>
      </c>
      <c r="G15" s="149"/>
    </row>
    <row r="16" spans="1:13" ht="15.75" thickBot="1" x14ac:dyDescent="0.3">
      <c r="B16" s="112" t="s">
        <v>29</v>
      </c>
      <c r="C16" s="152">
        <f>+'PCR Cycle 1'!J4+'PCR Cycle 2'!J4</f>
        <v>2435643.4686000003</v>
      </c>
      <c r="D16" s="152">
        <f>+'TDR Cycle 1'!J4+'TDR Cycle 2'!J4</f>
        <v>549708.03959658043</v>
      </c>
      <c r="E16" s="152">
        <f>+EOR!I4</f>
        <v>-4448.5348000000822</v>
      </c>
      <c r="F16" s="151">
        <f>+OAR!I4</f>
        <v>0</v>
      </c>
      <c r="G16" s="149"/>
    </row>
    <row r="17" spans="2:7" ht="15.75" thickBot="1" x14ac:dyDescent="0.3">
      <c r="B17" s="112" t="s">
        <v>30</v>
      </c>
      <c r="C17" s="152">
        <f>+'PCR Cycle 1'!J5+'PCR Cycle 2'!J5</f>
        <v>3343347.2112394525</v>
      </c>
      <c r="D17" s="152">
        <f>+'TDR Cycle 1'!J5+'TDR Cycle 2'!J5</f>
        <v>1244578.6931085347</v>
      </c>
      <c r="E17" s="152">
        <f>+EOR!I5</f>
        <v>101610.123091398</v>
      </c>
      <c r="F17" s="151">
        <f>+OAR!I5</f>
        <v>0</v>
      </c>
      <c r="G17" s="149"/>
    </row>
    <row r="19" spans="2:7" x14ac:dyDescent="0.25">
      <c r="B19" s="116" t="s">
        <v>48</v>
      </c>
    </row>
    <row r="20" spans="2:7" x14ac:dyDescent="0.25">
      <c r="B20" s="117" t="s">
        <v>49</v>
      </c>
    </row>
    <row r="21" spans="2:7" x14ac:dyDescent="0.25">
      <c r="B21" s="117" t="s">
        <v>59</v>
      </c>
    </row>
    <row r="22" spans="2:7" x14ac:dyDescent="0.25">
      <c r="B22" s="117" t="s">
        <v>50</v>
      </c>
    </row>
    <row r="23" spans="2:7" x14ac:dyDescent="0.25">
      <c r="B23" s="117" t="s">
        <v>51</v>
      </c>
    </row>
    <row r="24" spans="2:7" x14ac:dyDescent="0.25">
      <c r="B24" s="117" t="s">
        <v>52</v>
      </c>
    </row>
    <row r="25" spans="2:7" x14ac:dyDescent="0.25">
      <c r="B25" s="117" t="s">
        <v>53</v>
      </c>
    </row>
    <row r="26" spans="2:7" x14ac:dyDescent="0.25">
      <c r="B26" s="117" t="s">
        <v>64</v>
      </c>
    </row>
    <row r="27" spans="2:7" x14ac:dyDescent="0.25">
      <c r="B27" s="117" t="s">
        <v>54</v>
      </c>
    </row>
    <row r="28" spans="2:7" x14ac:dyDescent="0.25">
      <c r="B28" s="117" t="s">
        <v>72</v>
      </c>
    </row>
    <row r="29" spans="2:7" x14ac:dyDescent="0.25">
      <c r="B29" s="117" t="s">
        <v>74</v>
      </c>
    </row>
    <row r="30" spans="2:7" x14ac:dyDescent="0.25">
      <c r="B30" s="117" t="s">
        <v>73</v>
      </c>
    </row>
    <row r="31" spans="2:7" x14ac:dyDescent="0.25">
      <c r="B31" s="117" t="s">
        <v>55</v>
      </c>
    </row>
    <row r="32" spans="2:7" x14ac:dyDescent="0.25">
      <c r="B32" s="117" t="s">
        <v>56</v>
      </c>
    </row>
    <row r="33" spans="2:2" x14ac:dyDescent="0.25">
      <c r="B33" s="117" t="s">
        <v>57</v>
      </c>
    </row>
    <row r="34" spans="2:2" x14ac:dyDescent="0.25">
      <c r="B34" s="117" t="s">
        <v>58</v>
      </c>
    </row>
  </sheetData>
  <pageMargins left="0.2" right="0.2" top="0.75" bottom="0.25" header="0.3" footer="0.3"/>
  <pageSetup scale="79" orientation="landscape" r:id="rId1"/>
  <headerFooter>
    <oddHeader>&amp;C&amp;F 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H1" sqref="H1"/>
    </sheetView>
  </sheetViews>
  <sheetFormatPr defaultRowHeight="15" x14ac:dyDescent="0.25"/>
  <cols>
    <col min="1" max="1" width="43.140625" style="62" customWidth="1"/>
    <col min="2" max="2" width="14.28515625" style="62" bestFit="1" customWidth="1"/>
    <col min="3" max="3" width="14.28515625" style="62" customWidth="1"/>
    <col min="4" max="4" width="13.28515625" style="62" bestFit="1" customWidth="1"/>
    <col min="5" max="16384" width="9.140625" style="62"/>
  </cols>
  <sheetData>
    <row r="1" spans="1:5" x14ac:dyDescent="0.25">
      <c r="A1" s="79" t="str">
        <f>+PPC!A1</f>
        <v>Kansas City Power &amp; Light Company - DSIM Rider Update Filed 11/30/2017</v>
      </c>
    </row>
    <row r="2" spans="1:5" x14ac:dyDescent="0.25">
      <c r="A2" s="9" t="str">
        <f>+PPC!A2</f>
        <v>Projections for Cycle 2 January - July 2018 DSIM</v>
      </c>
    </row>
    <row r="3" spans="1:5" ht="45.75" customHeight="1" x14ac:dyDescent="0.25">
      <c r="B3" s="226" t="s">
        <v>99</v>
      </c>
      <c r="C3" s="226"/>
      <c r="D3" s="226"/>
    </row>
    <row r="4" spans="1:5" x14ac:dyDescent="0.25">
      <c r="B4" s="86"/>
      <c r="C4" s="86"/>
      <c r="D4" s="64" t="s">
        <v>20</v>
      </c>
    </row>
    <row r="5" spans="1:5" x14ac:dyDescent="0.25">
      <c r="A5" s="22" t="s">
        <v>113</v>
      </c>
      <c r="B5" s="86"/>
      <c r="C5" s="86"/>
      <c r="D5" s="223">
        <f>+'[9]KCPL OA Cycle 1 Carrying Cost'!$AD$23</f>
        <v>-4722.6499999999996</v>
      </c>
    </row>
    <row r="6" spans="1:5" x14ac:dyDescent="0.25">
      <c r="A6" s="22" t="s">
        <v>114</v>
      </c>
      <c r="B6" s="86"/>
      <c r="C6" s="86"/>
      <c r="D6" s="223">
        <f>+'[9]KCPL OA Cycle 1 Carrying Cost'!$AK$65</f>
        <v>-113.48</v>
      </c>
    </row>
    <row r="7" spans="1:5" ht="75" x14ac:dyDescent="0.25">
      <c r="A7" s="22"/>
      <c r="B7" s="86"/>
      <c r="C7" s="86" t="s">
        <v>140</v>
      </c>
      <c r="D7" s="180"/>
    </row>
    <row r="8" spans="1:5" x14ac:dyDescent="0.25">
      <c r="A8" s="22" t="s">
        <v>29</v>
      </c>
      <c r="B8" s="86"/>
      <c r="C8" s="222">
        <v>0.29573570798660664</v>
      </c>
      <c r="D8" s="36">
        <f>ROUND(SUM(D5:D6)*C8,2)</f>
        <v>-1430.22</v>
      </c>
      <c r="E8" s="4"/>
    </row>
    <row r="9" spans="1:5" x14ac:dyDescent="0.25">
      <c r="A9" s="22" t="s">
        <v>30</v>
      </c>
      <c r="B9" s="86"/>
      <c r="C9" s="222">
        <v>0.70426429201339336</v>
      </c>
      <c r="D9" s="36">
        <f>ROUND(SUM(D5:D6)*C9,2)</f>
        <v>-3405.91</v>
      </c>
      <c r="E9" s="4"/>
    </row>
    <row r="10" spans="1:5" ht="15.75" thickBot="1" x14ac:dyDescent="0.3">
      <c r="A10" s="22" t="s">
        <v>6</v>
      </c>
      <c r="B10" s="86"/>
      <c r="C10" s="222">
        <f>SUM(C8:C9)</f>
        <v>1</v>
      </c>
      <c r="D10" s="24">
        <f>SUM(D8:D9)</f>
        <v>-4836.13</v>
      </c>
      <c r="E10" s="4"/>
    </row>
    <row r="11" spans="1:5" ht="16.5" thickTop="1" thickBot="1" x14ac:dyDescent="0.3">
      <c r="B11" s="33"/>
      <c r="C11" s="33"/>
      <c r="D11" s="21">
        <f>ROUND(D5+D6,2)-D10</f>
        <v>0</v>
      </c>
      <c r="E11" s="2"/>
    </row>
    <row r="12" spans="1:5" ht="15.75" thickTop="1" x14ac:dyDescent="0.25">
      <c r="E12" s="4"/>
    </row>
    <row r="13" spans="1:5" x14ac:dyDescent="0.25">
      <c r="E13" s="4"/>
    </row>
    <row r="17" spans="1:1" x14ac:dyDescent="0.25">
      <c r="A17" s="69" t="s">
        <v>13</v>
      </c>
    </row>
    <row r="18" spans="1:1" s="53" customFormat="1" x14ac:dyDescent="0.25">
      <c r="A18" s="79" t="s">
        <v>141</v>
      </c>
    </row>
    <row r="19" spans="1:1" s="53" customFormat="1" x14ac:dyDescent="0.25">
      <c r="A19" s="79" t="s">
        <v>142</v>
      </c>
    </row>
  </sheetData>
  <mergeCells count="1">
    <mergeCell ref="B3:D3"/>
  </mergeCells>
  <pageMargins left="0.45" right="0.45" top="0.5" bottom="0.5" header="0.3" footer="0.3"/>
  <pageSetup orientation="landscape" r:id="rId1"/>
  <headerFooter>
    <oddHeader>&amp;C&amp;F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0"/>
  <sheetViews>
    <sheetView workbookViewId="0">
      <selection activeCell="H1" sqref="H1"/>
    </sheetView>
  </sheetViews>
  <sheetFormatPr defaultRowHeight="15" x14ac:dyDescent="0.25"/>
  <cols>
    <col min="1" max="1" width="37.7109375" style="62" customWidth="1"/>
    <col min="2" max="2" width="12.28515625" style="62" bestFit="1" customWidth="1"/>
    <col min="3" max="3" width="12.42578125" style="62" bestFit="1" customWidth="1"/>
    <col min="4" max="4" width="15.42578125" style="62" customWidth="1"/>
    <col min="5" max="5" width="15.85546875" style="62" bestFit="1" customWidth="1"/>
    <col min="6" max="6" width="12.28515625" style="62" bestFit="1" customWidth="1"/>
    <col min="7" max="8" width="13.28515625" style="62" bestFit="1" customWidth="1"/>
    <col min="9" max="9" width="12.28515625" style="62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style="62" bestFit="1" customWidth="1"/>
    <col min="14" max="14" width="16" style="62" bestFit="1" customWidth="1"/>
    <col min="15" max="15" width="17.85546875" style="62" customWidth="1"/>
    <col min="16" max="16" width="15.28515625" style="62" bestFit="1" customWidth="1"/>
    <col min="17" max="17" width="17.42578125" style="62" bestFit="1" customWidth="1"/>
    <col min="18" max="18" width="16.28515625" style="62" bestFit="1" customWidth="1"/>
    <col min="19" max="19" width="15.28515625" style="62" bestFit="1" customWidth="1"/>
    <col min="20" max="20" width="12.42578125" style="62" customWidth="1"/>
    <col min="21" max="22" width="14.28515625" style="62" bestFit="1" customWidth="1"/>
    <col min="23" max="16384" width="9.140625" style="62"/>
  </cols>
  <sheetData>
    <row r="1" spans="1:35" x14ac:dyDescent="0.25">
      <c r="A1" s="3" t="str">
        <f>+PPC!A1</f>
        <v>Kansas City Power &amp; Light Company - DSIM Rider Update Filed 11/30/2017</v>
      </c>
      <c r="B1" s="3"/>
      <c r="C1" s="3"/>
    </row>
    <row r="2" spans="1:35" x14ac:dyDescent="0.25">
      <c r="D2" s="3" t="s">
        <v>120</v>
      </c>
    </row>
    <row r="3" spans="1:35" ht="30" x14ac:dyDescent="0.25">
      <c r="D3" s="64" t="s">
        <v>62</v>
      </c>
      <c r="E3" s="86" t="s">
        <v>20</v>
      </c>
      <c r="F3" s="64" t="s">
        <v>3</v>
      </c>
      <c r="G3" s="86" t="s">
        <v>71</v>
      </c>
      <c r="H3" s="64" t="s">
        <v>11</v>
      </c>
      <c r="I3" s="64" t="s">
        <v>21</v>
      </c>
      <c r="S3" s="64"/>
    </row>
    <row r="4" spans="1:35" x14ac:dyDescent="0.25">
      <c r="A4" s="22" t="s">
        <v>29</v>
      </c>
      <c r="B4" s="22"/>
      <c r="C4" s="22"/>
      <c r="D4" s="24">
        <f>SUM(C15:L15)</f>
        <v>0</v>
      </c>
      <c r="E4" s="24">
        <f>SUM(C19:K19)</f>
        <v>0</v>
      </c>
      <c r="F4" s="24">
        <f>E4-D4</f>
        <v>0</v>
      </c>
      <c r="G4" s="24">
        <f>+B29</f>
        <v>0</v>
      </c>
      <c r="H4" s="24">
        <f>SUM(C34:K34)</f>
        <v>0</v>
      </c>
      <c r="I4" s="36">
        <f>SUM(F4:H4)</f>
        <v>0</v>
      </c>
      <c r="J4" s="63">
        <f>+I4-L29</f>
        <v>0</v>
      </c>
      <c r="M4" s="63"/>
    </row>
    <row r="5" spans="1:35" ht="15.75" thickBot="1" x14ac:dyDescent="0.3">
      <c r="A5" s="22" t="s">
        <v>30</v>
      </c>
      <c r="B5" s="22"/>
      <c r="C5" s="22"/>
      <c r="D5" s="24">
        <f>SUM(C16:L16)</f>
        <v>0</v>
      </c>
      <c r="E5" s="24">
        <f>SUM(C20:K20)</f>
        <v>0</v>
      </c>
      <c r="F5" s="24">
        <f>E5-D5</f>
        <v>0</v>
      </c>
      <c r="G5" s="24">
        <f>+B30</f>
        <v>0</v>
      </c>
      <c r="H5" s="24">
        <f>SUM(C35:K35)</f>
        <v>0</v>
      </c>
      <c r="I5" s="36">
        <f>SUM(F5:H5)</f>
        <v>0</v>
      </c>
      <c r="J5" s="63">
        <f>+I5-L30</f>
        <v>0</v>
      </c>
      <c r="M5" s="63"/>
    </row>
    <row r="6" spans="1:35" ht="16.5" thickTop="1" thickBot="1" x14ac:dyDescent="0.3">
      <c r="D6" s="40">
        <f t="shared" ref="D6" si="0">SUM(D4:D5)</f>
        <v>0</v>
      </c>
      <c r="E6" s="40">
        <f>SUM(E4:E5)</f>
        <v>0</v>
      </c>
      <c r="F6" s="40">
        <f>SUM(F4:F5)</f>
        <v>0</v>
      </c>
      <c r="G6" s="40">
        <f>SUM(G4:G5)</f>
        <v>0</v>
      </c>
      <c r="H6" s="40">
        <f>SUM(H4:H5)</f>
        <v>0</v>
      </c>
      <c r="I6" s="40">
        <f>SUM(I4:I5)</f>
        <v>0</v>
      </c>
      <c r="T6" s="5"/>
    </row>
    <row r="7" spans="1:35" ht="15.75" thickTop="1" x14ac:dyDescent="0.25"/>
    <row r="8" spans="1:35" x14ac:dyDescent="0.25">
      <c r="I8" s="4"/>
      <c r="V8" s="4"/>
    </row>
    <row r="9" spans="1:35" ht="15.75" thickBot="1" x14ac:dyDescent="0.3">
      <c r="V9" s="4"/>
      <c r="W9" s="5"/>
    </row>
    <row r="10" spans="1:35" ht="90.75" thickBot="1" x14ac:dyDescent="0.3">
      <c r="B10" s="141" t="str">
        <f>+'PCR Cycle 1'!B8</f>
        <v>Cumulative Over/Under Carryover From 06/01/2017 Filing</v>
      </c>
      <c r="C10" s="179" t="str">
        <f>+'PCR Cycle 1'!C8</f>
        <v>Reverse May-17 - July-17  Forecast From 06/01/2017 Filing</v>
      </c>
      <c r="D10" s="233" t="s">
        <v>39</v>
      </c>
      <c r="E10" s="233"/>
      <c r="F10" s="234"/>
      <c r="G10" s="239" t="s">
        <v>39</v>
      </c>
      <c r="H10" s="240"/>
      <c r="I10" s="241"/>
      <c r="J10" s="235" t="s">
        <v>9</v>
      </c>
      <c r="K10" s="236"/>
      <c r="L10" s="237"/>
    </row>
    <row r="11" spans="1:35" x14ac:dyDescent="0.25">
      <c r="A11" s="62" t="s">
        <v>122</v>
      </c>
      <c r="C11" s="128"/>
      <c r="D11" s="20">
        <f>+'PCR Cycle 1'!D9</f>
        <v>42883</v>
      </c>
      <c r="E11" s="20">
        <f t="shared" ref="E11:L11" si="1">EDATE(D11,1)</f>
        <v>42914</v>
      </c>
      <c r="F11" s="20">
        <f t="shared" si="1"/>
        <v>42944</v>
      </c>
      <c r="G11" s="14">
        <f t="shared" si="1"/>
        <v>42975</v>
      </c>
      <c r="H11" s="20">
        <f t="shared" si="1"/>
        <v>43006</v>
      </c>
      <c r="I11" s="15">
        <f t="shared" si="1"/>
        <v>43036</v>
      </c>
      <c r="J11" s="20">
        <f t="shared" si="1"/>
        <v>43067</v>
      </c>
      <c r="K11" s="20">
        <f t="shared" si="1"/>
        <v>43097</v>
      </c>
      <c r="L11" s="15">
        <f t="shared" si="1"/>
        <v>43128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62" t="s">
        <v>6</v>
      </c>
      <c r="C12" s="120">
        <v>0</v>
      </c>
      <c r="D12" s="132">
        <f>SUM(D19:D20)</f>
        <v>0</v>
      </c>
      <c r="E12" s="132">
        <f t="shared" ref="E12:H12" si="2">SUM(E19:E20)</f>
        <v>0</v>
      </c>
      <c r="F12" s="133">
        <f t="shared" si="2"/>
        <v>0</v>
      </c>
      <c r="G12" s="16">
        <f t="shared" si="2"/>
        <v>0</v>
      </c>
      <c r="H12" s="71">
        <f t="shared" si="2"/>
        <v>0</v>
      </c>
      <c r="I12" s="195">
        <f>+I19+I20</f>
        <v>0</v>
      </c>
      <c r="J12" s="188">
        <f t="shared" ref="J12:K12" si="3">+J19+J20</f>
        <v>0</v>
      </c>
      <c r="K12" s="97">
        <f t="shared" si="3"/>
        <v>0</v>
      </c>
      <c r="L12" s="98"/>
    </row>
    <row r="13" spans="1:35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5" x14ac:dyDescent="0.25">
      <c r="A14" s="62" t="s">
        <v>121</v>
      </c>
      <c r="C14" s="122"/>
      <c r="D14" s="18"/>
      <c r="E14" s="18"/>
      <c r="F14" s="18"/>
      <c r="G14" s="114"/>
      <c r="H14" s="18"/>
      <c r="I14" s="196"/>
      <c r="J14" s="44"/>
      <c r="K14" s="44"/>
      <c r="L14" s="42"/>
      <c r="M14" s="3" t="s">
        <v>93</v>
      </c>
      <c r="N14" s="53"/>
    </row>
    <row r="15" spans="1:35" x14ac:dyDescent="0.25">
      <c r="A15" s="62" t="s">
        <v>29</v>
      </c>
      <c r="C15" s="120">
        <v>0</v>
      </c>
      <c r="D15" s="159">
        <f>ROUND('[3]KCPL-MO Revenue Analysis'!G170,0)</f>
        <v>0</v>
      </c>
      <c r="E15" s="159">
        <f>ROUND('[3]KCPL-MO Revenue Analysis'!H170,0)</f>
        <v>0</v>
      </c>
      <c r="F15" s="220">
        <f>ROUND('[3]KCPL-MO Revenue Analysis'!I170,0)</f>
        <v>0</v>
      </c>
      <c r="G15" s="16">
        <f>ROUND('[3]KCPL-MO Revenue Analysis'!J170,0)</f>
        <v>0</v>
      </c>
      <c r="H15" s="144">
        <f>ROUND('[3]KCPL-MO Revenue Analysis'!K170,0)</f>
        <v>0</v>
      </c>
      <c r="I15" s="197">
        <f>ROUND('[3]KCPL-MO Revenue Analysis'!L170,0)</f>
        <v>0</v>
      </c>
      <c r="J15" s="146">
        <f>'PCR Cycle 1'!J21*$M15</f>
        <v>0</v>
      </c>
      <c r="K15" s="55">
        <f>'PCR Cycle 1'!K21*$M15</f>
        <v>0</v>
      </c>
      <c r="L15" s="77">
        <f>'PCR Cycle 1'!L21*$M15</f>
        <v>0</v>
      </c>
      <c r="M15" s="88">
        <v>0</v>
      </c>
      <c r="N15" s="4"/>
    </row>
    <row r="16" spans="1:35" x14ac:dyDescent="0.25">
      <c r="A16" s="62" t="s">
        <v>30</v>
      </c>
      <c r="C16" s="120">
        <v>0</v>
      </c>
      <c r="D16" s="159">
        <f>ROUND('[3]KCPL-MO Revenue Analysis'!G171,0)</f>
        <v>0</v>
      </c>
      <c r="E16" s="159">
        <f>ROUND('[3]KCPL-MO Revenue Analysis'!H171,0)</f>
        <v>0</v>
      </c>
      <c r="F16" s="220">
        <f>ROUND('[3]KCPL-MO Revenue Analysis'!I171,0)</f>
        <v>0</v>
      </c>
      <c r="G16" s="16">
        <f>ROUND('[3]KCPL-MO Revenue Analysis'!J171,0)</f>
        <v>0</v>
      </c>
      <c r="H16" s="144">
        <f>ROUND('[3]KCPL-MO Revenue Analysis'!K171,0)</f>
        <v>0</v>
      </c>
      <c r="I16" s="197">
        <f>ROUND('[3]KCPL-MO Revenue Analysis'!L171,0)</f>
        <v>0</v>
      </c>
      <c r="J16" s="146">
        <f>'PCR Cycle 1'!J22*$M16</f>
        <v>0</v>
      </c>
      <c r="K16" s="55">
        <f>'PCR Cycle 1'!K22*$M16</f>
        <v>0</v>
      </c>
      <c r="L16" s="77">
        <f>'PCR Cycle 1'!L22*$M16</f>
        <v>0</v>
      </c>
      <c r="M16" s="88">
        <v>0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198"/>
      <c r="J17" s="72"/>
      <c r="K17" s="72"/>
      <c r="L17" s="13"/>
      <c r="N17" s="4"/>
    </row>
    <row r="18" spans="1:14" x14ac:dyDescent="0.25">
      <c r="A18" s="62" t="s">
        <v>123</v>
      </c>
      <c r="C18" s="50"/>
      <c r="D18" s="51"/>
      <c r="E18" s="51"/>
      <c r="F18" s="51"/>
      <c r="G18" s="50"/>
      <c r="H18" s="51"/>
      <c r="I18" s="201"/>
      <c r="J18" s="68"/>
      <c r="K18" s="68"/>
      <c r="L18" s="52"/>
    </row>
    <row r="19" spans="1:14" x14ac:dyDescent="0.25">
      <c r="A19" s="62" t="s">
        <v>29</v>
      </c>
      <c r="C19" s="120">
        <v>0</v>
      </c>
      <c r="D19" s="132">
        <v>0</v>
      </c>
      <c r="E19" s="132">
        <v>0</v>
      </c>
      <c r="F19" s="133">
        <v>0</v>
      </c>
      <c r="G19" s="16">
        <v>0</v>
      </c>
      <c r="H19" s="71">
        <v>0</v>
      </c>
      <c r="I19" s="195">
        <v>0</v>
      </c>
      <c r="J19" s="190">
        <v>0</v>
      </c>
      <c r="K19" s="167">
        <v>0</v>
      </c>
      <c r="L19" s="98"/>
    </row>
    <row r="20" spans="1:14" x14ac:dyDescent="0.25">
      <c r="A20" s="62" t="s">
        <v>30</v>
      </c>
      <c r="C20" s="120">
        <v>0</v>
      </c>
      <c r="D20" s="132">
        <v>0</v>
      </c>
      <c r="E20" s="132">
        <v>0</v>
      </c>
      <c r="F20" s="133">
        <v>0</v>
      </c>
      <c r="G20" s="16">
        <v>0</v>
      </c>
      <c r="H20" s="71">
        <v>0</v>
      </c>
      <c r="I20" s="195">
        <v>0</v>
      </c>
      <c r="J20" s="190">
        <v>0</v>
      </c>
      <c r="K20" s="167">
        <v>0</v>
      </c>
      <c r="L20" s="98"/>
      <c r="N20" s="63"/>
    </row>
    <row r="21" spans="1:14" x14ac:dyDescent="0.25">
      <c r="C21" s="122"/>
      <c r="D21" s="18"/>
      <c r="E21" s="18"/>
      <c r="F21" s="18"/>
      <c r="G21" s="114"/>
      <c r="H21" s="18"/>
      <c r="I21" s="196"/>
      <c r="J21" s="72"/>
      <c r="K21" s="72"/>
      <c r="L21" s="13"/>
    </row>
    <row r="22" spans="1:14" ht="15.75" thickBot="1" x14ac:dyDescent="0.3">
      <c r="A22" s="3" t="s">
        <v>16</v>
      </c>
      <c r="B22" s="3"/>
      <c r="C22" s="126">
        <v>0</v>
      </c>
      <c r="D22" s="159">
        <v>0</v>
      </c>
      <c r="E22" s="159">
        <v>0</v>
      </c>
      <c r="F22" s="160">
        <v>0</v>
      </c>
      <c r="G22" s="39">
        <v>0</v>
      </c>
      <c r="H22" s="145">
        <v>0</v>
      </c>
      <c r="I22" s="202">
        <v>0</v>
      </c>
      <c r="J22" s="191"/>
      <c r="K22" s="169"/>
      <c r="L22" s="101"/>
    </row>
    <row r="23" spans="1:14" x14ac:dyDescent="0.25">
      <c r="C23" s="80"/>
      <c r="D23" s="174"/>
      <c r="E23" s="174"/>
      <c r="F23" s="175"/>
      <c r="G23" s="80"/>
      <c r="H23" s="47"/>
      <c r="I23" s="203"/>
      <c r="J23" s="48"/>
      <c r="K23" s="48"/>
      <c r="L23" s="76"/>
    </row>
    <row r="24" spans="1:14" x14ac:dyDescent="0.25">
      <c r="A24" s="62" t="s">
        <v>68</v>
      </c>
      <c r="C24" s="81"/>
      <c r="D24" s="175"/>
      <c r="E24" s="175"/>
      <c r="F24" s="175"/>
      <c r="G24" s="81"/>
      <c r="H24" s="49"/>
      <c r="I24" s="204"/>
      <c r="J24" s="48"/>
      <c r="K24" s="48"/>
      <c r="L24" s="76"/>
    </row>
    <row r="25" spans="1:14" x14ac:dyDescent="0.25">
      <c r="A25" s="62" t="s">
        <v>29</v>
      </c>
      <c r="C25" s="123">
        <f t="shared" ref="C25:L25" si="4">C19-C15</f>
        <v>0</v>
      </c>
      <c r="D25" s="55">
        <f t="shared" si="4"/>
        <v>0</v>
      </c>
      <c r="E25" s="55">
        <f t="shared" si="4"/>
        <v>0</v>
      </c>
      <c r="F25" s="131">
        <f t="shared" si="4"/>
        <v>0</v>
      </c>
      <c r="G25" s="54">
        <f t="shared" si="4"/>
        <v>0</v>
      </c>
      <c r="H25" s="55">
        <f t="shared" si="4"/>
        <v>0</v>
      </c>
      <c r="I25" s="77">
        <f t="shared" si="4"/>
        <v>0</v>
      </c>
      <c r="J25" s="146">
        <f t="shared" si="4"/>
        <v>0</v>
      </c>
      <c r="K25" s="55">
        <f t="shared" si="4"/>
        <v>0</v>
      </c>
      <c r="L25" s="77">
        <f t="shared" si="4"/>
        <v>0</v>
      </c>
    </row>
    <row r="26" spans="1:14" x14ac:dyDescent="0.25">
      <c r="A26" s="62" t="s">
        <v>30</v>
      </c>
      <c r="C26" s="123">
        <f t="shared" ref="C26:L26" si="5">C20-C16</f>
        <v>0</v>
      </c>
      <c r="D26" s="55">
        <f t="shared" si="5"/>
        <v>0</v>
      </c>
      <c r="E26" s="55">
        <f t="shared" si="5"/>
        <v>0</v>
      </c>
      <c r="F26" s="131">
        <f t="shared" si="5"/>
        <v>0</v>
      </c>
      <c r="G26" s="54">
        <f t="shared" si="5"/>
        <v>0</v>
      </c>
      <c r="H26" s="55">
        <f t="shared" si="5"/>
        <v>0</v>
      </c>
      <c r="I26" s="77">
        <f t="shared" si="5"/>
        <v>0</v>
      </c>
      <c r="J26" s="146">
        <f t="shared" si="5"/>
        <v>0</v>
      </c>
      <c r="K26" s="55">
        <f t="shared" si="5"/>
        <v>0</v>
      </c>
      <c r="L26" s="77">
        <f t="shared" si="5"/>
        <v>0</v>
      </c>
    </row>
    <row r="27" spans="1:14" x14ac:dyDescent="0.25">
      <c r="C27" s="122"/>
      <c r="D27" s="17"/>
      <c r="E27" s="17"/>
      <c r="F27" s="17"/>
      <c r="G27" s="10"/>
      <c r="H27" s="17"/>
      <c r="I27" s="11"/>
      <c r="J27" s="17"/>
      <c r="K27" s="17"/>
      <c r="L27" s="11"/>
    </row>
    <row r="28" spans="1:14" ht="15.75" thickBot="1" x14ac:dyDescent="0.3">
      <c r="A28" s="62" t="s">
        <v>69</v>
      </c>
      <c r="C28" s="122"/>
      <c r="D28" s="17"/>
      <c r="E28" s="17"/>
      <c r="F28" s="17"/>
      <c r="G28" s="10"/>
      <c r="H28" s="17"/>
      <c r="I28" s="11"/>
      <c r="J28" s="17"/>
      <c r="K28" s="17"/>
      <c r="L28" s="11"/>
    </row>
    <row r="29" spans="1:14" x14ac:dyDescent="0.25">
      <c r="A29" s="62" t="s">
        <v>29</v>
      </c>
      <c r="B29" s="139">
        <v>0</v>
      </c>
      <c r="C29" s="123">
        <f>B29+C25+B34</f>
        <v>0</v>
      </c>
      <c r="D29" s="55">
        <f t="shared" ref="D29:L30" si="6">C29+D25+C34</f>
        <v>0</v>
      </c>
      <c r="E29" s="55">
        <f t="shared" si="6"/>
        <v>0</v>
      </c>
      <c r="F29" s="131">
        <f t="shared" si="6"/>
        <v>0</v>
      </c>
      <c r="G29" s="54">
        <f t="shared" si="6"/>
        <v>0</v>
      </c>
      <c r="H29" s="55">
        <f t="shared" si="6"/>
        <v>0</v>
      </c>
      <c r="I29" s="77">
        <f t="shared" si="6"/>
        <v>0</v>
      </c>
      <c r="J29" s="146">
        <f t="shared" si="6"/>
        <v>0</v>
      </c>
      <c r="K29" s="55">
        <f t="shared" si="6"/>
        <v>0</v>
      </c>
      <c r="L29" s="77">
        <f t="shared" si="6"/>
        <v>0</v>
      </c>
    </row>
    <row r="30" spans="1:14" ht="15.75" thickBot="1" x14ac:dyDescent="0.3">
      <c r="A30" s="62" t="s">
        <v>30</v>
      </c>
      <c r="B30" s="140">
        <v>0</v>
      </c>
      <c r="C30" s="123">
        <f>B30+C26+B35</f>
        <v>0</v>
      </c>
      <c r="D30" s="55">
        <f t="shared" si="6"/>
        <v>0</v>
      </c>
      <c r="E30" s="55">
        <f t="shared" si="6"/>
        <v>0</v>
      </c>
      <c r="F30" s="131">
        <f t="shared" si="6"/>
        <v>0</v>
      </c>
      <c r="G30" s="54">
        <f t="shared" si="6"/>
        <v>0</v>
      </c>
      <c r="H30" s="55">
        <f t="shared" si="6"/>
        <v>0</v>
      </c>
      <c r="I30" s="77">
        <f t="shared" si="6"/>
        <v>0</v>
      </c>
      <c r="J30" s="146">
        <f t="shared" si="6"/>
        <v>0</v>
      </c>
      <c r="K30" s="55">
        <f t="shared" si="6"/>
        <v>0</v>
      </c>
      <c r="L30" s="77">
        <f t="shared" si="6"/>
        <v>0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x14ac:dyDescent="0.25">
      <c r="A32" s="53" t="s">
        <v>118</v>
      </c>
      <c r="B32" s="53"/>
      <c r="C32" s="127"/>
      <c r="D32" s="102">
        <f>+'PCR Cycle 1'!D38</f>
        <v>1.8848000000000001E-3</v>
      </c>
      <c r="E32" s="102">
        <f>+'PCR Cycle 1'!E38</f>
        <v>2.0156100000000001E-3</v>
      </c>
      <c r="F32" s="102">
        <f>+'PCR Cycle 1'!F38</f>
        <v>2.0650299999999998E-3</v>
      </c>
      <c r="G32" s="103">
        <f>+'PCR Cycle 1'!G38</f>
        <v>2.0681900000000001E-3</v>
      </c>
      <c r="H32" s="102">
        <f>+'PCR Cycle 1'!H38</f>
        <v>2.0708300000000001E-3</v>
      </c>
      <c r="I32" s="115">
        <f>+'PCR Cycle 1'!I38</f>
        <v>2.0734999999999998E-3</v>
      </c>
      <c r="J32" s="102">
        <f>+'PCR Cycle 1'!J38</f>
        <v>2.0734999999999998E-3</v>
      </c>
      <c r="K32" s="102">
        <f>+'PCR Cycle 1'!K38</f>
        <v>2.0734999999999998E-3</v>
      </c>
      <c r="L32" s="104"/>
    </row>
    <row r="33" spans="1:12" x14ac:dyDescent="0.25">
      <c r="A33" s="53" t="s">
        <v>44</v>
      </c>
      <c r="B33" s="53"/>
      <c r="C33" s="129"/>
      <c r="D33" s="102"/>
      <c r="E33" s="102"/>
      <c r="F33" s="102"/>
      <c r="G33" s="103"/>
      <c r="H33" s="102"/>
      <c r="I33" s="104"/>
      <c r="J33" s="102"/>
      <c r="K33" s="102"/>
      <c r="L33" s="104"/>
    </row>
    <row r="34" spans="1:12" x14ac:dyDescent="0.25">
      <c r="A34" s="62" t="s">
        <v>29</v>
      </c>
      <c r="C34" s="123">
        <v>0</v>
      </c>
      <c r="D34" s="55">
        <f t="shared" ref="D34:L35" si="7">ROUND((C29+C34+D25/2)*D$32,2)</f>
        <v>0</v>
      </c>
      <c r="E34" s="55">
        <f t="shared" si="7"/>
        <v>0</v>
      </c>
      <c r="F34" s="131">
        <f t="shared" si="7"/>
        <v>0</v>
      </c>
      <c r="G34" s="54">
        <f t="shared" si="7"/>
        <v>0</v>
      </c>
      <c r="H34" s="146">
        <f t="shared" si="7"/>
        <v>0</v>
      </c>
      <c r="I34" s="65">
        <f t="shared" si="7"/>
        <v>0</v>
      </c>
      <c r="J34" s="192">
        <f t="shared" si="7"/>
        <v>0</v>
      </c>
      <c r="K34" s="131">
        <f t="shared" si="7"/>
        <v>0</v>
      </c>
      <c r="L34" s="77">
        <f t="shared" si="7"/>
        <v>0</v>
      </c>
    </row>
    <row r="35" spans="1:12" ht="15.75" thickBot="1" x14ac:dyDescent="0.3">
      <c r="A35" s="62" t="s">
        <v>30</v>
      </c>
      <c r="C35" s="123">
        <v>0</v>
      </c>
      <c r="D35" s="55">
        <f t="shared" si="7"/>
        <v>0</v>
      </c>
      <c r="E35" s="55">
        <f t="shared" si="7"/>
        <v>0</v>
      </c>
      <c r="F35" s="131">
        <f t="shared" si="7"/>
        <v>0</v>
      </c>
      <c r="G35" s="54">
        <f t="shared" si="7"/>
        <v>0</v>
      </c>
      <c r="H35" s="146">
        <f t="shared" si="7"/>
        <v>0</v>
      </c>
      <c r="I35" s="65">
        <f t="shared" si="7"/>
        <v>0</v>
      </c>
      <c r="J35" s="192">
        <f t="shared" si="7"/>
        <v>0</v>
      </c>
      <c r="K35" s="131">
        <f t="shared" si="7"/>
        <v>0</v>
      </c>
      <c r="L35" s="77">
        <f t="shared" si="7"/>
        <v>0</v>
      </c>
    </row>
    <row r="36" spans="1:12" ht="16.5" thickTop="1" thickBot="1" x14ac:dyDescent="0.3">
      <c r="A36" s="70" t="s">
        <v>25</v>
      </c>
      <c r="B36" s="70"/>
      <c r="C36" s="130">
        <v>0</v>
      </c>
      <c r="D36" s="56">
        <f t="shared" ref="D36:I36" si="8">SUM(D34:D35)+SUM(D29:D30)-D39</f>
        <v>0</v>
      </c>
      <c r="E36" s="56">
        <f t="shared" si="8"/>
        <v>0</v>
      </c>
      <c r="F36" s="66">
        <f t="shared" ref="F36:H36" si="9">SUM(F34:F35)+SUM(F29:F30)-F39</f>
        <v>0</v>
      </c>
      <c r="G36" s="172">
        <f t="shared" si="9"/>
        <v>0</v>
      </c>
      <c r="H36" s="66">
        <f t="shared" si="9"/>
        <v>0</v>
      </c>
      <c r="I36" s="78">
        <f t="shared" si="8"/>
        <v>0</v>
      </c>
      <c r="J36" s="193">
        <f t="shared" ref="J36:L36" si="10">SUM(J34:J35)+SUM(J29:J30)-J39</f>
        <v>0</v>
      </c>
      <c r="K36" s="66">
        <f t="shared" si="10"/>
        <v>0</v>
      </c>
      <c r="L36" s="78">
        <f t="shared" si="10"/>
        <v>0</v>
      </c>
    </row>
    <row r="37" spans="1:12" ht="16.5" thickTop="1" thickBot="1" x14ac:dyDescent="0.3">
      <c r="A37" s="70" t="s">
        <v>26</v>
      </c>
      <c r="B37" s="70"/>
      <c r="C37" s="130">
        <v>0</v>
      </c>
      <c r="D37" s="56">
        <f t="shared" ref="D37:I37" si="11">SUM(D34:D35)-D22</f>
        <v>0</v>
      </c>
      <c r="E37" s="56">
        <f t="shared" si="11"/>
        <v>0</v>
      </c>
      <c r="F37" s="66">
        <f t="shared" ref="F37:H37" si="12">SUM(F34:F35)-F22</f>
        <v>0</v>
      </c>
      <c r="G37" s="172">
        <f t="shared" si="12"/>
        <v>0</v>
      </c>
      <c r="H37" s="66">
        <f t="shared" si="12"/>
        <v>0</v>
      </c>
      <c r="I37" s="78">
        <f t="shared" si="11"/>
        <v>0</v>
      </c>
      <c r="J37" s="194">
        <f t="shared" ref="J37:L37" si="13">SUM(J34:J35)-J22</f>
        <v>0</v>
      </c>
      <c r="K37" s="56">
        <f t="shared" si="13"/>
        <v>0</v>
      </c>
      <c r="L37" s="56">
        <f t="shared" si="13"/>
        <v>0</v>
      </c>
    </row>
    <row r="38" spans="1:12" ht="16.5" thickTop="1" thickBot="1" x14ac:dyDescent="0.3">
      <c r="C38" s="122"/>
      <c r="D38" s="17"/>
      <c r="E38" s="17"/>
      <c r="F38" s="17"/>
      <c r="G38" s="10"/>
      <c r="H38" s="17"/>
      <c r="I38" s="11"/>
      <c r="J38" s="17"/>
      <c r="K38" s="17"/>
      <c r="L38" s="11"/>
    </row>
    <row r="39" spans="1:12" ht="15.75" thickBot="1" x14ac:dyDescent="0.3">
      <c r="A39" s="62" t="s">
        <v>42</v>
      </c>
      <c r="B39" s="142">
        <v>0</v>
      </c>
      <c r="C39" s="123">
        <f t="shared" ref="C39:L39" si="14">(C12-SUM(C15:C16))+SUM(C34:C35)+B39</f>
        <v>0</v>
      </c>
      <c r="D39" s="55">
        <f t="shared" si="14"/>
        <v>0</v>
      </c>
      <c r="E39" s="55">
        <f t="shared" si="14"/>
        <v>0</v>
      </c>
      <c r="F39" s="131">
        <f t="shared" si="14"/>
        <v>0</v>
      </c>
      <c r="G39" s="54">
        <f t="shared" si="14"/>
        <v>0</v>
      </c>
      <c r="H39" s="55">
        <f t="shared" si="14"/>
        <v>0</v>
      </c>
      <c r="I39" s="77">
        <f t="shared" si="14"/>
        <v>0</v>
      </c>
      <c r="J39" s="192">
        <f t="shared" si="14"/>
        <v>0</v>
      </c>
      <c r="K39" s="131">
        <f t="shared" si="14"/>
        <v>0</v>
      </c>
      <c r="L39" s="77">
        <f t="shared" si="14"/>
        <v>0</v>
      </c>
    </row>
    <row r="40" spans="1:12" x14ac:dyDescent="0.25">
      <c r="A40" s="62" t="s">
        <v>14</v>
      </c>
      <c r="C40" s="143"/>
      <c r="D40" s="17"/>
      <c r="E40" s="17"/>
      <c r="F40" s="17"/>
      <c r="G40" s="10"/>
      <c r="H40" s="17"/>
      <c r="I40" s="11"/>
      <c r="J40" s="17"/>
      <c r="K40" s="17"/>
      <c r="L40" s="11"/>
    </row>
    <row r="41" spans="1:12" ht="15.75" thickBot="1" x14ac:dyDescent="0.3">
      <c r="A41" s="51"/>
      <c r="B41" s="51"/>
      <c r="C41" s="173"/>
      <c r="D41" s="58"/>
      <c r="E41" s="58"/>
      <c r="F41" s="58"/>
      <c r="G41" s="57"/>
      <c r="H41" s="58"/>
      <c r="I41" s="59"/>
      <c r="J41" s="58"/>
      <c r="K41" s="58"/>
      <c r="L41" s="59"/>
    </row>
    <row r="43" spans="1:12" x14ac:dyDescent="0.25">
      <c r="A43" s="85" t="s">
        <v>13</v>
      </c>
      <c r="B43" s="85"/>
      <c r="C43" s="85"/>
    </row>
    <row r="44" spans="1:12" ht="31.5" customHeight="1" x14ac:dyDescent="0.25">
      <c r="A44" s="238"/>
      <c r="B44" s="238"/>
      <c r="C44" s="238"/>
      <c r="D44" s="238"/>
      <c r="E44" s="238"/>
      <c r="F44" s="238"/>
      <c r="G44" s="238"/>
      <c r="H44" s="238"/>
      <c r="I44" s="238"/>
      <c r="J44" s="216"/>
      <c r="K44" s="216"/>
      <c r="L44" s="216"/>
    </row>
    <row r="45" spans="1:12" ht="45.75" customHeight="1" x14ac:dyDescent="0.25">
      <c r="A45" s="238"/>
      <c r="B45" s="238"/>
      <c r="C45" s="238"/>
      <c r="D45" s="238"/>
      <c r="E45" s="238"/>
      <c r="F45" s="238"/>
      <c r="G45" s="238"/>
      <c r="H45" s="238"/>
      <c r="I45" s="217"/>
      <c r="J45" s="216"/>
      <c r="K45" s="216"/>
    </row>
    <row r="46" spans="1:12" ht="18.75" customHeight="1" x14ac:dyDescent="0.25">
      <c r="A46" s="238"/>
      <c r="B46" s="238"/>
      <c r="C46" s="238"/>
      <c r="D46" s="238"/>
      <c r="E46" s="238"/>
      <c r="F46" s="238"/>
      <c r="G46" s="238"/>
      <c r="H46" s="238"/>
      <c r="I46" s="238"/>
      <c r="J46" s="216"/>
      <c r="K46" s="216"/>
      <c r="L46" s="216"/>
    </row>
    <row r="47" spans="1:12" x14ac:dyDescent="0.25">
      <c r="A47" s="79"/>
      <c r="B47" s="79"/>
      <c r="C47" s="79"/>
      <c r="D47" s="53"/>
      <c r="E47" s="53"/>
      <c r="F47" s="53"/>
      <c r="G47" s="53"/>
      <c r="H47" s="53"/>
      <c r="I47" s="53"/>
    </row>
    <row r="48" spans="1:12" x14ac:dyDescent="0.25">
      <c r="A48" s="79"/>
      <c r="B48" s="79"/>
      <c r="C48" s="79"/>
      <c r="D48" s="53"/>
      <c r="E48" s="53"/>
      <c r="F48" s="53"/>
      <c r="G48" s="53"/>
      <c r="H48" s="53"/>
      <c r="I48" s="53"/>
    </row>
    <row r="49" spans="1:9" x14ac:dyDescent="0.25">
      <c r="A49" s="79"/>
      <c r="B49" s="79"/>
      <c r="C49" s="79"/>
      <c r="D49" s="53"/>
      <c r="E49" s="53"/>
      <c r="F49" s="53"/>
      <c r="G49" s="53"/>
      <c r="H49" s="53"/>
      <c r="I49" s="53"/>
    </row>
    <row r="50" spans="1:9" x14ac:dyDescent="0.25">
      <c r="A50" s="3"/>
      <c r="B50" s="3"/>
      <c r="C50" s="3"/>
    </row>
  </sheetData>
  <mergeCells count="6">
    <mergeCell ref="A46:I46"/>
    <mergeCell ref="D10:F10"/>
    <mergeCell ref="G10:I10"/>
    <mergeCell ref="J10:L10"/>
    <mergeCell ref="A44:I44"/>
    <mergeCell ref="A45:H45"/>
  </mergeCells>
  <pageMargins left="0.45" right="0.45" top="0.75" bottom="0.5" header="0.3" footer="0.3"/>
  <pageSetup scale="59" orientation="landscape" r:id="rId1"/>
  <headerFooter>
    <oddHeader>&amp;C&amp;F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2"/>
  <sheetViews>
    <sheetView zoomScaleNormal="100" workbookViewId="0">
      <selection activeCell="H1" sqref="H1"/>
    </sheetView>
  </sheetViews>
  <sheetFormatPr defaultRowHeight="15" x14ac:dyDescent="0.25"/>
  <cols>
    <col min="1" max="1" width="17.5703125" customWidth="1"/>
    <col min="2" max="2" width="22" customWidth="1"/>
    <col min="3" max="3" width="17.28515625" customWidth="1"/>
    <col min="4" max="4" width="24.85546875" bestFit="1" customWidth="1"/>
    <col min="5" max="5" width="15.5703125" bestFit="1" customWidth="1"/>
    <col min="6" max="9" width="17.7109375" customWidth="1"/>
  </cols>
  <sheetData>
    <row r="1" spans="1:32" s="62" customFormat="1" x14ac:dyDescent="0.25">
      <c r="A1" s="79" t="s">
        <v>149</v>
      </c>
    </row>
    <row r="2" spans="1:32" ht="15.75" thickBot="1" x14ac:dyDescent="0.3">
      <c r="A2" s="9" t="s">
        <v>129</v>
      </c>
    </row>
    <row r="3" spans="1:32" ht="35.25" customHeight="1" thickBot="1" x14ac:dyDescent="0.3">
      <c r="B3" s="226" t="s">
        <v>85</v>
      </c>
      <c r="C3" s="226"/>
      <c r="E3" s="227" t="s">
        <v>5</v>
      </c>
      <c r="F3" s="228"/>
      <c r="G3" s="228"/>
      <c r="H3" s="228"/>
      <c r="I3" s="229"/>
    </row>
    <row r="4" spans="1:32" ht="45" x14ac:dyDescent="0.25">
      <c r="B4" s="86" t="s">
        <v>60</v>
      </c>
      <c r="C4" s="6" t="s">
        <v>31</v>
      </c>
      <c r="E4" s="10"/>
      <c r="F4" s="90" t="s">
        <v>29</v>
      </c>
      <c r="G4" s="90" t="s">
        <v>30</v>
      </c>
      <c r="H4" s="90" t="s">
        <v>80</v>
      </c>
      <c r="I4" s="91" t="s">
        <v>1</v>
      </c>
    </row>
    <row r="5" spans="1:32" x14ac:dyDescent="0.25">
      <c r="A5" s="22" t="s">
        <v>29</v>
      </c>
      <c r="B5" s="93">
        <f>+[1]KCPL!U19</f>
        <v>1206943063</v>
      </c>
      <c r="C5" s="36">
        <f>SUM(F9:I9)</f>
        <v>2428145.625</v>
      </c>
      <c r="D5" s="4"/>
      <c r="E5" s="25"/>
      <c r="F5" s="27">
        <v>1</v>
      </c>
      <c r="G5" s="27">
        <v>0</v>
      </c>
      <c r="H5" s="27">
        <v>0.5</v>
      </c>
      <c r="I5" s="28">
        <v>0.5</v>
      </c>
    </row>
    <row r="6" spans="1:32" ht="15.75" thickBot="1" x14ac:dyDescent="0.3">
      <c r="A6" s="22" t="s">
        <v>30</v>
      </c>
      <c r="B6" s="93">
        <f>+[1]KCPL!U20</f>
        <v>2350641500.094481</v>
      </c>
      <c r="C6" s="36">
        <f>SUM(F10:I10)</f>
        <v>4475260.7850000001</v>
      </c>
      <c r="D6" s="4"/>
      <c r="E6" s="25"/>
      <c r="F6" s="27">
        <v>0</v>
      </c>
      <c r="G6" s="27">
        <v>1</v>
      </c>
      <c r="H6" s="27">
        <v>0.5</v>
      </c>
      <c r="I6" s="28">
        <v>0.5</v>
      </c>
    </row>
    <row r="7" spans="1:32" ht="16.5" thickTop="1" thickBot="1" x14ac:dyDescent="0.3">
      <c r="A7" s="22" t="s">
        <v>6</v>
      </c>
      <c r="B7" s="35">
        <f>SUM(B5:B6)</f>
        <v>3557584563.094481</v>
      </c>
      <c r="C7" s="24">
        <f>SUM(C5:C6)</f>
        <v>6903406.4100000001</v>
      </c>
      <c r="D7" s="4"/>
      <c r="E7" s="31" t="s">
        <v>12</v>
      </c>
      <c r="F7" s="21">
        <f>1-SUM(F5:F6)</f>
        <v>0</v>
      </c>
      <c r="G7" s="21">
        <f>1-SUM(G5:G6)</f>
        <v>0</v>
      </c>
      <c r="H7" s="21">
        <f>1-SUM(H5:H6)</f>
        <v>0</v>
      </c>
      <c r="I7" s="21">
        <f>1-SUM(I5:I6)</f>
        <v>0</v>
      </c>
    </row>
    <row r="8" spans="1:32" ht="16.5" thickTop="1" thickBot="1" x14ac:dyDescent="0.3">
      <c r="B8" s="33" t="s">
        <v>12</v>
      </c>
      <c r="C8" s="21">
        <f>SUM(F8:I8)-C7</f>
        <v>0</v>
      </c>
      <c r="D8" s="2"/>
      <c r="E8" s="32" t="s">
        <v>6</v>
      </c>
      <c r="F8" s="37">
        <f>ROUND('[2]Program Costs - KCP&amp;L'!$AD$159,2)</f>
        <v>2162578.84</v>
      </c>
      <c r="G8" s="37">
        <f>ROUND('[2]Program Costs - KCP&amp;L'!$AD$160,2)</f>
        <v>4209694</v>
      </c>
      <c r="H8" s="37">
        <f>ROUND('[2]Program Costs - KCP&amp;L'!$AD$161,2)</f>
        <v>531133.56999999995</v>
      </c>
      <c r="I8" s="38">
        <f>ROUND('[2]Program Costs - KCP&amp;L'!$AD$162,2)</f>
        <v>0</v>
      </c>
    </row>
    <row r="9" spans="1:32" ht="15.75" thickTop="1" x14ac:dyDescent="0.25">
      <c r="D9" s="4"/>
      <c r="E9" s="106" t="s">
        <v>29</v>
      </c>
      <c r="F9" s="107">
        <f t="shared" ref="F9:I10" si="0">F5*F$8</f>
        <v>2162578.84</v>
      </c>
      <c r="G9" s="107">
        <f t="shared" si="0"/>
        <v>0</v>
      </c>
      <c r="H9" s="107">
        <f t="shared" si="0"/>
        <v>265566.78499999997</v>
      </c>
      <c r="I9" s="108">
        <f t="shared" si="0"/>
        <v>0</v>
      </c>
    </row>
    <row r="10" spans="1:32" ht="15.75" thickBot="1" x14ac:dyDescent="0.3">
      <c r="D10" s="4"/>
      <c r="E10" s="26" t="s">
        <v>30</v>
      </c>
      <c r="F10" s="29">
        <f t="shared" si="0"/>
        <v>0</v>
      </c>
      <c r="G10" s="29">
        <f t="shared" si="0"/>
        <v>4209694</v>
      </c>
      <c r="H10" s="29">
        <f t="shared" si="0"/>
        <v>265566.78499999997</v>
      </c>
      <c r="I10" s="30">
        <f t="shared" si="0"/>
        <v>0</v>
      </c>
    </row>
    <row r="13" spans="1:32" x14ac:dyDescent="0.25"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69" t="s">
        <v>13</v>
      </c>
      <c r="F14" s="61"/>
      <c r="G14" s="61"/>
      <c r="H14" s="61"/>
      <c r="I14" s="176"/>
      <c r="J14" s="61"/>
    </row>
    <row r="15" spans="1:32" x14ac:dyDescent="0.25">
      <c r="A15" s="230" t="s">
        <v>132</v>
      </c>
      <c r="B15" s="230"/>
      <c r="C15" s="230"/>
      <c r="D15" s="230"/>
      <c r="E15" s="230"/>
      <c r="F15" s="230"/>
      <c r="G15" s="230"/>
      <c r="H15" s="230"/>
      <c r="I15" s="230"/>
    </row>
    <row r="16" spans="1:32" x14ac:dyDescent="0.25">
      <c r="A16" s="231" t="s">
        <v>143</v>
      </c>
      <c r="B16" s="231"/>
      <c r="C16" s="231"/>
      <c r="D16" s="231"/>
      <c r="E16" s="231"/>
      <c r="F16" s="231"/>
      <c r="G16" s="231"/>
      <c r="H16" s="231"/>
      <c r="I16" s="231"/>
    </row>
    <row r="17" spans="1:10" x14ac:dyDescent="0.25">
      <c r="I17" s="176"/>
    </row>
    <row r="18" spans="1:10" x14ac:dyDescent="0.25">
      <c r="I18" s="176"/>
    </row>
    <row r="19" spans="1:10" x14ac:dyDescent="0.25">
      <c r="I19" s="176"/>
    </row>
    <row r="26" spans="1:10" x14ac:dyDescent="0.25">
      <c r="C26" s="2"/>
    </row>
    <row r="28" spans="1:10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</row>
    <row r="29" spans="1:10" x14ac:dyDescent="0.25">
      <c r="A29" s="62"/>
      <c r="B29" s="62"/>
      <c r="C29" s="62"/>
      <c r="E29" s="62"/>
      <c r="F29" s="62"/>
      <c r="G29" s="62"/>
      <c r="H29" s="62"/>
      <c r="I29" s="62"/>
      <c r="J29" s="62"/>
    </row>
    <row r="30" spans="1:10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</row>
    <row r="32" spans="1:10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</row>
    <row r="33" spans="1:10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</row>
    <row r="36" spans="1:10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</row>
    <row r="38" spans="1:10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</row>
    <row r="39" spans="1:10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</row>
    <row r="40" spans="1:10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</row>
    <row r="41" spans="1:10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</row>
    <row r="42" spans="1:10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</row>
    <row r="48" spans="1:10" x14ac:dyDescent="0.25">
      <c r="B48" s="8"/>
      <c r="C48" s="8"/>
      <c r="D48" s="8"/>
    </row>
    <row r="52" spans="2:4" x14ac:dyDescent="0.25">
      <c r="B52" s="8"/>
      <c r="C52" s="8"/>
      <c r="D52" s="8"/>
    </row>
  </sheetData>
  <mergeCells count="4">
    <mergeCell ref="B3:C3"/>
    <mergeCell ref="E3:I3"/>
    <mergeCell ref="A15:I15"/>
    <mergeCell ref="A16:I16"/>
  </mergeCells>
  <pageMargins left="0.2" right="0.2" top="0.75" bottom="0.25" header="0.3" footer="0.3"/>
  <pageSetup scale="80" orientation="landscape" r:id="rId1"/>
  <headerFooter>
    <oddHeader>&amp;C&amp;F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5"/>
  <sheetViews>
    <sheetView zoomScaleNormal="100" workbookViewId="0">
      <pane xSplit="3" ySplit="9" topLeftCell="D28" activePane="bottomRight" state="frozen"/>
      <selection activeCell="H1" sqref="H1"/>
      <selection pane="topRight" activeCell="H1" sqref="H1"/>
      <selection pane="bottomLeft" activeCell="H1" sqref="H1"/>
      <selection pane="bottomRight" activeCell="H1" sqref="H1"/>
    </sheetView>
  </sheetViews>
  <sheetFormatPr defaultRowHeight="15" x14ac:dyDescent="0.25"/>
  <cols>
    <col min="1" max="1" width="54.5703125" customWidth="1"/>
    <col min="2" max="2" width="14.7109375" style="62" bestFit="1" customWidth="1"/>
    <col min="3" max="3" width="15" style="62" bestFit="1" customWidth="1"/>
    <col min="4" max="4" width="15.140625" customWidth="1"/>
    <col min="5" max="5" width="15.85546875" bestFit="1" customWidth="1"/>
    <col min="6" max="6" width="17.5703125" style="62" bestFit="1" customWidth="1"/>
    <col min="7" max="8" width="13.28515625" style="62" bestFit="1" customWidth="1"/>
    <col min="9" max="9" width="12.5703125" bestFit="1" customWidth="1"/>
    <col min="10" max="11" width="12.5703125" style="62" bestFit="1" customWidth="1"/>
    <col min="12" max="12" width="12.28515625" style="62" bestFit="1" customWidth="1"/>
    <col min="13" max="13" width="15" bestFit="1" customWidth="1"/>
    <col min="14" max="14" width="16.28515625" bestFit="1" customWidth="1"/>
    <col min="15" max="15" width="16.140625" customWidth="1"/>
    <col min="16" max="16" width="17.28515625" bestFit="1" customWidth="1"/>
    <col min="17" max="17" width="17.42578125" customWidth="1"/>
    <col min="18" max="18" width="15.5703125" customWidth="1"/>
    <col min="19" max="19" width="13" customWidth="1"/>
    <col min="21" max="21" width="14.28515625" bestFit="1" customWidth="1"/>
  </cols>
  <sheetData>
    <row r="1" spans="1:34" x14ac:dyDescent="0.25">
      <c r="A1" s="3" t="str">
        <f>+PPC!A1</f>
        <v>Kansas City Power &amp; Light Company - DSIM Rider Update Filed 11/30/2017</v>
      </c>
      <c r="B1" s="3"/>
      <c r="C1" s="3"/>
    </row>
    <row r="2" spans="1:34" x14ac:dyDescent="0.25">
      <c r="D2" s="3" t="s">
        <v>79</v>
      </c>
    </row>
    <row r="3" spans="1:34" ht="30" x14ac:dyDescent="0.25">
      <c r="D3" s="6" t="s">
        <v>62</v>
      </c>
      <c r="E3" s="6" t="s">
        <v>61</v>
      </c>
      <c r="F3" s="86" t="s">
        <v>2</v>
      </c>
      <c r="G3" s="6" t="s">
        <v>3</v>
      </c>
      <c r="H3" s="86" t="s">
        <v>71</v>
      </c>
      <c r="I3" s="6" t="s">
        <v>11</v>
      </c>
      <c r="J3" s="6" t="s">
        <v>4</v>
      </c>
    </row>
    <row r="4" spans="1:34" x14ac:dyDescent="0.25">
      <c r="A4" s="62" t="s">
        <v>29</v>
      </c>
      <c r="D4" s="24">
        <f>SUM(C25:L25)</f>
        <v>8813.2022599999982</v>
      </c>
      <c r="E4" s="161">
        <f>SUM(C21:L21)</f>
        <v>1364384626</v>
      </c>
      <c r="F4" s="24">
        <f>SUM(C17:K17)</f>
        <v>0</v>
      </c>
      <c r="G4" s="24">
        <f>F4-D4</f>
        <v>-8813.2022599999982</v>
      </c>
      <c r="H4" s="24">
        <f>+B35</f>
        <v>8810.5422599999929</v>
      </c>
      <c r="I4" s="24">
        <f>SUM(C40:K40)</f>
        <v>2.6600000000000072</v>
      </c>
      <c r="J4" s="36">
        <f>SUM(G4:I4)</f>
        <v>-5.3042015224491479E-12</v>
      </c>
      <c r="K4" s="63">
        <f>+J4-L35</f>
        <v>1.9682033780554775E-12</v>
      </c>
      <c r="M4" s="45"/>
    </row>
    <row r="5" spans="1:34" ht="15.75" thickBot="1" x14ac:dyDescent="0.3">
      <c r="A5" t="s">
        <v>30</v>
      </c>
      <c r="D5" s="24">
        <f>SUM(C26:L26)</f>
        <v>-668033.24151912192</v>
      </c>
      <c r="E5" s="161">
        <f>SUM(C22:L22)</f>
        <v>2358732681.7128277</v>
      </c>
      <c r="F5" s="24">
        <f>SUM(C18:K18)</f>
        <v>0</v>
      </c>
      <c r="G5" s="24">
        <f>F5-D5</f>
        <v>668033.24151912192</v>
      </c>
      <c r="H5" s="24">
        <f>+B36</f>
        <v>-890927.84658675932</v>
      </c>
      <c r="I5" s="24">
        <f>SUM(C41:K41)</f>
        <v>-8913.8599999999988</v>
      </c>
      <c r="J5" s="36">
        <f>SUM(G5:I5)</f>
        <v>-231808.46506763739</v>
      </c>
      <c r="K5" s="63">
        <f>+J5-L36</f>
        <v>0</v>
      </c>
      <c r="M5" s="45"/>
    </row>
    <row r="6" spans="1:34" ht="16.5" thickTop="1" thickBot="1" x14ac:dyDescent="0.3">
      <c r="D6" s="40">
        <f t="shared" ref="D6" si="0">SUM(D4:D5)</f>
        <v>-659220.03925912187</v>
      </c>
      <c r="E6" s="162">
        <f t="shared" ref="E6:H6" si="1">SUM(E4:E5)</f>
        <v>3723117307.7128277</v>
      </c>
      <c r="F6" s="40">
        <f t="shared" si="1"/>
        <v>0</v>
      </c>
      <c r="G6" s="40">
        <f t="shared" si="1"/>
        <v>659220.03925912187</v>
      </c>
      <c r="H6" s="40">
        <f t="shared" si="1"/>
        <v>-882117.3043267593</v>
      </c>
      <c r="I6" s="94">
        <f>SUM(I4:I5)</f>
        <v>-8911.1999999999989</v>
      </c>
      <c r="J6" s="40">
        <f>SUM(J4:J5)</f>
        <v>-231808.46506763739</v>
      </c>
    </row>
    <row r="7" spans="1:34" ht="16.5" thickTop="1" thickBot="1" x14ac:dyDescent="0.3"/>
    <row r="8" spans="1:34" ht="75.75" thickBot="1" x14ac:dyDescent="0.3">
      <c r="B8" s="141" t="s">
        <v>130</v>
      </c>
      <c r="C8" s="179" t="s">
        <v>131</v>
      </c>
      <c r="D8" s="233" t="s">
        <v>39</v>
      </c>
      <c r="E8" s="233"/>
      <c r="F8" s="234"/>
      <c r="G8" s="205" t="s">
        <v>39</v>
      </c>
      <c r="H8" s="206"/>
      <c r="I8" s="207"/>
      <c r="J8" s="186" t="s">
        <v>9</v>
      </c>
      <c r="K8" s="186"/>
      <c r="L8" s="187"/>
    </row>
    <row r="9" spans="1:34" x14ac:dyDescent="0.25">
      <c r="A9" t="s">
        <v>38</v>
      </c>
      <c r="C9" s="14"/>
      <c r="D9" s="20">
        <v>42883</v>
      </c>
      <c r="E9" s="20">
        <f t="shared" ref="E9" si="2">EDATE(D9,1)</f>
        <v>42914</v>
      </c>
      <c r="F9" s="20">
        <f t="shared" ref="F9" si="3">EDATE(E9,1)</f>
        <v>42944</v>
      </c>
      <c r="G9" s="14">
        <f t="shared" ref="G9" si="4">EDATE(F9,1)</f>
        <v>42975</v>
      </c>
      <c r="H9" s="20">
        <f t="shared" ref="H9:I9" si="5">EDATE(G9,1)</f>
        <v>43006</v>
      </c>
      <c r="I9" s="15">
        <f t="shared" si="5"/>
        <v>43036</v>
      </c>
      <c r="J9" s="20">
        <f t="shared" ref="J9:L9" si="6">EDATE(I9,1)</f>
        <v>43067</v>
      </c>
      <c r="K9" s="20">
        <f t="shared" si="6"/>
        <v>43097</v>
      </c>
      <c r="L9" s="118">
        <f t="shared" si="6"/>
        <v>43128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t="s">
        <v>29</v>
      </c>
      <c r="C10" s="120">
        <v>0</v>
      </c>
      <c r="D10" s="132">
        <v>0</v>
      </c>
      <c r="E10" s="132">
        <v>0</v>
      </c>
      <c r="F10" s="133">
        <v>0</v>
      </c>
      <c r="G10" s="16">
        <v>0</v>
      </c>
      <c r="H10" s="71">
        <v>0</v>
      </c>
      <c r="I10" s="195">
        <v>0</v>
      </c>
      <c r="J10" s="208">
        <v>0</v>
      </c>
      <c r="K10" s="164">
        <v>0</v>
      </c>
      <c r="L10" s="95"/>
    </row>
    <row r="11" spans="1:34" x14ac:dyDescent="0.25">
      <c r="A11" t="s">
        <v>30</v>
      </c>
      <c r="C11" s="120">
        <v>0</v>
      </c>
      <c r="D11" s="132">
        <v>0</v>
      </c>
      <c r="E11" s="132">
        <v>0</v>
      </c>
      <c r="F11" s="133">
        <v>0</v>
      </c>
      <c r="G11" s="16">
        <v>0</v>
      </c>
      <c r="H11" s="71">
        <v>0</v>
      </c>
      <c r="I11" s="195">
        <v>0</v>
      </c>
      <c r="J11" s="208">
        <v>0</v>
      </c>
      <c r="K11" s="164">
        <v>0</v>
      </c>
      <c r="L11" s="95"/>
      <c r="M11" s="79" t="s">
        <v>32</v>
      </c>
    </row>
    <row r="12" spans="1:34" x14ac:dyDescent="0.25">
      <c r="A12" t="s">
        <v>0</v>
      </c>
      <c r="C12" s="120">
        <v>0</v>
      </c>
      <c r="D12" s="132">
        <v>0</v>
      </c>
      <c r="E12" s="132">
        <v>0</v>
      </c>
      <c r="F12" s="133">
        <v>0</v>
      </c>
      <c r="G12" s="16">
        <v>0</v>
      </c>
      <c r="H12" s="71">
        <v>0</v>
      </c>
      <c r="I12" s="195">
        <v>0</v>
      </c>
      <c r="J12" s="208">
        <v>0</v>
      </c>
      <c r="K12" s="164">
        <v>0</v>
      </c>
      <c r="L12" s="95"/>
      <c r="M12" s="89">
        <v>0.5</v>
      </c>
    </row>
    <row r="13" spans="1:34" x14ac:dyDescent="0.25">
      <c r="A13" t="s">
        <v>1</v>
      </c>
      <c r="C13" s="120">
        <v>0</v>
      </c>
      <c r="D13" s="132">
        <v>0</v>
      </c>
      <c r="E13" s="132">
        <v>0</v>
      </c>
      <c r="F13" s="133">
        <v>0</v>
      </c>
      <c r="G13" s="16">
        <v>0</v>
      </c>
      <c r="H13" s="71">
        <v>0</v>
      </c>
      <c r="I13" s="195">
        <v>0</v>
      </c>
      <c r="J13" s="208">
        <v>0</v>
      </c>
      <c r="K13" s="164">
        <v>0</v>
      </c>
      <c r="L13" s="95"/>
      <c r="M13" s="79" t="s">
        <v>28</v>
      </c>
    </row>
    <row r="14" spans="1:34" s="62" customFormat="1" x14ac:dyDescent="0.25">
      <c r="A14" s="62" t="s">
        <v>27</v>
      </c>
      <c r="C14" s="120">
        <v>0</v>
      </c>
      <c r="D14" s="132">
        <v>0</v>
      </c>
      <c r="E14" s="132">
        <v>0</v>
      </c>
      <c r="F14" s="133">
        <v>0</v>
      </c>
      <c r="G14" s="16">
        <v>0</v>
      </c>
      <c r="H14" s="71">
        <v>0</v>
      </c>
      <c r="I14" s="195">
        <v>0</v>
      </c>
      <c r="J14" s="208">
        <v>0</v>
      </c>
      <c r="K14" s="164">
        <v>0</v>
      </c>
      <c r="L14" s="95"/>
      <c r="M14" s="89">
        <v>2.4400000000000002E-2</v>
      </c>
    </row>
    <row r="15" spans="1:34" x14ac:dyDescent="0.25">
      <c r="C15" s="121"/>
      <c r="D15" s="44"/>
      <c r="E15" s="44"/>
      <c r="F15" s="44"/>
      <c r="G15" s="41"/>
      <c r="H15" s="44"/>
      <c r="I15" s="11"/>
      <c r="J15" s="44"/>
      <c r="K15" s="44"/>
      <c r="L15" s="42"/>
    </row>
    <row r="16" spans="1:34" x14ac:dyDescent="0.25">
      <c r="A16" t="s">
        <v>41</v>
      </c>
      <c r="C16" s="122"/>
      <c r="D16" s="44"/>
      <c r="E16" s="44"/>
      <c r="F16" s="44"/>
      <c r="G16" s="41"/>
      <c r="H16" s="44"/>
      <c r="I16" s="196"/>
      <c r="J16" s="17"/>
      <c r="K16" s="17"/>
      <c r="L16" s="11"/>
    </row>
    <row r="17" spans="1:14" x14ac:dyDescent="0.25">
      <c r="A17" s="62" t="s">
        <v>29</v>
      </c>
      <c r="C17" s="54">
        <f t="shared" ref="C17:I17" si="7">C10+($M$12*C$12)+($M$12*C$13)+C$14*(1-$M$14)</f>
        <v>0</v>
      </c>
      <c r="D17" s="55">
        <f t="shared" si="7"/>
        <v>0</v>
      </c>
      <c r="E17" s="55">
        <f t="shared" si="7"/>
        <v>0</v>
      </c>
      <c r="F17" s="131">
        <f t="shared" si="7"/>
        <v>0</v>
      </c>
      <c r="G17" s="54">
        <f t="shared" si="7"/>
        <v>0</v>
      </c>
      <c r="H17" s="55">
        <f t="shared" si="7"/>
        <v>0</v>
      </c>
      <c r="I17" s="77">
        <f t="shared" si="7"/>
        <v>0</v>
      </c>
      <c r="J17" s="146">
        <f t="shared" ref="J17:L17" si="8">J10+($M$12*J$12)+($M$12*J$13)+J$14*(1-$M$14)</f>
        <v>0</v>
      </c>
      <c r="K17" s="55">
        <f t="shared" si="8"/>
        <v>0</v>
      </c>
      <c r="L17" s="55">
        <f t="shared" si="8"/>
        <v>0</v>
      </c>
    </row>
    <row r="18" spans="1:14" x14ac:dyDescent="0.25">
      <c r="A18" t="s">
        <v>30</v>
      </c>
      <c r="C18" s="54">
        <f t="shared" ref="C18:I18" si="9">(C$11+$M$12*C$12+C$14*$M$14)+C$13*$M$12</f>
        <v>0</v>
      </c>
      <c r="D18" s="55">
        <f t="shared" si="9"/>
        <v>0</v>
      </c>
      <c r="E18" s="55">
        <f t="shared" si="9"/>
        <v>0</v>
      </c>
      <c r="F18" s="131">
        <f t="shared" si="9"/>
        <v>0</v>
      </c>
      <c r="G18" s="54">
        <f t="shared" si="9"/>
        <v>0</v>
      </c>
      <c r="H18" s="55">
        <f t="shared" si="9"/>
        <v>0</v>
      </c>
      <c r="I18" s="77">
        <f t="shared" si="9"/>
        <v>0</v>
      </c>
      <c r="J18" s="146">
        <f t="shared" ref="J18:L18" si="10">(J$11+$M$12*J$12+J$14*$M$14)+J$13*$M$12</f>
        <v>0</v>
      </c>
      <c r="K18" s="55">
        <f t="shared" si="10"/>
        <v>0</v>
      </c>
      <c r="L18" s="55">
        <f t="shared" si="10"/>
        <v>0</v>
      </c>
    </row>
    <row r="19" spans="1:14" x14ac:dyDescent="0.25">
      <c r="C19" s="122"/>
      <c r="D19" s="44"/>
      <c r="E19" s="44"/>
      <c r="F19" s="44"/>
      <c r="G19" s="41"/>
      <c r="H19" s="44"/>
      <c r="I19" s="11"/>
      <c r="J19" s="17"/>
      <c r="K19" s="17"/>
      <c r="L19" s="11"/>
    </row>
    <row r="20" spans="1:14" x14ac:dyDescent="0.25">
      <c r="A20" s="53" t="s">
        <v>63</v>
      </c>
      <c r="B20" s="53"/>
      <c r="C20" s="124"/>
      <c r="D20" s="44"/>
      <c r="E20" s="44"/>
      <c r="F20" s="44"/>
      <c r="G20" s="41"/>
      <c r="H20" s="44"/>
      <c r="I20" s="11"/>
      <c r="J20" s="17"/>
      <c r="K20" s="17"/>
      <c r="L20" s="11"/>
    </row>
    <row r="21" spans="1:14" x14ac:dyDescent="0.25">
      <c r="A21" s="62" t="s">
        <v>29</v>
      </c>
      <c r="C21" s="125">
        <v>-609888387</v>
      </c>
      <c r="D21" s="134">
        <f>+'[3]KCPL-MO Revenue Analysis'!G194</f>
        <v>143868231</v>
      </c>
      <c r="E21" s="134">
        <f>+'[3]KCPL-MO Revenue Analysis'!H194</f>
        <v>200517334</v>
      </c>
      <c r="F21" s="134">
        <f>+'[3]KCPL-MO Revenue Analysis'!I194</f>
        <v>279429318</v>
      </c>
      <c r="G21" s="218">
        <f>+'[3]KCPL-MO Revenue Analysis'!J194</f>
        <v>274875442</v>
      </c>
      <c r="H21" s="214">
        <f>+'[3]KCPL-MO Revenue Analysis'!K194</f>
        <v>216905940</v>
      </c>
      <c r="I21" s="215">
        <f>+'[3]KCPL-MO Revenue Analysis'!L194</f>
        <v>191898728</v>
      </c>
      <c r="J21" s="209">
        <f>+[1]KCPL!M14</f>
        <v>166742902</v>
      </c>
      <c r="K21" s="165">
        <f>+[1]KCPL!N14</f>
        <v>236526712</v>
      </c>
      <c r="L21" s="96">
        <f>+[1]KCPL!O14</f>
        <v>263508406</v>
      </c>
    </row>
    <row r="22" spans="1:14" x14ac:dyDescent="0.25">
      <c r="A22" s="62" t="s">
        <v>30</v>
      </c>
      <c r="C22" s="125">
        <v>-1228129533.2104001</v>
      </c>
      <c r="D22" s="134">
        <f>+'[3]KCPL-MO Revenue Analysis'!G195</f>
        <v>346003426</v>
      </c>
      <c r="E22" s="134">
        <f>+'[3]KCPL-MO Revenue Analysis'!H195</f>
        <v>389950694</v>
      </c>
      <c r="F22" s="134">
        <f>+'[3]KCPL-MO Revenue Analysis'!I195</f>
        <v>434706577</v>
      </c>
      <c r="G22" s="218">
        <f>+'[3]KCPL-MO Revenue Analysis'!J195</f>
        <v>434990644</v>
      </c>
      <c r="H22" s="214">
        <f>+'[3]KCPL-MO Revenue Analysis'!K195</f>
        <v>404919595</v>
      </c>
      <c r="I22" s="215">
        <f>+'[3]KCPL-MO Revenue Analysis'!L195</f>
        <v>387124293</v>
      </c>
      <c r="J22" s="209">
        <f>+[1]KCPL!M15</f>
        <v>369762592.51991725</v>
      </c>
      <c r="K22" s="165">
        <f>+[1]KCPL!N15</f>
        <v>406394331.36253566</v>
      </c>
      <c r="L22" s="96">
        <f>+[1]KCPL!O15</f>
        <v>413010062.04077494</v>
      </c>
    </row>
    <row r="23" spans="1:14" x14ac:dyDescent="0.25">
      <c r="C23" s="122"/>
      <c r="D23" s="44"/>
      <c r="E23" s="44"/>
      <c r="F23" s="44"/>
      <c r="G23" s="41"/>
      <c r="H23" s="44"/>
      <c r="I23" s="11"/>
      <c r="J23" s="17"/>
      <c r="K23" s="17"/>
      <c r="L23" s="11"/>
    </row>
    <row r="24" spans="1:14" x14ac:dyDescent="0.25">
      <c r="A24" t="s">
        <v>40</v>
      </c>
      <c r="C24" s="122"/>
      <c r="D24" s="18"/>
      <c r="E24" s="18"/>
      <c r="F24" s="18"/>
      <c r="G24" s="114"/>
      <c r="H24" s="18"/>
      <c r="I24" s="11"/>
      <c r="J24" s="73"/>
      <c r="K24" s="73"/>
      <c r="L24" s="74"/>
      <c r="M24" s="79" t="s">
        <v>66</v>
      </c>
      <c r="N24" s="53"/>
    </row>
    <row r="25" spans="1:14" x14ac:dyDescent="0.25">
      <c r="A25" s="62" t="s">
        <v>29</v>
      </c>
      <c r="C25" s="120">
        <v>-12197.767740000001</v>
      </c>
      <c r="D25" s="132">
        <f>ROUND('[3]KCPL-MO Revenue Analysis'!G150+'[3]KCPL-MO Revenue Analysis'!G155,2)</f>
        <v>2897.82</v>
      </c>
      <c r="E25" s="132">
        <f>ROUND('[3]KCPL-MO Revenue Analysis'!H150+'[3]KCPL-MO Revenue Analysis'!H155,2)</f>
        <v>4023.21</v>
      </c>
      <c r="F25" s="132">
        <f>ROUND('[3]KCPL-MO Revenue Analysis'!I150+'[3]KCPL-MO Revenue Analysis'!I155,2)</f>
        <v>5579</v>
      </c>
      <c r="G25" s="219">
        <f>ROUND('[3]KCPL-MO Revenue Analysis'!J150+'[3]KCPL-MO Revenue Analysis'!J155,2)</f>
        <v>8510.94</v>
      </c>
      <c r="H25" s="171">
        <f>ROUND('[3]KCPL-MO Revenue Analysis'!K150+'[3]KCPL-MO Revenue Analysis'!K155,2)</f>
        <v>0</v>
      </c>
      <c r="I25" s="213">
        <f>ROUND('[3]KCPL-MO Revenue Analysis'!L150+'[3]KCPL-MO Revenue Analysis'!L155,2)</f>
        <v>0</v>
      </c>
      <c r="J25" s="146">
        <f t="shared" ref="J25:L26" si="11">J21*$M25</f>
        <v>0</v>
      </c>
      <c r="K25" s="55">
        <f t="shared" si="11"/>
        <v>0</v>
      </c>
      <c r="L25" s="55">
        <f t="shared" si="11"/>
        <v>0</v>
      </c>
      <c r="M25" s="88">
        <v>0</v>
      </c>
    </row>
    <row r="26" spans="1:14" x14ac:dyDescent="0.25">
      <c r="A26" t="str">
        <f>A22</f>
        <v>Non-Residential</v>
      </c>
      <c r="C26" s="120">
        <v>-798284.19658675999</v>
      </c>
      <c r="D26" s="132">
        <f>ROUND('[3]KCPL-MO Revenue Analysis'!G151+'[3]KCPL-MO Revenue Analysis'!G156,2)</f>
        <v>224795.04</v>
      </c>
      <c r="E26" s="132">
        <f>ROUND('[3]KCPL-MO Revenue Analysis'!H151+'[3]KCPL-MO Revenue Analysis'!H156,2)</f>
        <v>259165.29</v>
      </c>
      <c r="F26" s="132">
        <f>ROUND('[3]KCPL-MO Revenue Analysis'!I151+'[3]KCPL-MO Revenue Analysis'!I156,2)</f>
        <v>282579.90000000002</v>
      </c>
      <c r="G26" s="219">
        <f>ROUND('[3]KCPL-MO Revenue Analysis'!J151+'[3]KCPL-MO Revenue Analysis'!J156,2)</f>
        <v>101133.78</v>
      </c>
      <c r="H26" s="171">
        <f>ROUND('[3]KCPL-MO Revenue Analysis'!K151+'[3]KCPL-MO Revenue Analysis'!K156,2)</f>
        <v>-145526.24</v>
      </c>
      <c r="I26" s="213">
        <f>ROUND('[3]KCPL-MO Revenue Analysis'!L151+'[3]KCPL-MO Revenue Analysis'!L156,2)</f>
        <v>-163796.70000000001</v>
      </c>
      <c r="J26" s="146">
        <f t="shared" si="11"/>
        <v>-133114.5333071702</v>
      </c>
      <c r="K26" s="55">
        <f t="shared" si="11"/>
        <v>-146301.95929051284</v>
      </c>
      <c r="L26" s="55">
        <f t="shared" si="11"/>
        <v>-148683.62233467898</v>
      </c>
      <c r="M26" s="88">
        <v>-3.6000000000000002E-4</v>
      </c>
    </row>
    <row r="27" spans="1:14" x14ac:dyDescent="0.25">
      <c r="C27" s="83"/>
      <c r="D27" s="18"/>
      <c r="E27" s="18"/>
      <c r="F27" s="18"/>
      <c r="G27" s="114"/>
      <c r="H27" s="18"/>
      <c r="I27" s="11"/>
      <c r="J27" s="72"/>
      <c r="K27" s="72"/>
      <c r="L27" s="13"/>
      <c r="M27" s="4"/>
    </row>
    <row r="28" spans="1:14" ht="15.75" thickBot="1" x14ac:dyDescent="0.3">
      <c r="A28" t="s">
        <v>16</v>
      </c>
      <c r="C28" s="126">
        <v>1198.76</v>
      </c>
      <c r="D28" s="135">
        <v>-347.34000000000003</v>
      </c>
      <c r="E28" s="135">
        <v>-866.85</v>
      </c>
      <c r="F28" s="136">
        <v>-1459.17</v>
      </c>
      <c r="G28" s="39">
        <v>-1896.67</v>
      </c>
      <c r="H28" s="145">
        <v>-1844.96</v>
      </c>
      <c r="I28" s="212">
        <v>-1530.47</v>
      </c>
      <c r="J28" s="210">
        <v>-1225.82</v>
      </c>
      <c r="K28" s="166">
        <v>-938.68000000000006</v>
      </c>
      <c r="L28" s="100"/>
    </row>
    <row r="29" spans="1:14" x14ac:dyDescent="0.25">
      <c r="C29" s="122"/>
      <c r="D29" s="44"/>
      <c r="E29" s="44"/>
      <c r="F29" s="44"/>
      <c r="G29" s="41"/>
      <c r="H29" s="44"/>
      <c r="I29" s="11"/>
      <c r="J29" s="17"/>
      <c r="K29" s="17"/>
      <c r="L29" s="11"/>
    </row>
    <row r="30" spans="1:14" x14ac:dyDescent="0.25">
      <c r="A30" t="s">
        <v>68</v>
      </c>
      <c r="C30" s="122"/>
      <c r="D30" s="44"/>
      <c r="E30" s="44"/>
      <c r="F30" s="44"/>
      <c r="G30" s="41"/>
      <c r="H30" s="44"/>
      <c r="I30" s="11"/>
      <c r="J30" s="17"/>
      <c r="K30" s="17"/>
      <c r="L30" s="11"/>
    </row>
    <row r="31" spans="1:14" x14ac:dyDescent="0.25">
      <c r="A31" s="62" t="s">
        <v>29</v>
      </c>
      <c r="C31" s="54">
        <f t="shared" ref="C31:C32" si="12">C17-C25</f>
        <v>12197.767740000001</v>
      </c>
      <c r="D31" s="55">
        <f t="shared" ref="D31:I32" si="13">D17-D25</f>
        <v>-2897.82</v>
      </c>
      <c r="E31" s="55">
        <f t="shared" si="13"/>
        <v>-4023.21</v>
      </c>
      <c r="F31" s="131">
        <f t="shared" ref="F31:H31" si="14">F17-F25</f>
        <v>-5579</v>
      </c>
      <c r="G31" s="54">
        <f t="shared" si="14"/>
        <v>-8510.94</v>
      </c>
      <c r="H31" s="55">
        <f t="shared" si="14"/>
        <v>0</v>
      </c>
      <c r="I31" s="77">
        <f t="shared" si="13"/>
        <v>0</v>
      </c>
      <c r="J31" s="146">
        <f t="shared" ref="J31:K31" si="15">J17-J25</f>
        <v>0</v>
      </c>
      <c r="K31" s="55">
        <f t="shared" si="15"/>
        <v>0</v>
      </c>
      <c r="L31" s="65">
        <f t="shared" ref="L31" si="16">L17-L25</f>
        <v>0</v>
      </c>
    </row>
    <row r="32" spans="1:14" x14ac:dyDescent="0.25">
      <c r="A32" t="s">
        <v>30</v>
      </c>
      <c r="C32" s="54">
        <f t="shared" si="12"/>
        <v>798284.19658675999</v>
      </c>
      <c r="D32" s="55">
        <f t="shared" si="13"/>
        <v>-224795.04</v>
      </c>
      <c r="E32" s="55">
        <f t="shared" si="13"/>
        <v>-259165.29</v>
      </c>
      <c r="F32" s="131">
        <f t="shared" ref="F32:H32" si="17">F18-F26</f>
        <v>-282579.90000000002</v>
      </c>
      <c r="G32" s="54">
        <f t="shared" si="17"/>
        <v>-101133.78</v>
      </c>
      <c r="H32" s="55">
        <f t="shared" si="17"/>
        <v>145526.24</v>
      </c>
      <c r="I32" s="77">
        <f t="shared" si="13"/>
        <v>163796.70000000001</v>
      </c>
      <c r="J32" s="146">
        <f t="shared" ref="J32:K32" si="18">J18-J26</f>
        <v>133114.5333071702</v>
      </c>
      <c r="K32" s="55">
        <f t="shared" si="18"/>
        <v>146301.95929051284</v>
      </c>
      <c r="L32" s="65">
        <f t="shared" ref="L32" si="19">L18-L26</f>
        <v>148683.62233467898</v>
      </c>
    </row>
    <row r="33" spans="1:13" x14ac:dyDescent="0.25">
      <c r="A33" s="62"/>
      <c r="C33" s="122"/>
      <c r="D33" s="44"/>
      <c r="E33" s="44"/>
      <c r="F33" s="44"/>
      <c r="G33" s="41"/>
      <c r="H33" s="44"/>
      <c r="I33" s="11"/>
      <c r="J33" s="17"/>
      <c r="K33" s="17"/>
      <c r="L33" s="11"/>
    </row>
    <row r="34" spans="1:13" ht="15.75" thickBot="1" x14ac:dyDescent="0.3">
      <c r="A34" s="62" t="s">
        <v>69</v>
      </c>
      <c r="C34" s="127"/>
      <c r="D34" s="44"/>
      <c r="E34" s="44"/>
      <c r="F34" s="44"/>
      <c r="G34" s="41"/>
      <c r="H34" s="44"/>
      <c r="I34" s="11"/>
      <c r="J34" s="17"/>
      <c r="K34" s="17"/>
      <c r="L34" s="11"/>
    </row>
    <row r="35" spans="1:13" x14ac:dyDescent="0.25">
      <c r="A35" s="62" t="s">
        <v>29</v>
      </c>
      <c r="B35" s="139">
        <v>8810.5422599999929</v>
      </c>
      <c r="C35" s="55">
        <f>B35+C31+B40</f>
        <v>21008.309999999994</v>
      </c>
      <c r="D35" s="55">
        <f t="shared" ref="D35" si="20">C35+D31+C40</f>
        <v>18044.019999999993</v>
      </c>
      <c r="E35" s="55">
        <f t="shared" ref="E35:I36" si="21">D35+E31+D40</f>
        <v>14057.549999999994</v>
      </c>
      <c r="F35" s="131">
        <f t="shared" si="21"/>
        <v>8510.9399999999932</v>
      </c>
      <c r="G35" s="54">
        <f t="shared" si="21"/>
        <v>23.339999999992724</v>
      </c>
      <c r="H35" s="55">
        <f t="shared" si="21"/>
        <v>23.339999999992724</v>
      </c>
      <c r="I35" s="77">
        <f t="shared" si="21"/>
        <v>23.389999999992725</v>
      </c>
      <c r="J35" s="146">
        <f t="shared" ref="J35:J36" si="22">I35+J31+I40</f>
        <v>23.439999999992725</v>
      </c>
      <c r="K35" s="55">
        <f t="shared" ref="K35:L36" si="23">J35+K31+J40</f>
        <v>23.489999999992726</v>
      </c>
      <c r="L35" s="65">
        <f t="shared" si="23"/>
        <v>-7.2724049005046254E-12</v>
      </c>
    </row>
    <row r="36" spans="1:13" ht="15.75" thickBot="1" x14ac:dyDescent="0.3">
      <c r="A36" s="62" t="s">
        <v>30</v>
      </c>
      <c r="B36" s="140">
        <v>-890927.84658675932</v>
      </c>
      <c r="C36" s="55">
        <f>B36+C32+B41</f>
        <v>-92643.649999999325</v>
      </c>
      <c r="D36" s="55">
        <f t="shared" ref="D36" si="24">C36+D32+C41</f>
        <v>-316173.45999999938</v>
      </c>
      <c r="E36" s="55">
        <f t="shared" si="21"/>
        <v>-575722.82999999938</v>
      </c>
      <c r="F36" s="131">
        <f t="shared" si="21"/>
        <v>-859201.96999999939</v>
      </c>
      <c r="G36" s="54">
        <f t="shared" si="21"/>
        <v>-961818.25999999943</v>
      </c>
      <c r="H36" s="55">
        <f t="shared" si="21"/>
        <v>-818188.68999999948</v>
      </c>
      <c r="I36" s="77">
        <f t="shared" si="21"/>
        <v>-656236.99999999953</v>
      </c>
      <c r="J36" s="146">
        <f t="shared" si="22"/>
        <v>-524652.98669282929</v>
      </c>
      <c r="K36" s="55">
        <f t="shared" si="23"/>
        <v>-379576.89740231645</v>
      </c>
      <c r="L36" s="65">
        <f t="shared" si="23"/>
        <v>-231808.46506763747</v>
      </c>
    </row>
    <row r="37" spans="1:13" x14ac:dyDescent="0.25">
      <c r="C37" s="122"/>
      <c r="D37" s="44"/>
      <c r="E37" s="44"/>
      <c r="F37" s="44"/>
      <c r="G37" s="41"/>
      <c r="H37" s="44"/>
      <c r="I37" s="11"/>
      <c r="J37" s="17"/>
      <c r="K37" s="17"/>
      <c r="L37" s="11"/>
    </row>
    <row r="38" spans="1:13" s="62" customFormat="1" x14ac:dyDescent="0.25">
      <c r="A38" s="53" t="s">
        <v>65</v>
      </c>
      <c r="B38" s="53"/>
      <c r="C38" s="127"/>
      <c r="D38" s="102">
        <f>+'[4]May 2017'!$F$51</f>
        <v>1.8848000000000001E-3</v>
      </c>
      <c r="E38" s="102">
        <f>+'[4]June 2017'!$F$51</f>
        <v>2.0156100000000001E-3</v>
      </c>
      <c r="F38" s="102">
        <f>+'[4]July 2017'!$F$51</f>
        <v>2.0650299999999998E-3</v>
      </c>
      <c r="G38" s="103">
        <f>+'[4]Aug 2017'!$F$51</f>
        <v>2.0681900000000001E-3</v>
      </c>
      <c r="H38" s="102">
        <f>+'[4]Sept 2017'!$F$51</f>
        <v>2.0708300000000001E-3</v>
      </c>
      <c r="I38" s="115">
        <f>+'[4]Oct 2017'!$F$51</f>
        <v>2.0734999999999998E-3</v>
      </c>
      <c r="J38" s="102">
        <f>+I38</f>
        <v>2.0734999999999998E-3</v>
      </c>
      <c r="K38" s="102">
        <f>+J38</f>
        <v>2.0734999999999998E-3</v>
      </c>
      <c r="L38" s="115"/>
    </row>
    <row r="39" spans="1:13" x14ac:dyDescent="0.25">
      <c r="A39" s="53" t="s">
        <v>44</v>
      </c>
      <c r="B39" s="53"/>
      <c r="C39" s="122"/>
      <c r="D39" s="44"/>
      <c r="E39" s="44"/>
      <c r="F39" s="44"/>
      <c r="G39" s="41"/>
      <c r="H39" s="44"/>
      <c r="I39" s="11"/>
      <c r="J39" s="17"/>
      <c r="K39" s="17"/>
      <c r="L39" s="11"/>
      <c r="M39" s="87"/>
    </row>
    <row r="40" spans="1:13" x14ac:dyDescent="0.25">
      <c r="A40" s="62" t="s">
        <v>29</v>
      </c>
      <c r="C40" s="54">
        <v>-66.47</v>
      </c>
      <c r="D40" s="55">
        <f t="shared" ref="D40" si="25">ROUND((C35+C40+D31/2)*D$38,2)</f>
        <v>36.74</v>
      </c>
      <c r="E40" s="55">
        <f t="shared" ref="E40:I41" si="26">ROUND((D35+D40+E31/2)*E$38,2)</f>
        <v>32.39</v>
      </c>
      <c r="F40" s="131">
        <f t="shared" si="26"/>
        <v>23.34</v>
      </c>
      <c r="G40" s="224">
        <f>ROUND((F35+F40+G31/2)*G$38,2)*0</f>
        <v>0</v>
      </c>
      <c r="H40" s="146">
        <f t="shared" si="26"/>
        <v>0.05</v>
      </c>
      <c r="I40" s="65">
        <f t="shared" si="26"/>
        <v>0.05</v>
      </c>
      <c r="J40" s="146">
        <f t="shared" ref="J40:J41" si="27">ROUND((I35+I40+J31/2)*J$38,2)</f>
        <v>0.05</v>
      </c>
      <c r="K40" s="146">
        <f>ROUND((J35+J40+K31/2)*K$38,2)-23.54</f>
        <v>-23.49</v>
      </c>
      <c r="L40" s="65"/>
    </row>
    <row r="41" spans="1:13" ht="15.75" thickBot="1" x14ac:dyDescent="0.3">
      <c r="A41" t="s">
        <v>30</v>
      </c>
      <c r="C41" s="137">
        <v>1265.23</v>
      </c>
      <c r="D41" s="55">
        <f>ROUND((C36+C41+D32/2)*D$38,2)</f>
        <v>-384.08</v>
      </c>
      <c r="E41" s="55">
        <f t="shared" si="26"/>
        <v>-899.24</v>
      </c>
      <c r="F41" s="131">
        <f t="shared" si="26"/>
        <v>-1482.51</v>
      </c>
      <c r="G41" s="54">
        <f>ROUND((F36+F41+G32/2)*G$38,2)-12.03</f>
        <v>-1896.67</v>
      </c>
      <c r="H41" s="146">
        <f t="shared" si="26"/>
        <v>-1845.01</v>
      </c>
      <c r="I41" s="65">
        <f t="shared" si="26"/>
        <v>-1530.52</v>
      </c>
      <c r="J41" s="146">
        <f t="shared" si="27"/>
        <v>-1225.8699999999999</v>
      </c>
      <c r="K41" s="146">
        <f>ROUND((J36+J41+K32/2)*K$38,2)+23.54</f>
        <v>-915.19</v>
      </c>
      <c r="L41" s="65"/>
    </row>
    <row r="42" spans="1:13" ht="16.5" thickTop="1" thickBot="1" x14ac:dyDescent="0.3">
      <c r="A42" s="70" t="s">
        <v>25</v>
      </c>
      <c r="B42" s="70"/>
      <c r="C42" s="138">
        <v>0</v>
      </c>
      <c r="D42" s="46">
        <f t="shared" ref="D42:I42" si="28">SUM(D40:D41)+SUM(D35:D36)-D45</f>
        <v>1.0000001639127731E-2</v>
      </c>
      <c r="E42" s="46">
        <f t="shared" si="28"/>
        <v>1.0000001755543053E-2</v>
      </c>
      <c r="F42" s="66">
        <f t="shared" ref="F42:H42" si="29">SUM(F40:F41)+SUM(F35:F36)-F45</f>
        <v>1.0000001639127731E-2</v>
      </c>
      <c r="G42" s="147">
        <f t="shared" si="29"/>
        <v>1.0000001639127731E-2</v>
      </c>
      <c r="H42" s="46">
        <f t="shared" si="29"/>
        <v>1.0000001639127731E-2</v>
      </c>
      <c r="I42" s="78">
        <f t="shared" si="28"/>
        <v>1.0000001639127731E-2</v>
      </c>
      <c r="J42" s="194">
        <f t="shared" ref="J42:K42" si="30">SUM(J40:J41)+SUM(J35:J36)-J45</f>
        <v>1.0000001639127731E-2</v>
      </c>
      <c r="K42" s="46">
        <f t="shared" si="30"/>
        <v>1.0000001639127731E-2</v>
      </c>
      <c r="L42" s="119">
        <f t="shared" ref="L42" si="31">SUM(L40:L41)+SUM(L35:L36)-L45</f>
        <v>1.0000001639127731E-2</v>
      </c>
    </row>
    <row r="43" spans="1:13" ht="16.5" thickTop="1" thickBot="1" x14ac:dyDescent="0.3">
      <c r="A43" s="70" t="s">
        <v>26</v>
      </c>
      <c r="B43" s="70"/>
      <c r="C43" s="130">
        <v>0</v>
      </c>
      <c r="D43" s="46">
        <f t="shared" ref="D43:I43" si="32">SUM(D40:D41)-D28</f>
        <v>0</v>
      </c>
      <c r="E43" s="46">
        <f t="shared" si="32"/>
        <v>0</v>
      </c>
      <c r="F43" s="66">
        <f t="shared" ref="F43:H43" si="33">SUM(F40:F41)-F28</f>
        <v>0</v>
      </c>
      <c r="G43" s="67">
        <f t="shared" si="33"/>
        <v>0</v>
      </c>
      <c r="H43" s="46">
        <f t="shared" si="33"/>
        <v>0</v>
      </c>
      <c r="I43" s="78">
        <f t="shared" si="32"/>
        <v>0</v>
      </c>
      <c r="J43" s="194">
        <f t="shared" ref="J43:K43" si="34">SUM(J40:J41)-J28</f>
        <v>0</v>
      </c>
      <c r="K43" s="46">
        <f t="shared" si="34"/>
        <v>0</v>
      </c>
      <c r="L43" s="119">
        <f t="shared" ref="L43" si="35">SUM(L40:L41)-L28</f>
        <v>0</v>
      </c>
    </row>
    <row r="44" spans="1:13" ht="16.5" thickTop="1" thickBot="1" x14ac:dyDescent="0.3">
      <c r="C44" s="122"/>
      <c r="D44" s="17"/>
      <c r="E44" s="17"/>
      <c r="F44" s="17"/>
      <c r="G44" s="10"/>
      <c r="H44" s="17"/>
      <c r="I44" s="11"/>
      <c r="J44" s="17"/>
      <c r="K44" s="17"/>
      <c r="L44" s="11"/>
    </row>
    <row r="45" spans="1:13" ht="15.75" thickBot="1" x14ac:dyDescent="0.3">
      <c r="A45" t="s">
        <v>42</v>
      </c>
      <c r="B45" s="142">
        <v>-882117.31432676106</v>
      </c>
      <c r="C45" s="54">
        <f t="shared" ref="C45:I45" si="36">(SUM(C10:C14)-SUM(C25:C26))+SUM(C40:C41)+B45</f>
        <v>-70436.590000001015</v>
      </c>
      <c r="D45" s="55">
        <f t="shared" si="36"/>
        <v>-298476.79000000103</v>
      </c>
      <c r="E45" s="55">
        <f t="shared" si="36"/>
        <v>-562532.14000000106</v>
      </c>
      <c r="F45" s="131">
        <f t="shared" si="36"/>
        <v>-852150.21000000113</v>
      </c>
      <c r="G45" s="54">
        <f t="shared" si="36"/>
        <v>-963691.60000000114</v>
      </c>
      <c r="H45" s="55">
        <f t="shared" si="36"/>
        <v>-820010.32000000111</v>
      </c>
      <c r="I45" s="77">
        <f t="shared" si="36"/>
        <v>-657744.09000000113</v>
      </c>
      <c r="J45" s="146">
        <f t="shared" ref="J45" si="37">(SUM(J10:J14)-SUM(J25:J26))+SUM(J40:J41)+I45</f>
        <v>-525855.37669283093</v>
      </c>
      <c r="K45" s="55">
        <f t="shared" ref="K45:L45" si="38">(SUM(K10:K14)-SUM(K25:K26))+SUM(K40:K41)+J45</f>
        <v>-380492.09740231809</v>
      </c>
      <c r="L45" s="77">
        <f t="shared" si="38"/>
        <v>-231808.47506763911</v>
      </c>
    </row>
    <row r="46" spans="1:13" x14ac:dyDescent="0.25">
      <c r="C46" s="143"/>
      <c r="D46" s="72"/>
      <c r="E46" s="19"/>
      <c r="F46" s="72"/>
      <c r="G46" s="12"/>
      <c r="H46" s="72"/>
      <c r="I46" s="11"/>
      <c r="J46" s="17"/>
      <c r="K46" s="17"/>
      <c r="L46" s="11"/>
    </row>
    <row r="47" spans="1:13" ht="15.75" thickBot="1" x14ac:dyDescent="0.3">
      <c r="A47" s="62"/>
      <c r="B47" s="17"/>
      <c r="C47" s="57"/>
      <c r="D47" s="58"/>
      <c r="E47" s="58"/>
      <c r="F47" s="58"/>
      <c r="G47" s="57"/>
      <c r="H47" s="58"/>
      <c r="I47" s="59"/>
      <c r="J47" s="58"/>
      <c r="K47" s="58"/>
      <c r="L47" s="59"/>
    </row>
    <row r="49" spans="1:14" x14ac:dyDescent="0.25">
      <c r="A49" s="85" t="s">
        <v>13</v>
      </c>
      <c r="B49" s="85"/>
      <c r="C49" s="85"/>
      <c r="D49" s="60"/>
      <c r="E49" s="60"/>
      <c r="I49" s="60"/>
      <c r="M49" s="60"/>
      <c r="N49" s="60"/>
    </row>
    <row r="50" spans="1:14" x14ac:dyDescent="0.25">
      <c r="A50" s="232" t="s">
        <v>139</v>
      </c>
      <c r="B50" s="232"/>
      <c r="C50" s="232"/>
      <c r="D50" s="232"/>
      <c r="E50" s="232"/>
      <c r="F50" s="232"/>
      <c r="G50" s="232"/>
      <c r="H50" s="232"/>
      <c r="I50" s="232"/>
      <c r="J50" s="163"/>
      <c r="K50" s="163"/>
      <c r="L50" s="113"/>
      <c r="M50" s="60"/>
      <c r="N50" s="60"/>
    </row>
    <row r="51" spans="1:14" ht="27" customHeight="1" x14ac:dyDescent="0.25">
      <c r="A51" s="232" t="s">
        <v>133</v>
      </c>
      <c r="B51" s="232"/>
      <c r="C51" s="232"/>
      <c r="D51" s="232"/>
      <c r="E51" s="232"/>
      <c r="F51" s="232"/>
      <c r="G51" s="232"/>
      <c r="H51" s="232"/>
      <c r="I51" s="232"/>
      <c r="J51" s="163"/>
      <c r="K51" s="163"/>
      <c r="L51" s="113"/>
      <c r="M51" s="60"/>
      <c r="N51" s="60"/>
    </row>
    <row r="52" spans="1:14" ht="31.5" customHeight="1" x14ac:dyDescent="0.25">
      <c r="A52" s="232" t="s">
        <v>134</v>
      </c>
      <c r="B52" s="232"/>
      <c r="C52" s="232"/>
      <c r="D52" s="232"/>
      <c r="E52" s="232"/>
      <c r="F52" s="232"/>
      <c r="G52" s="232"/>
      <c r="H52" s="232"/>
      <c r="I52" s="232"/>
      <c r="J52" s="163"/>
      <c r="K52" s="163"/>
      <c r="L52" s="113"/>
      <c r="M52" s="60"/>
      <c r="N52" s="60"/>
    </row>
    <row r="53" spans="1:14" x14ac:dyDescent="0.25">
      <c r="A53" s="3" t="s">
        <v>37</v>
      </c>
      <c r="B53" s="3"/>
      <c r="C53" s="3"/>
      <c r="D53" s="60"/>
      <c r="E53" s="60"/>
      <c r="I53" s="4"/>
      <c r="M53" s="60"/>
      <c r="N53" s="60"/>
    </row>
    <row r="54" spans="1:14" s="62" customFormat="1" x14ac:dyDescent="0.25">
      <c r="A54" s="79" t="s">
        <v>135</v>
      </c>
      <c r="B54" s="3"/>
      <c r="C54" s="3"/>
      <c r="I54" s="4"/>
    </row>
    <row r="55" spans="1:14" x14ac:dyDescent="0.25">
      <c r="A55" s="3" t="s">
        <v>67</v>
      </c>
      <c r="B55" s="3"/>
      <c r="C55" s="3"/>
      <c r="D55" s="60"/>
      <c r="E55" s="60"/>
      <c r="I55" s="4"/>
      <c r="M55" s="60"/>
      <c r="N55" s="60"/>
    </row>
    <row r="56" spans="1:14" x14ac:dyDescent="0.25">
      <c r="C56" s="63"/>
      <c r="D56" s="60"/>
      <c r="E56" s="60"/>
      <c r="I56" s="60"/>
      <c r="M56" s="60"/>
      <c r="N56" s="60"/>
    </row>
    <row r="57" spans="1:14" x14ac:dyDescent="0.25">
      <c r="C57" s="63"/>
      <c r="D57" s="60"/>
      <c r="E57" s="60"/>
      <c r="I57" s="60"/>
      <c r="M57" s="60"/>
      <c r="N57" s="60"/>
    </row>
    <row r="58" spans="1:14" x14ac:dyDescent="0.25">
      <c r="C58" s="63"/>
      <c r="D58" s="60"/>
      <c r="E58" s="60"/>
      <c r="I58" s="60"/>
      <c r="M58" s="60"/>
      <c r="N58" s="60"/>
    </row>
    <row r="59" spans="1:14" x14ac:dyDescent="0.25">
      <c r="D59" s="60"/>
      <c r="E59" s="60"/>
      <c r="I59" s="60"/>
      <c r="M59" s="60"/>
      <c r="N59" s="60"/>
    </row>
    <row r="60" spans="1:14" x14ac:dyDescent="0.25">
      <c r="D60" s="60"/>
      <c r="E60" s="60"/>
      <c r="I60" s="60"/>
      <c r="M60" s="60"/>
      <c r="N60" s="60"/>
    </row>
    <row r="61" spans="1:14" x14ac:dyDescent="0.25">
      <c r="D61" s="60"/>
      <c r="E61" s="60"/>
      <c r="I61" s="60"/>
      <c r="M61" s="60"/>
      <c r="N61" s="60"/>
    </row>
    <row r="62" spans="1:14" x14ac:dyDescent="0.25">
      <c r="D62" s="60"/>
      <c r="E62" s="60"/>
      <c r="I62" s="60"/>
      <c r="M62" s="60"/>
      <c r="N62" s="60"/>
    </row>
    <row r="63" spans="1:14" x14ac:dyDescent="0.25">
      <c r="D63" s="60"/>
      <c r="E63" s="60"/>
      <c r="I63" s="60"/>
      <c r="M63" s="60"/>
      <c r="N63" s="60"/>
    </row>
    <row r="65" spans="13:13" x14ac:dyDescent="0.25">
      <c r="M65" s="8"/>
    </row>
  </sheetData>
  <mergeCells count="4">
    <mergeCell ref="A50:I50"/>
    <mergeCell ref="A51:I51"/>
    <mergeCell ref="A52:I52"/>
    <mergeCell ref="D8:F8"/>
  </mergeCells>
  <pageMargins left="0.2" right="0.2" top="0.75" bottom="0.25" header="0.3" footer="0.3"/>
  <pageSetup scale="56" orientation="landscape" r:id="rId1"/>
  <headerFooter>
    <oddHeader>&amp;C&amp;F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5"/>
  <sheetViews>
    <sheetView zoomScaleNormal="100" workbookViewId="0">
      <pane xSplit="2" ySplit="9" topLeftCell="G49" activePane="bottomRight" state="frozen"/>
      <selection activeCell="H1" sqref="H1"/>
      <selection pane="topRight" activeCell="H1" sqref="H1"/>
      <selection pane="bottomLeft" activeCell="H1" sqref="H1"/>
      <selection pane="bottomRight" activeCell="H1" sqref="H1"/>
    </sheetView>
  </sheetViews>
  <sheetFormatPr defaultRowHeight="15" x14ac:dyDescent="0.25"/>
  <cols>
    <col min="1" max="1" width="54.5703125" style="62" customWidth="1"/>
    <col min="2" max="2" width="14.7109375" style="62" customWidth="1"/>
    <col min="3" max="3" width="15" style="62" customWidth="1"/>
    <col min="4" max="4" width="15.28515625" style="62" customWidth="1"/>
    <col min="5" max="5" width="15.85546875" style="62" customWidth="1"/>
    <col min="6" max="6" width="17.5703125" style="62" customWidth="1"/>
    <col min="7" max="8" width="13.28515625" style="62" customWidth="1"/>
    <col min="9" max="9" width="15.7109375" style="62" customWidth="1"/>
    <col min="10" max="11" width="12.5703125" style="62" bestFit="1" customWidth="1"/>
    <col min="12" max="12" width="14.42578125" style="62" customWidth="1"/>
    <col min="13" max="13" width="15" style="62" bestFit="1" customWidth="1"/>
    <col min="14" max="14" width="16.28515625" style="62" bestFit="1" customWidth="1"/>
    <col min="15" max="15" width="16.140625" style="62" customWidth="1"/>
    <col min="16" max="16" width="17.28515625" style="62" bestFit="1" customWidth="1"/>
    <col min="17" max="17" width="17.42578125" style="62" customWidth="1"/>
    <col min="18" max="18" width="15.5703125" style="62" customWidth="1"/>
    <col min="19" max="19" width="13" style="62" customWidth="1"/>
    <col min="20" max="20" width="9.140625" style="62"/>
    <col min="21" max="21" width="14.28515625" style="62" bestFit="1" customWidth="1"/>
    <col min="22" max="16384" width="9.140625" style="62"/>
  </cols>
  <sheetData>
    <row r="1" spans="1:34" x14ac:dyDescent="0.25">
      <c r="A1" s="3" t="str">
        <f>+PPC!A1</f>
        <v>Kansas City Power &amp; Light Company - DSIM Rider Update Filed 11/30/2017</v>
      </c>
      <c r="B1" s="3"/>
      <c r="C1" s="3"/>
    </row>
    <row r="2" spans="1:34" x14ac:dyDescent="0.25">
      <c r="D2" s="3" t="s">
        <v>81</v>
      </c>
    </row>
    <row r="3" spans="1:34" ht="30" x14ac:dyDescent="0.25">
      <c r="D3" s="64" t="s">
        <v>62</v>
      </c>
      <c r="E3" s="64" t="s">
        <v>61</v>
      </c>
      <c r="F3" s="86" t="s">
        <v>2</v>
      </c>
      <c r="G3" s="64" t="s">
        <v>3</v>
      </c>
      <c r="H3" s="86" t="s">
        <v>71</v>
      </c>
      <c r="I3" s="64" t="s">
        <v>11</v>
      </c>
      <c r="J3" s="64" t="s">
        <v>4</v>
      </c>
    </row>
    <row r="4" spans="1:34" x14ac:dyDescent="0.25">
      <c r="A4" s="62" t="s">
        <v>29</v>
      </c>
      <c r="D4" s="24">
        <f>SUM(C25:L25)</f>
        <v>4609365.8583899997</v>
      </c>
      <c r="E4" s="161">
        <f>SUM(C21:L21)</f>
        <v>1364260147</v>
      </c>
      <c r="F4" s="24">
        <f>SUM(C17:K17)</f>
        <v>5609594.2050000001</v>
      </c>
      <c r="G4" s="24">
        <f>F4-D4</f>
        <v>1000228.3466100004</v>
      </c>
      <c r="H4" s="24">
        <f>+B35</f>
        <v>1390295.8719899999</v>
      </c>
      <c r="I4" s="24">
        <f>SUM(C40:K40)</f>
        <v>45119.25</v>
      </c>
      <c r="J4" s="36">
        <f>SUM(G4:I4)</f>
        <v>2435643.4686000003</v>
      </c>
      <c r="K4" s="63">
        <f>+J4-L35</f>
        <v>0</v>
      </c>
    </row>
    <row r="5" spans="1:34" ht="15.75" thickBot="1" x14ac:dyDescent="0.3">
      <c r="A5" s="62" t="s">
        <v>30</v>
      </c>
      <c r="D5" s="24">
        <f>SUM(C26:L26)</f>
        <v>9090287.9632868636</v>
      </c>
      <c r="E5" s="161">
        <f>SUM(C22:L22)</f>
        <v>2358720676.7128277</v>
      </c>
      <c r="F5" s="24">
        <f>SUM(C18:K18)</f>
        <v>5893637.7250000015</v>
      </c>
      <c r="G5" s="24">
        <f>F5-D5</f>
        <v>-3196650.2382868621</v>
      </c>
      <c r="H5" s="24">
        <f>+B36</f>
        <v>6680892.5345939519</v>
      </c>
      <c r="I5" s="24">
        <f>SUM(C41:K41)</f>
        <v>90913.38</v>
      </c>
      <c r="J5" s="36">
        <f>SUM(G5:I5)</f>
        <v>3575155.6763070896</v>
      </c>
      <c r="K5" s="63">
        <f>+J5-L36</f>
        <v>0</v>
      </c>
    </row>
    <row r="6" spans="1:34" ht="16.5" thickTop="1" thickBot="1" x14ac:dyDescent="0.3">
      <c r="D6" s="40">
        <f t="shared" ref="D6" si="0">SUM(D4:D5)</f>
        <v>13699653.821676863</v>
      </c>
      <c r="E6" s="162">
        <f t="shared" ref="E6:H6" si="1">SUM(E4:E5)</f>
        <v>3722980823.7128277</v>
      </c>
      <c r="F6" s="40">
        <f t="shared" si="1"/>
        <v>11503231.930000002</v>
      </c>
      <c r="G6" s="40">
        <f t="shared" si="1"/>
        <v>-2196421.8916768618</v>
      </c>
      <c r="H6" s="40">
        <f t="shared" si="1"/>
        <v>8071188.4065839518</v>
      </c>
      <c r="I6" s="94">
        <f>SUM(I4:I5)</f>
        <v>136032.63</v>
      </c>
      <c r="J6" s="40">
        <f>SUM(J4:J5)</f>
        <v>6010799.1449070899</v>
      </c>
    </row>
    <row r="7" spans="1:34" ht="16.5" thickTop="1" thickBot="1" x14ac:dyDescent="0.3"/>
    <row r="8" spans="1:34" ht="75.75" thickBot="1" x14ac:dyDescent="0.3">
      <c r="B8" s="141" t="str">
        <f>+'PCR Cycle 1'!B8</f>
        <v>Cumulative Over/Under Carryover From 06/01/2017 Filing</v>
      </c>
      <c r="C8" s="179" t="str">
        <f>+'PCR Cycle 1'!C8</f>
        <v>Reverse May-17 - July-17  Forecast From 06/01/2017 Filing</v>
      </c>
      <c r="D8" s="233" t="s">
        <v>39</v>
      </c>
      <c r="E8" s="233"/>
      <c r="F8" s="234"/>
      <c r="G8" s="227" t="s">
        <v>39</v>
      </c>
      <c r="H8" s="228"/>
      <c r="I8" s="229"/>
      <c r="J8" s="235" t="s">
        <v>9</v>
      </c>
      <c r="K8" s="236"/>
      <c r="L8" s="237"/>
    </row>
    <row r="9" spans="1:34" x14ac:dyDescent="0.25">
      <c r="A9" s="62" t="s">
        <v>38</v>
      </c>
      <c r="C9" s="14"/>
      <c r="D9" s="20">
        <f>+'PCR Cycle 1'!D9</f>
        <v>42883</v>
      </c>
      <c r="E9" s="20">
        <f>EDATE(D9,1)</f>
        <v>42914</v>
      </c>
      <c r="F9" s="20">
        <f t="shared" ref="F9:I9" si="2">EDATE(E9,1)</f>
        <v>42944</v>
      </c>
      <c r="G9" s="14">
        <f t="shared" si="2"/>
        <v>42975</v>
      </c>
      <c r="H9" s="20">
        <f t="shared" si="2"/>
        <v>43006</v>
      </c>
      <c r="I9" s="15">
        <f t="shared" si="2"/>
        <v>43036</v>
      </c>
      <c r="J9" s="20">
        <f t="shared" ref="J9:L9" si="3">EDATE(I9,1)</f>
        <v>43067</v>
      </c>
      <c r="K9" s="20">
        <f t="shared" si="3"/>
        <v>43097</v>
      </c>
      <c r="L9" s="118">
        <f t="shared" si="3"/>
        <v>43128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62" t="s">
        <v>29</v>
      </c>
      <c r="C10" s="120">
        <v>-973772.64999999991</v>
      </c>
      <c r="D10" s="132">
        <f>ROUND([5]Pivot!D27,2)</f>
        <v>573527.13</v>
      </c>
      <c r="E10" s="132">
        <f>ROUND([5]Pivot!E27,2)</f>
        <v>1325319.74</v>
      </c>
      <c r="F10" s="133">
        <f>ROUND([5]Pivot!F27,2)</f>
        <v>1176164.99</v>
      </c>
      <c r="G10" s="16">
        <f>ROUND([5]Pivot!G27,2)</f>
        <v>794440.46</v>
      </c>
      <c r="H10" s="71">
        <f>ROUND([5]Pivot!H27,2)</f>
        <v>610170.23</v>
      </c>
      <c r="I10" s="195">
        <f>ROUND([5]Pivot!I27,2)</f>
        <v>860728.25</v>
      </c>
      <c r="J10" s="208">
        <f>ROUND('[2]Program Costs - KCP&amp;L'!W153,2)</f>
        <v>468780.12</v>
      </c>
      <c r="K10" s="164">
        <f>ROUND('[2]Program Costs - KCP&amp;L'!X153,2)</f>
        <v>474568.54</v>
      </c>
      <c r="L10" s="95"/>
    </row>
    <row r="11" spans="1:34" x14ac:dyDescent="0.25">
      <c r="A11" s="62" t="s">
        <v>30</v>
      </c>
      <c r="C11" s="120">
        <v>-960555.28</v>
      </c>
      <c r="D11" s="132">
        <f>ROUND([5]Pivot!D28,2)</f>
        <v>827703.02</v>
      </c>
      <c r="E11" s="132">
        <f>ROUND([5]Pivot!E28,2)</f>
        <v>585745.81000000006</v>
      </c>
      <c r="F11" s="133">
        <f>ROUND([5]Pivot!F28,2)</f>
        <v>851931.52</v>
      </c>
      <c r="G11" s="16">
        <f>ROUND([5]Pivot!G28,2)</f>
        <v>928863.25</v>
      </c>
      <c r="H11" s="71">
        <f>ROUND([5]Pivot!H28,2)</f>
        <v>835716.74</v>
      </c>
      <c r="I11" s="195">
        <f>ROUND([5]Pivot!I28,2)</f>
        <v>1090401.3700000001</v>
      </c>
      <c r="J11" s="208">
        <f>ROUND('[2]Program Costs - KCP&amp;L'!W154,2)</f>
        <v>716130.79</v>
      </c>
      <c r="K11" s="164">
        <f>ROUND('[2]Program Costs - KCP&amp;L'!X154,2)</f>
        <v>718033.11</v>
      </c>
      <c r="L11" s="95"/>
      <c r="M11" s="79" t="s">
        <v>32</v>
      </c>
    </row>
    <row r="12" spans="1:34" x14ac:dyDescent="0.25">
      <c r="A12" s="62" t="s">
        <v>0</v>
      </c>
      <c r="C12" s="120">
        <v>-122075.15</v>
      </c>
      <c r="D12" s="132">
        <f>ROUND([5]Pivot!D29,2)</f>
        <v>41543.480000000003</v>
      </c>
      <c r="E12" s="132">
        <f>ROUND([5]Pivot!E29,2)</f>
        <v>123446.99</v>
      </c>
      <c r="F12" s="133">
        <f>ROUND([5]Pivot!F29,2)</f>
        <v>55967.68</v>
      </c>
      <c r="G12" s="16">
        <f>ROUND([5]Pivot!G29,2)</f>
        <v>22251.75</v>
      </c>
      <c r="H12" s="71">
        <f>ROUND([5]Pivot!H29,2)</f>
        <v>48576.47</v>
      </c>
      <c r="I12" s="195">
        <f>ROUND([5]Pivot!I29,2)</f>
        <v>14214.91</v>
      </c>
      <c r="J12" s="208">
        <f>ROUND('[2]Program Costs - KCP&amp;L'!W155,2)</f>
        <v>364042.23</v>
      </c>
      <c r="K12" s="164">
        <f>ROUND('[2]Program Costs - KCP&amp;L'!X155,2)</f>
        <v>51366.43</v>
      </c>
      <c r="L12" s="95"/>
      <c r="M12" s="89">
        <v>0.5</v>
      </c>
    </row>
    <row r="13" spans="1:34" x14ac:dyDescent="0.25">
      <c r="A13" s="62" t="s">
        <v>1</v>
      </c>
      <c r="C13" s="120">
        <v>0</v>
      </c>
      <c r="D13" s="132">
        <f>ROUND([5]Pivot!D30,2)</f>
        <v>0</v>
      </c>
      <c r="E13" s="132">
        <f>ROUND([5]Pivot!E30,2)</f>
        <v>0</v>
      </c>
      <c r="F13" s="133">
        <f>ROUND([5]Pivot!F30,2)</f>
        <v>0</v>
      </c>
      <c r="G13" s="16">
        <f>ROUND([5]Pivot!G30,2)</f>
        <v>0</v>
      </c>
      <c r="H13" s="71">
        <f>ROUND([5]Pivot!H30,2)</f>
        <v>0</v>
      </c>
      <c r="I13" s="195">
        <f>ROUND([5]Pivot!I30,2)</f>
        <v>0</v>
      </c>
      <c r="J13" s="208">
        <f>ROUND('[2]Program Costs - KCP&amp;L'!W156,2)</f>
        <v>0</v>
      </c>
      <c r="K13" s="164">
        <f>ROUND('[2]Program Costs - KCP&amp;L'!X156,2)</f>
        <v>0</v>
      </c>
      <c r="L13" s="95"/>
      <c r="M13" s="79"/>
    </row>
    <row r="14" spans="1:34" x14ac:dyDescent="0.25">
      <c r="C14" s="121"/>
      <c r="D14" s="44"/>
      <c r="E14" s="44"/>
      <c r="F14" s="44"/>
      <c r="G14" s="41"/>
      <c r="H14" s="44"/>
      <c r="I14" s="11"/>
      <c r="J14" s="44"/>
      <c r="K14" s="44"/>
      <c r="L14" s="42"/>
    </row>
    <row r="15" spans="1:34" x14ac:dyDescent="0.25">
      <c r="C15" s="121"/>
      <c r="D15" s="44"/>
      <c r="E15" s="44"/>
      <c r="F15" s="44"/>
      <c r="G15" s="41"/>
      <c r="H15" s="44"/>
      <c r="I15" s="11"/>
      <c r="J15" s="44"/>
      <c r="K15" s="44"/>
      <c r="L15" s="42"/>
    </row>
    <row r="16" spans="1:34" x14ac:dyDescent="0.25">
      <c r="A16" s="62" t="s">
        <v>41</v>
      </c>
      <c r="C16" s="122"/>
      <c r="D16" s="44"/>
      <c r="E16" s="44"/>
      <c r="F16" s="44"/>
      <c r="G16" s="41"/>
      <c r="H16" s="44"/>
      <c r="I16" s="196"/>
      <c r="J16" s="17"/>
      <c r="K16" s="17"/>
      <c r="L16" s="11"/>
    </row>
    <row r="17" spans="1:14" x14ac:dyDescent="0.25">
      <c r="A17" s="62" t="s">
        <v>29</v>
      </c>
      <c r="C17" s="54">
        <f t="shared" ref="C17:K17" si="4">C10+($M$12*C$12)+($M$12*C$13)</f>
        <v>-1034810.2249999999</v>
      </c>
      <c r="D17" s="55">
        <f t="shared" si="4"/>
        <v>594298.87</v>
      </c>
      <c r="E17" s="55">
        <f t="shared" si="4"/>
        <v>1387043.2350000001</v>
      </c>
      <c r="F17" s="131">
        <f t="shared" si="4"/>
        <v>1204148.83</v>
      </c>
      <c r="G17" s="54">
        <f t="shared" si="4"/>
        <v>805566.33499999996</v>
      </c>
      <c r="H17" s="55">
        <f t="shared" si="4"/>
        <v>634458.46499999997</v>
      </c>
      <c r="I17" s="77">
        <f t="shared" si="4"/>
        <v>867835.70499999996</v>
      </c>
      <c r="J17" s="146">
        <f t="shared" si="4"/>
        <v>650801.23499999999</v>
      </c>
      <c r="K17" s="55">
        <f t="shared" si="4"/>
        <v>500251.755</v>
      </c>
      <c r="L17" s="77">
        <f t="shared" ref="L17" si="5">L10+($M$12*L$12)+($M$12*L$13)+L$14*(1-$M$14)</f>
        <v>0</v>
      </c>
    </row>
    <row r="18" spans="1:14" x14ac:dyDescent="0.25">
      <c r="A18" s="62" t="s">
        <v>30</v>
      </c>
      <c r="C18" s="54">
        <f t="shared" ref="C18:K18" si="6">(C$11+$M$12*C$12)+C$13*$M$12</f>
        <v>-1021592.855</v>
      </c>
      <c r="D18" s="55">
        <f t="shared" si="6"/>
        <v>848474.76</v>
      </c>
      <c r="E18" s="55">
        <f t="shared" si="6"/>
        <v>647469.30500000005</v>
      </c>
      <c r="F18" s="131">
        <f t="shared" si="6"/>
        <v>879915.36</v>
      </c>
      <c r="G18" s="54">
        <f t="shared" si="6"/>
        <v>939989.125</v>
      </c>
      <c r="H18" s="55">
        <f t="shared" si="6"/>
        <v>860004.97499999998</v>
      </c>
      <c r="I18" s="77">
        <f t="shared" si="6"/>
        <v>1097508.8250000002</v>
      </c>
      <c r="J18" s="146">
        <f t="shared" si="6"/>
        <v>898151.90500000003</v>
      </c>
      <c r="K18" s="55">
        <f t="shared" si="6"/>
        <v>743716.32499999995</v>
      </c>
      <c r="L18" s="77">
        <f t="shared" ref="L18" si="7">(L$11+$M$12*L$12+L$14*$M$14)+L$13*$M$12</f>
        <v>0</v>
      </c>
    </row>
    <row r="19" spans="1:14" x14ac:dyDescent="0.25">
      <c r="C19" s="122"/>
      <c r="D19" s="44"/>
      <c r="E19" s="44"/>
      <c r="F19" s="44"/>
      <c r="G19" s="41"/>
      <c r="H19" s="44"/>
      <c r="I19" s="11"/>
      <c r="J19" s="17"/>
      <c r="K19" s="17"/>
      <c r="L19" s="11"/>
    </row>
    <row r="20" spans="1:14" x14ac:dyDescent="0.25">
      <c r="A20" s="53" t="s">
        <v>63</v>
      </c>
      <c r="B20" s="53"/>
      <c r="C20" s="124"/>
      <c r="D20" s="44"/>
      <c r="E20" s="44"/>
      <c r="F20" s="44"/>
      <c r="G20" s="41"/>
      <c r="H20" s="44"/>
      <c r="I20" s="11"/>
      <c r="J20" s="17"/>
      <c r="K20" s="17"/>
      <c r="L20" s="11"/>
    </row>
    <row r="21" spans="1:14" x14ac:dyDescent="0.25">
      <c r="A21" s="62" t="s">
        <v>29</v>
      </c>
      <c r="C21" s="125">
        <v>-609888387</v>
      </c>
      <c r="D21" s="134">
        <f>+'[3]KCPL-MO Revenue Analysis'!G200</f>
        <v>143859205</v>
      </c>
      <c r="E21" s="134">
        <f>+'[3]KCPL-MO Revenue Analysis'!H200</f>
        <v>200511157</v>
      </c>
      <c r="F21" s="134">
        <f>+'[3]KCPL-MO Revenue Analysis'!I200</f>
        <v>279429696</v>
      </c>
      <c r="G21" s="218">
        <f>+'[3]KCPL-MO Revenue Analysis'!J200</f>
        <v>274808330</v>
      </c>
      <c r="H21" s="221">
        <f>+'[3]KCPL-MO Revenue Analysis'!K200</f>
        <v>216874626</v>
      </c>
      <c r="I21" s="215">
        <f>+'[3]KCPL-MO Revenue Analysis'!L200</f>
        <v>191887500</v>
      </c>
      <c r="J21" s="209">
        <f>+'PCR Cycle 1'!J21</f>
        <v>166742902</v>
      </c>
      <c r="K21" s="165">
        <f>+'PCR Cycle 1'!K21</f>
        <v>236526712</v>
      </c>
      <c r="L21" s="96">
        <f>+'PCR Cycle 1'!L21</f>
        <v>263508406</v>
      </c>
    </row>
    <row r="22" spans="1:14" x14ac:dyDescent="0.25">
      <c r="A22" s="62" t="s">
        <v>30</v>
      </c>
      <c r="C22" s="125">
        <v>-1228129533.2104001</v>
      </c>
      <c r="D22" s="134">
        <f>+'[3]KCPL-MO Revenue Analysis'!G201</f>
        <v>346004150</v>
      </c>
      <c r="E22" s="134">
        <f>+'[3]KCPL-MO Revenue Analysis'!H201</f>
        <v>389947876</v>
      </c>
      <c r="F22" s="134">
        <f>+'[3]KCPL-MO Revenue Analysis'!I201</f>
        <v>434706890</v>
      </c>
      <c r="G22" s="218">
        <f>+'[3]KCPL-MO Revenue Analysis'!J201</f>
        <v>434980420</v>
      </c>
      <c r="H22" s="221">
        <f>+'[3]KCPL-MO Revenue Analysis'!K201</f>
        <v>404919595</v>
      </c>
      <c r="I22" s="215">
        <f>+'[3]KCPL-MO Revenue Analysis'!L201</f>
        <v>387124293</v>
      </c>
      <c r="J22" s="209">
        <f>+'PCR Cycle 1'!J22</f>
        <v>369762592.51991725</v>
      </c>
      <c r="K22" s="165">
        <f>+'PCR Cycle 1'!K22</f>
        <v>406394331.36253566</v>
      </c>
      <c r="L22" s="96">
        <f>+'PCR Cycle 1'!L22</f>
        <v>413010062.04077494</v>
      </c>
    </row>
    <row r="23" spans="1:14" x14ac:dyDescent="0.25">
      <c r="C23" s="122"/>
      <c r="D23" s="44"/>
      <c r="E23" s="44"/>
      <c r="F23" s="44"/>
      <c r="G23" s="41"/>
      <c r="H23" s="44"/>
      <c r="I23" s="11"/>
      <c r="J23" s="17"/>
      <c r="K23" s="17"/>
      <c r="L23" s="11"/>
    </row>
    <row r="24" spans="1:14" x14ac:dyDescent="0.25">
      <c r="A24" s="62" t="s">
        <v>40</v>
      </c>
      <c r="C24" s="122"/>
      <c r="D24" s="18"/>
      <c r="E24" s="18"/>
      <c r="F24" s="18"/>
      <c r="G24" s="114"/>
      <c r="H24" s="18"/>
      <c r="I24" s="11"/>
      <c r="J24" s="73"/>
      <c r="K24" s="73"/>
      <c r="L24" s="74"/>
      <c r="M24" s="79" t="s">
        <v>66</v>
      </c>
      <c r="N24" s="53"/>
    </row>
    <row r="25" spans="1:14" x14ac:dyDescent="0.25">
      <c r="A25" s="62" t="s">
        <v>29</v>
      </c>
      <c r="C25" s="120">
        <v>-1360051.1030100002</v>
      </c>
      <c r="D25" s="132">
        <f>ROUND('[3]KCPL-MO Revenue Analysis'!G175+'[3]KCPL-MO Revenue Analysis'!G180,2)</f>
        <v>320811.71000000002</v>
      </c>
      <c r="E25" s="132">
        <f>ROUND('[3]KCPL-MO Revenue Analysis'!H175+'[3]KCPL-MO Revenue Analysis'!H180,2)</f>
        <v>447198.84</v>
      </c>
      <c r="F25" s="134">
        <f>ROUND('[3]KCPL-MO Revenue Analysis'!I175+'[3]KCPL-MO Revenue Analysis'!I180,2)</f>
        <v>623144.29</v>
      </c>
      <c r="G25" s="219">
        <f>ROUND('[3]KCPL-MO Revenue Analysis'!J175+'[3]KCPL-MO Revenue Analysis'!J180,2)</f>
        <v>738705.77</v>
      </c>
      <c r="H25" s="71">
        <f>ROUND('[3]KCPL-MO Revenue Analysis'!K175+'[3]KCPL-MO Revenue Analysis'!K180,2)</f>
        <v>774130.65</v>
      </c>
      <c r="I25" s="211">
        <f>ROUND('[3]KCPL-MO Revenue Analysis'!L175+'[3]KCPL-MO Revenue Analysis'!L180,2)</f>
        <v>685028.17</v>
      </c>
      <c r="J25" s="146">
        <f t="shared" ref="J25:L26" si="8">J21*$M25</f>
        <v>595272.16014000005</v>
      </c>
      <c r="K25" s="55">
        <f t="shared" si="8"/>
        <v>844400.36184000003</v>
      </c>
      <c r="L25" s="77">
        <f t="shared" si="8"/>
        <v>940725.00942000002</v>
      </c>
      <c r="M25" s="88">
        <v>3.5700000000000003E-3</v>
      </c>
    </row>
    <row r="26" spans="1:14" x14ac:dyDescent="0.25">
      <c r="A26" s="62" t="str">
        <f>A22</f>
        <v>Non-Residential</v>
      </c>
      <c r="C26" s="120">
        <v>-2603634.6104060481</v>
      </c>
      <c r="D26" s="132">
        <f>ROUND('[3]KCPL-MO Revenue Analysis'!G176+'[3]KCPL-MO Revenue Analysis'!G181,2)</f>
        <v>733548.62</v>
      </c>
      <c r="E26" s="132">
        <f>ROUND('[3]KCPL-MO Revenue Analysis'!H176+'[3]KCPL-MO Revenue Analysis'!H181,2)</f>
        <v>825920.67</v>
      </c>
      <c r="F26" s="134">
        <f>ROUND('[3]KCPL-MO Revenue Analysis'!I176+'[3]KCPL-MO Revenue Analysis'!I181,2)</f>
        <v>921572.59</v>
      </c>
      <c r="G26" s="219">
        <f>ROUND('[3]KCPL-MO Revenue Analysis'!J176+'[3]KCPL-MO Revenue Analysis'!J181,2)</f>
        <v>1261564.6599999999</v>
      </c>
      <c r="H26" s="71">
        <f>ROUND('[3]KCPL-MO Revenue Analysis'!K176+'[3]KCPL-MO Revenue Analysis'!K181,2)</f>
        <v>1619218.43</v>
      </c>
      <c r="I26" s="211">
        <f>ROUND('[3]KCPL-MO Revenue Analysis'!L176+'[3]KCPL-MO Revenue Analysis'!L181,2)</f>
        <v>1575429.66</v>
      </c>
      <c r="J26" s="146">
        <f t="shared" si="8"/>
        <v>1479050.3700796689</v>
      </c>
      <c r="K26" s="55">
        <f t="shared" si="8"/>
        <v>1625577.3254501426</v>
      </c>
      <c r="L26" s="77">
        <f t="shared" si="8"/>
        <v>1652040.2481630999</v>
      </c>
      <c r="M26" s="88">
        <v>4.0000000000000001E-3</v>
      </c>
    </row>
    <row r="27" spans="1:14" x14ac:dyDescent="0.25">
      <c r="C27" s="83"/>
      <c r="D27" s="18"/>
      <c r="E27" s="18"/>
      <c r="F27" s="18"/>
      <c r="G27" s="114"/>
      <c r="H27" s="18"/>
      <c r="I27" s="11"/>
      <c r="J27" s="72"/>
      <c r="K27" s="72"/>
      <c r="L27" s="13"/>
      <c r="M27" s="4"/>
    </row>
    <row r="28" spans="1:14" ht="15.75" thickBot="1" x14ac:dyDescent="0.3">
      <c r="A28" s="62" t="s">
        <v>16</v>
      </c>
      <c r="C28" s="126">
        <v>-36544.61</v>
      </c>
      <c r="D28" s="135">
        <v>19104.59</v>
      </c>
      <c r="E28" s="135">
        <v>21627.79</v>
      </c>
      <c r="F28" s="136">
        <v>23545.759999999998</v>
      </c>
      <c r="G28" s="39">
        <v>23924.82</v>
      </c>
      <c r="H28" s="145">
        <v>22810.45</v>
      </c>
      <c r="I28" s="212">
        <v>21649.29</v>
      </c>
      <c r="J28" s="210">
        <v>20868.490000000002</v>
      </c>
      <c r="K28" s="166">
        <v>19154.099999999999</v>
      </c>
      <c r="L28" s="100"/>
    </row>
    <row r="29" spans="1:14" x14ac:dyDescent="0.25">
      <c r="C29" s="122"/>
      <c r="D29" s="44"/>
      <c r="E29" s="44"/>
      <c r="F29" s="44"/>
      <c r="G29" s="41"/>
      <c r="H29" s="44"/>
      <c r="I29" s="11"/>
      <c r="J29" s="17"/>
      <c r="K29" s="17"/>
      <c r="L29" s="11"/>
    </row>
    <row r="30" spans="1:14" x14ac:dyDescent="0.25">
      <c r="A30" s="62" t="s">
        <v>68</v>
      </c>
      <c r="C30" s="122"/>
      <c r="D30" s="44"/>
      <c r="E30" s="44"/>
      <c r="F30" s="44"/>
      <c r="G30" s="41"/>
      <c r="H30" s="44"/>
      <c r="I30" s="11"/>
      <c r="J30" s="17"/>
      <c r="K30" s="17"/>
      <c r="L30" s="11"/>
    </row>
    <row r="31" spans="1:14" x14ac:dyDescent="0.25">
      <c r="A31" s="62" t="s">
        <v>29</v>
      </c>
      <c r="C31" s="54">
        <f t="shared" ref="C31:L32" si="9">C17-C25</f>
        <v>325240.87801000034</v>
      </c>
      <c r="D31" s="55">
        <f t="shared" si="9"/>
        <v>273487.15999999997</v>
      </c>
      <c r="E31" s="55">
        <f t="shared" si="9"/>
        <v>939844.39500000002</v>
      </c>
      <c r="F31" s="131">
        <f t="shared" si="9"/>
        <v>581004.54</v>
      </c>
      <c r="G31" s="54">
        <f t="shared" si="9"/>
        <v>66860.564999999944</v>
      </c>
      <c r="H31" s="55">
        <f t="shared" si="9"/>
        <v>-139672.18500000006</v>
      </c>
      <c r="I31" s="77">
        <f t="shared" si="9"/>
        <v>182807.53499999992</v>
      </c>
      <c r="J31" s="146">
        <f t="shared" si="9"/>
        <v>55529.074859999935</v>
      </c>
      <c r="K31" s="55">
        <f t="shared" si="9"/>
        <v>-344148.60684000002</v>
      </c>
      <c r="L31" s="65">
        <f t="shared" si="9"/>
        <v>-940725.00942000002</v>
      </c>
    </row>
    <row r="32" spans="1:14" x14ac:dyDescent="0.25">
      <c r="A32" s="62" t="s">
        <v>30</v>
      </c>
      <c r="C32" s="54">
        <f t="shared" si="9"/>
        <v>1582041.7554060481</v>
      </c>
      <c r="D32" s="55">
        <f t="shared" si="9"/>
        <v>114926.14000000001</v>
      </c>
      <c r="E32" s="55">
        <f t="shared" si="9"/>
        <v>-178451.36499999999</v>
      </c>
      <c r="F32" s="131">
        <f t="shared" si="9"/>
        <v>-41657.229999999981</v>
      </c>
      <c r="G32" s="54">
        <f t="shared" si="9"/>
        <v>-321575.53499999992</v>
      </c>
      <c r="H32" s="55">
        <f t="shared" si="9"/>
        <v>-759213.45499999996</v>
      </c>
      <c r="I32" s="77">
        <f t="shared" si="9"/>
        <v>-477920.83499999973</v>
      </c>
      <c r="J32" s="146">
        <f t="shared" si="9"/>
        <v>-580898.46507966891</v>
      </c>
      <c r="K32" s="55">
        <f t="shared" si="9"/>
        <v>-881861.00045014266</v>
      </c>
      <c r="L32" s="65">
        <f t="shared" si="9"/>
        <v>-1652040.2481630999</v>
      </c>
    </row>
    <row r="33" spans="1:13" x14ac:dyDescent="0.25">
      <c r="C33" s="122"/>
      <c r="D33" s="44"/>
      <c r="E33" s="44"/>
      <c r="F33" s="44"/>
      <c r="G33" s="41"/>
      <c r="H33" s="44"/>
      <c r="I33" s="11"/>
      <c r="J33" s="17"/>
      <c r="K33" s="17"/>
      <c r="L33" s="11"/>
    </row>
    <row r="34" spans="1:13" ht="15.75" thickBot="1" x14ac:dyDescent="0.3">
      <c r="A34" s="62" t="s">
        <v>69</v>
      </c>
      <c r="C34" s="127"/>
      <c r="D34" s="44"/>
      <c r="E34" s="44"/>
      <c r="F34" s="44"/>
      <c r="G34" s="41"/>
      <c r="H34" s="44"/>
      <c r="I34" s="11"/>
      <c r="J34" s="17"/>
      <c r="K34" s="17"/>
      <c r="L34" s="11"/>
    </row>
    <row r="35" spans="1:13" x14ac:dyDescent="0.25">
      <c r="A35" s="62" t="s">
        <v>29</v>
      </c>
      <c r="B35" s="139">
        <v>1390295.8719899999</v>
      </c>
      <c r="C35" s="55">
        <f>B35+C31+B40</f>
        <v>1715536.7500000002</v>
      </c>
      <c r="D35" s="55">
        <f t="shared" ref="D35:L35" si="10">C35+D31+C40</f>
        <v>1982093.3</v>
      </c>
      <c r="E35" s="55">
        <f t="shared" si="10"/>
        <v>2925415.8150000004</v>
      </c>
      <c r="F35" s="131">
        <f t="shared" si="10"/>
        <v>3511369.6750000003</v>
      </c>
      <c r="G35" s="54">
        <f t="shared" si="10"/>
        <v>3584881.43</v>
      </c>
      <c r="H35" s="55">
        <f t="shared" si="10"/>
        <v>3452554.3250000002</v>
      </c>
      <c r="I35" s="77">
        <f t="shared" si="10"/>
        <v>3642656.1300000004</v>
      </c>
      <c r="J35" s="146">
        <f t="shared" si="10"/>
        <v>3705548.7248600004</v>
      </c>
      <c r="K35" s="55">
        <f t="shared" si="10"/>
        <v>3369026.0080200005</v>
      </c>
      <c r="L35" s="65">
        <f t="shared" si="10"/>
        <v>2435643.4686000007</v>
      </c>
    </row>
    <row r="36" spans="1:13" ht="15.75" thickBot="1" x14ac:dyDescent="0.3">
      <c r="A36" s="62" t="s">
        <v>30</v>
      </c>
      <c r="B36" s="140">
        <v>6680892.5345939519</v>
      </c>
      <c r="C36" s="55">
        <f>B36+C32+B41</f>
        <v>8262934.29</v>
      </c>
      <c r="D36" s="55">
        <f t="shared" ref="D36:L36" si="11">C36+D32+C41</f>
        <v>8348246.4299999997</v>
      </c>
      <c r="E36" s="55">
        <f t="shared" si="11"/>
        <v>8185421.5349999992</v>
      </c>
      <c r="F36" s="131">
        <f t="shared" si="11"/>
        <v>8160442.7649999997</v>
      </c>
      <c r="G36" s="54">
        <f t="shared" si="11"/>
        <v>7855761.7999999998</v>
      </c>
      <c r="H36" s="55">
        <f t="shared" si="11"/>
        <v>7113128.0949999997</v>
      </c>
      <c r="I36" s="77">
        <f t="shared" si="11"/>
        <v>6650723.4399999995</v>
      </c>
      <c r="J36" s="146">
        <f t="shared" si="11"/>
        <v>6084110.7349203303</v>
      </c>
      <c r="K36" s="55">
        <f t="shared" si="11"/>
        <v>5215467.3844701881</v>
      </c>
      <c r="L36" s="65">
        <f t="shared" si="11"/>
        <v>3575155.6763070882</v>
      </c>
    </row>
    <row r="37" spans="1:13" x14ac:dyDescent="0.25">
      <c r="C37" s="122"/>
      <c r="D37" s="44"/>
      <c r="E37" s="44"/>
      <c r="F37" s="44"/>
      <c r="G37" s="41"/>
      <c r="H37" s="44"/>
      <c r="I37" s="11"/>
      <c r="J37" s="17"/>
      <c r="K37" s="17"/>
      <c r="L37" s="11"/>
    </row>
    <row r="38" spans="1:13" x14ac:dyDescent="0.25">
      <c r="A38" s="53" t="s">
        <v>65</v>
      </c>
      <c r="B38" s="53"/>
      <c r="C38" s="127"/>
      <c r="D38" s="102">
        <f>+'PCR Cycle 1'!D38</f>
        <v>1.8848000000000001E-3</v>
      </c>
      <c r="E38" s="102">
        <f>+'PCR Cycle 1'!E38</f>
        <v>2.0156100000000001E-3</v>
      </c>
      <c r="F38" s="102">
        <f>+'PCR Cycle 1'!F38</f>
        <v>2.0650299999999998E-3</v>
      </c>
      <c r="G38" s="103">
        <f>+'PCR Cycle 1'!G38</f>
        <v>2.0681900000000001E-3</v>
      </c>
      <c r="H38" s="102">
        <f>+'PCR Cycle 1'!H38</f>
        <v>2.0708300000000001E-3</v>
      </c>
      <c r="I38" s="115">
        <f>+'PCR Cycle 1'!I38</f>
        <v>2.0734999999999998E-3</v>
      </c>
      <c r="J38" s="102">
        <f>+'PCR Cycle 1'!J38</f>
        <v>2.0734999999999998E-3</v>
      </c>
      <c r="K38" s="102">
        <f>+'PCR Cycle 1'!K38</f>
        <v>2.0734999999999998E-3</v>
      </c>
      <c r="L38" s="115"/>
    </row>
    <row r="39" spans="1:13" x14ac:dyDescent="0.25">
      <c r="A39" s="53" t="s">
        <v>44</v>
      </c>
      <c r="B39" s="53"/>
      <c r="C39" s="122"/>
      <c r="D39" s="44"/>
      <c r="E39" s="44"/>
      <c r="F39" s="44"/>
      <c r="G39" s="41"/>
      <c r="H39" s="44"/>
      <c r="I39" s="11"/>
      <c r="J39" s="17"/>
      <c r="K39" s="17"/>
      <c r="L39" s="11"/>
      <c r="M39" s="87"/>
    </row>
    <row r="40" spans="1:13" x14ac:dyDescent="0.25">
      <c r="A40" s="62" t="s">
        <v>29</v>
      </c>
      <c r="C40" s="54">
        <v>-6930.6100000000006</v>
      </c>
      <c r="D40" s="55">
        <f t="shared" ref="D40" si="12">ROUND((C35+C40+D31/2)*D$38,2)</f>
        <v>3478.12</v>
      </c>
      <c r="E40" s="55">
        <f t="shared" ref="E40:E41" si="13">ROUND((D35+D40+E31/2)*E$38,2)</f>
        <v>4949.32</v>
      </c>
      <c r="F40" s="131">
        <f t="shared" ref="F40:F41" si="14">ROUND((E35+E40+F31/2)*F$38,2)</f>
        <v>6651.19</v>
      </c>
      <c r="G40" s="54">
        <f t="shared" ref="G40:G41" si="15">ROUND((F35+F40+G31/2)*G$38,2)</f>
        <v>7345.08</v>
      </c>
      <c r="H40" s="146">
        <f t="shared" ref="H40:I41" si="16">ROUND((G35+G40+H31/2)*H$38,2)</f>
        <v>7294.27</v>
      </c>
      <c r="I40" s="77">
        <f t="shared" si="16"/>
        <v>7363.52</v>
      </c>
      <c r="J40" s="146">
        <f t="shared" ref="J40:J41" si="17">ROUND((I35+I40+J31/2)*J$38,2)</f>
        <v>7625.89</v>
      </c>
      <c r="K40" s="146">
        <f t="shared" ref="K40:K41" si="18">ROUND((J35+J40+K31/2)*K$38,2)</f>
        <v>7342.47</v>
      </c>
      <c r="L40" s="65"/>
    </row>
    <row r="41" spans="1:13" ht="15.75" thickBot="1" x14ac:dyDescent="0.3">
      <c r="A41" s="62" t="s">
        <v>30</v>
      </c>
      <c r="C41" s="137">
        <v>-29614</v>
      </c>
      <c r="D41" s="55">
        <f>ROUND((C36+C41+D32/2)*D$38,2)</f>
        <v>15626.47</v>
      </c>
      <c r="E41" s="55">
        <f t="shared" si="13"/>
        <v>16678.46</v>
      </c>
      <c r="F41" s="131">
        <f t="shared" si="14"/>
        <v>16894.57</v>
      </c>
      <c r="G41" s="54">
        <f t="shared" si="15"/>
        <v>16579.75</v>
      </c>
      <c r="H41" s="146">
        <f t="shared" si="16"/>
        <v>15516.18</v>
      </c>
      <c r="I41" s="77">
        <f t="shared" si="16"/>
        <v>14285.76</v>
      </c>
      <c r="J41" s="146">
        <f t="shared" si="17"/>
        <v>13217.65</v>
      </c>
      <c r="K41" s="146">
        <f t="shared" si="18"/>
        <v>11728.54</v>
      </c>
      <c r="L41" s="65"/>
    </row>
    <row r="42" spans="1:13" ht="16.5" thickTop="1" thickBot="1" x14ac:dyDescent="0.3">
      <c r="A42" s="70" t="s">
        <v>25</v>
      </c>
      <c r="B42" s="70"/>
      <c r="C42" s="138">
        <v>0</v>
      </c>
      <c r="D42" s="46">
        <f t="shared" ref="D42:L42" si="19">SUM(D40:D41)+SUM(D35:D36)-D45</f>
        <v>-1.0000001639127731E-2</v>
      </c>
      <c r="E42" s="46">
        <f t="shared" si="19"/>
        <v>-1.0000003501772881E-2</v>
      </c>
      <c r="F42" s="66">
        <f t="shared" si="19"/>
        <v>-1.0000003501772881E-2</v>
      </c>
      <c r="G42" s="147">
        <f t="shared" si="19"/>
        <v>-1.0000001639127731E-2</v>
      </c>
      <c r="H42" s="46">
        <f t="shared" si="19"/>
        <v>-1.0000003501772881E-2</v>
      </c>
      <c r="I42" s="78">
        <f t="shared" si="19"/>
        <v>-1.0000003501772881E-2</v>
      </c>
      <c r="J42" s="194">
        <f t="shared" si="19"/>
        <v>-1.0000003501772881E-2</v>
      </c>
      <c r="K42" s="46">
        <f t="shared" si="19"/>
        <v>-1.0000001639127731E-2</v>
      </c>
      <c r="L42" s="119">
        <f t="shared" si="19"/>
        <v>-1.0000001639127731E-2</v>
      </c>
    </row>
    <row r="43" spans="1:13" ht="16.5" thickTop="1" thickBot="1" x14ac:dyDescent="0.3">
      <c r="A43" s="70" t="s">
        <v>26</v>
      </c>
      <c r="B43" s="70"/>
      <c r="C43" s="130">
        <v>0</v>
      </c>
      <c r="D43" s="46">
        <f t="shared" ref="D43:I43" si="20">SUM(D40:D41)-D28</f>
        <v>0</v>
      </c>
      <c r="E43" s="46">
        <f t="shared" si="20"/>
        <v>-1.0000000002037268E-2</v>
      </c>
      <c r="F43" s="66">
        <f t="shared" ref="F43:H43" si="21">SUM(F40:F41)-F28</f>
        <v>0</v>
      </c>
      <c r="G43" s="67">
        <f t="shared" si="21"/>
        <v>1.0000000002037268E-2</v>
      </c>
      <c r="H43" s="46">
        <f t="shared" si="21"/>
        <v>0</v>
      </c>
      <c r="I43" s="78">
        <f t="shared" si="20"/>
        <v>-1.0000000002037268E-2</v>
      </c>
      <c r="J43" s="194">
        <f t="shared" ref="J43:L43" si="22">SUM(J40:J41)-J28</f>
        <v>-24.950000000000728</v>
      </c>
      <c r="K43" s="46">
        <f t="shared" si="22"/>
        <v>-83.089999999996508</v>
      </c>
      <c r="L43" s="119">
        <f t="shared" si="22"/>
        <v>0</v>
      </c>
    </row>
    <row r="44" spans="1:13" ht="16.5" thickTop="1" thickBot="1" x14ac:dyDescent="0.3">
      <c r="C44" s="122"/>
      <c r="D44" s="17"/>
      <c r="E44" s="17"/>
      <c r="F44" s="17"/>
      <c r="G44" s="10"/>
      <c r="H44" s="17"/>
      <c r="I44" s="11"/>
      <c r="J44" s="17"/>
      <c r="K44" s="17"/>
      <c r="L44" s="11"/>
    </row>
    <row r="45" spans="1:13" ht="15.75" thickBot="1" x14ac:dyDescent="0.3">
      <c r="A45" s="62" t="s">
        <v>42</v>
      </c>
      <c r="B45" s="142">
        <v>8071188.4165839534</v>
      </c>
      <c r="C45" s="54">
        <f t="shared" ref="C45:I45" si="23">(SUM(C10:C14)-SUM(C25:C26))+SUM(C40:C41)+B45</f>
        <v>9941926.4400000013</v>
      </c>
      <c r="D45" s="55">
        <f t="shared" si="23"/>
        <v>10349444.330000002</v>
      </c>
      <c r="E45" s="55">
        <f t="shared" si="23"/>
        <v>11132465.140000002</v>
      </c>
      <c r="F45" s="131">
        <f t="shared" si="23"/>
        <v>11695358.210000003</v>
      </c>
      <c r="G45" s="54">
        <f t="shared" si="23"/>
        <v>11464568.070000002</v>
      </c>
      <c r="H45" s="55">
        <f t="shared" si="23"/>
        <v>10588492.880000003</v>
      </c>
      <c r="I45" s="77">
        <f t="shared" si="23"/>
        <v>10315028.860000003</v>
      </c>
      <c r="J45" s="146">
        <f t="shared" ref="J45" si="24">(SUM(J10:J14)-SUM(J25:J26))+SUM(J40:J41)+I45</f>
        <v>9810503.0097803343</v>
      </c>
      <c r="K45" s="55">
        <f t="shared" ref="K45:L45" si="25">(SUM(K10:K14)-SUM(K25:K26))+SUM(K40:K41)+J45</f>
        <v>8603564.4124901909</v>
      </c>
      <c r="L45" s="77">
        <f t="shared" si="25"/>
        <v>6010799.1549070906</v>
      </c>
    </row>
    <row r="46" spans="1:13" x14ac:dyDescent="0.25">
      <c r="A46" s="62" t="s">
        <v>14</v>
      </c>
      <c r="C46" s="143"/>
      <c r="D46" s="72"/>
      <c r="E46" s="72"/>
      <c r="F46" s="72"/>
      <c r="G46" s="12"/>
      <c r="H46" s="72"/>
      <c r="I46" s="11"/>
      <c r="J46" s="17"/>
      <c r="K46" s="17"/>
      <c r="L46" s="11"/>
    </row>
    <row r="47" spans="1:13" ht="15.75" thickBot="1" x14ac:dyDescent="0.3">
      <c r="B47" s="17"/>
      <c r="C47" s="57"/>
      <c r="D47" s="58"/>
      <c r="E47" s="58"/>
      <c r="F47" s="58"/>
      <c r="G47" s="57"/>
      <c r="H47" s="58"/>
      <c r="I47" s="59"/>
      <c r="J47" s="58"/>
      <c r="K47" s="58"/>
      <c r="L47" s="59"/>
    </row>
    <row r="49" spans="1:12" x14ac:dyDescent="0.25">
      <c r="A49" s="85" t="s">
        <v>13</v>
      </c>
      <c r="B49" s="85"/>
      <c r="C49" s="85"/>
    </row>
    <row r="50" spans="1:12" ht="42.75" customHeight="1" x14ac:dyDescent="0.25">
      <c r="A50" s="238" t="s">
        <v>144</v>
      </c>
      <c r="B50" s="238"/>
      <c r="C50" s="238"/>
      <c r="D50" s="238"/>
      <c r="E50" s="238"/>
      <c r="F50" s="238"/>
      <c r="G50" s="238"/>
      <c r="H50" s="238"/>
      <c r="I50" s="238"/>
      <c r="J50" s="170"/>
      <c r="K50" s="170"/>
      <c r="L50" s="170"/>
    </row>
    <row r="51" spans="1:12" ht="33.75" customHeight="1" x14ac:dyDescent="0.25">
      <c r="A51" s="232" t="s">
        <v>136</v>
      </c>
      <c r="B51" s="232"/>
      <c r="C51" s="232"/>
      <c r="D51" s="232"/>
      <c r="E51" s="232"/>
      <c r="F51" s="232"/>
      <c r="G51" s="232"/>
      <c r="H51" s="232"/>
      <c r="I51" s="232"/>
      <c r="J51" s="170"/>
      <c r="K51" s="170"/>
      <c r="L51" s="170"/>
    </row>
    <row r="52" spans="1:12" ht="33.75" customHeight="1" x14ac:dyDescent="0.25">
      <c r="A52" s="232" t="s">
        <v>134</v>
      </c>
      <c r="B52" s="232"/>
      <c r="C52" s="232"/>
      <c r="D52" s="232"/>
      <c r="E52" s="232"/>
      <c r="F52" s="232"/>
      <c r="G52" s="232"/>
      <c r="H52" s="232"/>
      <c r="I52" s="232"/>
      <c r="J52" s="170"/>
      <c r="K52" s="170"/>
      <c r="L52" s="170"/>
    </row>
    <row r="53" spans="1:12" x14ac:dyDescent="0.25">
      <c r="A53" s="3" t="s">
        <v>37</v>
      </c>
      <c r="B53" s="3"/>
      <c r="C53" s="3"/>
      <c r="I53" s="4"/>
    </row>
    <row r="54" spans="1:12" x14ac:dyDescent="0.25">
      <c r="A54" s="79" t="s">
        <v>135</v>
      </c>
      <c r="B54" s="3"/>
      <c r="C54" s="3"/>
      <c r="I54" s="4"/>
    </row>
    <row r="55" spans="1:12" x14ac:dyDescent="0.25">
      <c r="A55" s="3" t="s">
        <v>67</v>
      </c>
      <c r="B55" s="3"/>
      <c r="C55" s="3"/>
      <c r="I55" s="4"/>
    </row>
    <row r="65" spans="13:13" x14ac:dyDescent="0.25">
      <c r="M65" s="8"/>
    </row>
  </sheetData>
  <mergeCells count="6">
    <mergeCell ref="J8:L8"/>
    <mergeCell ref="A52:I52"/>
    <mergeCell ref="D8:F8"/>
    <mergeCell ref="A50:I50"/>
    <mergeCell ref="A51:I51"/>
    <mergeCell ref="G8:I8"/>
  </mergeCells>
  <pageMargins left="0.2" right="0.2" top="0.75" bottom="0.25" header="0.3" footer="0.3"/>
  <pageSetup scale="54" orientation="landscape" r:id="rId1"/>
  <headerFooter>
    <oddHeader>&amp;C&amp;F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zoomScaleNormal="100" workbookViewId="0">
      <selection activeCell="H1" sqref="H1"/>
    </sheetView>
  </sheetViews>
  <sheetFormatPr defaultRowHeight="15" x14ac:dyDescent="0.25"/>
  <cols>
    <col min="1" max="1" width="17.5703125" customWidth="1"/>
    <col min="2" max="2" width="16.140625" customWidth="1"/>
    <col min="3" max="3" width="15.140625" customWidth="1"/>
  </cols>
  <sheetData>
    <row r="1" spans="1:23" s="62" customFormat="1" x14ac:dyDescent="0.25">
      <c r="A1" s="3" t="str">
        <f>+PPC!A1</f>
        <v>Kansas City Power &amp; Light Company - DSIM Rider Update Filed 11/30/2017</v>
      </c>
    </row>
    <row r="2" spans="1:23" x14ac:dyDescent="0.25">
      <c r="A2" s="9" t="str">
        <f>+PPC!A2</f>
        <v>Projections for Cycle 2 January - July 2018 DSIM</v>
      </c>
    </row>
    <row r="3" spans="1:23" s="62" customFormat="1" x14ac:dyDescent="0.25">
      <c r="A3" s="9"/>
    </row>
    <row r="4" spans="1:23" ht="40.5" customHeight="1" x14ac:dyDescent="0.25">
      <c r="B4" s="226" t="s">
        <v>87</v>
      </c>
      <c r="C4" s="226"/>
    </row>
    <row r="5" spans="1:23" ht="45" x14ac:dyDescent="0.25">
      <c r="B5" s="178" t="s">
        <v>88</v>
      </c>
      <c r="C5" s="6" t="s">
        <v>34</v>
      </c>
    </row>
    <row r="6" spans="1:23" x14ac:dyDescent="0.25">
      <c r="A6" s="22" t="s">
        <v>29</v>
      </c>
      <c r="B6" s="34">
        <f>+'[2]KCPL Monthly TD Calc'!AC343</f>
        <v>22737158.390450407</v>
      </c>
      <c r="C6" s="105">
        <f>ROUND('[2]KCPL Monthly TD Calc'!AC321,2)</f>
        <v>1597499.99</v>
      </c>
    </row>
    <row r="7" spans="1:23" x14ac:dyDescent="0.25">
      <c r="A7" s="43" t="s">
        <v>30</v>
      </c>
      <c r="B7" s="34">
        <f>+'[2]KCPL Monthly TD Calc'!AC344</f>
        <v>49880726.33835005</v>
      </c>
      <c r="C7" s="105">
        <f>ROUND('[2]KCPL Monthly TD Calc'!AC322,2)</f>
        <v>2317937.29</v>
      </c>
    </row>
    <row r="8" spans="1:23" x14ac:dyDescent="0.25">
      <c r="A8" s="22" t="s">
        <v>6</v>
      </c>
      <c r="B8" s="35">
        <f>SUM(B6:B7)</f>
        <v>72617884.728800461</v>
      </c>
      <c r="C8" s="24">
        <f>SUM(C6:C7)</f>
        <v>3915437.2800000003</v>
      </c>
    </row>
    <row r="9" spans="1:23" x14ac:dyDescent="0.25">
      <c r="B9" s="33"/>
      <c r="C9" s="62"/>
    </row>
    <row r="10" spans="1:23" x14ac:dyDescent="0.25">
      <c r="A10" s="62"/>
      <c r="B10" s="62"/>
      <c r="C10" s="62"/>
    </row>
    <row r="11" spans="1:23" x14ac:dyDescent="0.25">
      <c r="A11" s="85" t="s">
        <v>35</v>
      </c>
      <c r="B11" s="22"/>
      <c r="C11" s="23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s="53" customFormat="1" x14ac:dyDescent="0.25">
      <c r="A12" s="231" t="s">
        <v>145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</row>
    <row r="13" spans="1:23" s="53" customFormat="1" x14ac:dyDescent="0.25">
      <c r="A13" s="231" t="s">
        <v>146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</row>
    <row r="33" spans="2:3" x14ac:dyDescent="0.25">
      <c r="B33" s="8"/>
      <c r="C33" s="8"/>
    </row>
    <row r="37" spans="2:3" x14ac:dyDescent="0.25">
      <c r="B37" s="8"/>
      <c r="C37" s="8"/>
    </row>
  </sheetData>
  <mergeCells count="3">
    <mergeCell ref="B4:C4"/>
    <mergeCell ref="A12:M12"/>
    <mergeCell ref="A13:M13"/>
  </mergeCells>
  <pageMargins left="0.2" right="0.2" top="0.75" bottom="0.25" header="0.3" footer="0.3"/>
  <pageSetup scale="96" orientation="landscape" r:id="rId1"/>
  <headerFooter>
    <oddHeader>&amp;C&amp;F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zoomScaleNormal="100" workbookViewId="0">
      <pane xSplit="3" ySplit="11" topLeftCell="D31" activePane="bottomRight" state="frozen"/>
      <selection activeCell="H1" sqref="H1"/>
      <selection pane="topRight" activeCell="H1" sqref="H1"/>
      <selection pane="bottomLeft" activeCell="H1" sqref="H1"/>
      <selection pane="bottomRight" activeCell="H1" sqref="H1"/>
    </sheetView>
  </sheetViews>
  <sheetFormatPr defaultRowHeight="15" x14ac:dyDescent="0.25"/>
  <cols>
    <col min="1" max="1" width="37.7109375" customWidth="1"/>
    <col min="2" max="2" width="12.28515625" style="62" bestFit="1" customWidth="1"/>
    <col min="3" max="3" width="12.42578125" style="62" bestFit="1" customWidth="1"/>
    <col min="4" max="4" width="15.42578125" customWidth="1"/>
    <col min="5" max="5" width="15.85546875" bestFit="1" customWidth="1"/>
    <col min="6" max="6" width="12.28515625" style="62" bestFit="1" customWidth="1"/>
    <col min="7" max="8" width="13.28515625" style="62" bestFit="1" customWidth="1"/>
    <col min="9" max="9" width="12.28515625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bestFit="1" customWidth="1"/>
    <col min="14" max="14" width="16" bestFit="1" customWidth="1"/>
    <col min="15" max="15" width="17.85546875" customWidth="1"/>
    <col min="16" max="16" width="15.28515625" bestFit="1" customWidth="1"/>
    <col min="17" max="17" width="17.42578125" bestFit="1" customWidth="1"/>
    <col min="18" max="18" width="16.28515625" bestFit="1" customWidth="1"/>
    <col min="19" max="19" width="15.28515625" bestFit="1" customWidth="1"/>
    <col min="20" max="20" width="12.42578125" customWidth="1"/>
    <col min="21" max="22" width="14.28515625" bestFit="1" customWidth="1"/>
  </cols>
  <sheetData>
    <row r="1" spans="1:35" x14ac:dyDescent="0.25">
      <c r="A1" s="3" t="str">
        <f>+PPC!A1</f>
        <v>Kansas City Power &amp; Light Company - DSIM Rider Update Filed 11/30/2017</v>
      </c>
      <c r="B1" s="3"/>
      <c r="C1" s="3"/>
    </row>
    <row r="2" spans="1:35" x14ac:dyDescent="0.25">
      <c r="D2" s="3" t="s">
        <v>86</v>
      </c>
    </row>
    <row r="3" spans="1:35" ht="30" x14ac:dyDescent="0.25">
      <c r="D3" s="6" t="s">
        <v>62</v>
      </c>
      <c r="E3" s="86" t="s">
        <v>45</v>
      </c>
      <c r="F3" s="86" t="s">
        <v>46</v>
      </c>
      <c r="G3" s="6" t="s">
        <v>3</v>
      </c>
      <c r="H3" s="86" t="s">
        <v>71</v>
      </c>
      <c r="I3" s="6" t="s">
        <v>11</v>
      </c>
      <c r="J3" s="6" t="s">
        <v>10</v>
      </c>
      <c r="S3" s="6"/>
    </row>
    <row r="4" spans="1:35" x14ac:dyDescent="0.25">
      <c r="A4" s="22" t="s">
        <v>29</v>
      </c>
      <c r="B4" s="22"/>
      <c r="C4" s="22"/>
      <c r="D4" s="24">
        <f>SUM(C15:L15)</f>
        <v>-81221.941139999995</v>
      </c>
      <c r="E4" s="161">
        <f>M19</f>
        <v>0</v>
      </c>
      <c r="F4" s="24">
        <f>SUM(C23:K23)</f>
        <v>0</v>
      </c>
      <c r="G4" s="24">
        <f>F4-D4</f>
        <v>81221.941139999995</v>
      </c>
      <c r="H4" s="24">
        <f>+B33</f>
        <v>-58734.068343419756</v>
      </c>
      <c r="I4" s="24">
        <f>SUM(C38:K38)</f>
        <v>-308.74999999999989</v>
      </c>
      <c r="J4" s="36">
        <f>SUM(G4:I4)</f>
        <v>22179.122796580239</v>
      </c>
      <c r="K4" s="63">
        <f>+J4-L33</f>
        <v>0</v>
      </c>
      <c r="M4" s="63"/>
    </row>
    <row r="5" spans="1:35" ht="15.75" thickBot="1" x14ac:dyDescent="0.3">
      <c r="A5" s="22" t="s">
        <v>30</v>
      </c>
      <c r="B5" s="22"/>
      <c r="C5" s="22"/>
      <c r="D5" s="24">
        <f>SUM(C16:L16)</f>
        <v>-207419.42827390728</v>
      </c>
      <c r="E5" s="161">
        <f>M20</f>
        <v>0</v>
      </c>
      <c r="F5" s="24">
        <f>SUM(C24:K24)</f>
        <v>0</v>
      </c>
      <c r="G5" s="24">
        <f>F5-D5</f>
        <v>207419.42827390728</v>
      </c>
      <c r="H5" s="24">
        <f>+B34</f>
        <v>-286974.1431891328</v>
      </c>
      <c r="I5" s="24">
        <f>SUM(C39:K39)</f>
        <v>-2926.1799999999994</v>
      </c>
      <c r="J5" s="36">
        <f>SUM(G5:I5)</f>
        <v>-82480.894915225508</v>
      </c>
      <c r="K5" s="63">
        <f>+J5-L34</f>
        <v>0</v>
      </c>
      <c r="M5" s="63"/>
    </row>
    <row r="6" spans="1:35" ht="16.5" thickTop="1" thickBot="1" x14ac:dyDescent="0.3">
      <c r="D6" s="40">
        <f t="shared" ref="D6" si="0">SUM(D4:D5)</f>
        <v>-288641.36941390729</v>
      </c>
      <c r="E6" s="162">
        <f t="shared" ref="E6:H6" si="1">SUM(E4:E5)</f>
        <v>0</v>
      </c>
      <c r="F6" s="40">
        <f t="shared" si="1"/>
        <v>0</v>
      </c>
      <c r="G6" s="40">
        <f t="shared" si="1"/>
        <v>288641.36941390729</v>
      </c>
      <c r="H6" s="40">
        <f t="shared" si="1"/>
        <v>-345708.21153255255</v>
      </c>
      <c r="I6" s="40">
        <f>SUM(I4:I5)</f>
        <v>-3234.9299999999994</v>
      </c>
      <c r="J6" s="40">
        <f>SUM(J4:J5)</f>
        <v>-60301.772118645269</v>
      </c>
      <c r="K6"/>
      <c r="M6" s="62"/>
      <c r="T6" s="5"/>
    </row>
    <row r="7" spans="1:35" ht="15.75" thickTop="1" x14ac:dyDescent="0.25"/>
    <row r="8" spans="1:35" x14ac:dyDescent="0.25">
      <c r="I8" s="4"/>
      <c r="V8" s="4"/>
    </row>
    <row r="9" spans="1:35" ht="15.75" thickBot="1" x14ac:dyDescent="0.3">
      <c r="V9" s="4"/>
      <c r="W9" s="5"/>
    </row>
    <row r="10" spans="1:35" ht="90.75" thickBot="1" x14ac:dyDescent="0.3">
      <c r="B10" s="141" t="str">
        <f>+'PCR Cycle 1'!B8</f>
        <v>Cumulative Over/Under Carryover From 06/01/2017 Filing</v>
      </c>
      <c r="C10" s="179" t="str">
        <f>+'PCR Cycle 1'!C8</f>
        <v>Reverse May-17 - July-17  Forecast From 06/01/2017 Filing</v>
      </c>
      <c r="D10" s="233" t="s">
        <v>39</v>
      </c>
      <c r="E10" s="233"/>
      <c r="F10" s="234"/>
      <c r="G10" s="239" t="s">
        <v>39</v>
      </c>
      <c r="H10" s="240"/>
      <c r="I10" s="241"/>
      <c r="J10" s="235" t="s">
        <v>9</v>
      </c>
      <c r="K10" s="236"/>
      <c r="L10" s="237"/>
    </row>
    <row r="11" spans="1:35" x14ac:dyDescent="0.25">
      <c r="A11" t="s">
        <v>43</v>
      </c>
      <c r="C11" s="128"/>
      <c r="D11" s="20">
        <f>+'PCR Cycle 1'!D9</f>
        <v>42883</v>
      </c>
      <c r="E11" s="20">
        <f t="shared" ref="E11:I11" si="2">EDATE(D11,1)</f>
        <v>42914</v>
      </c>
      <c r="F11" s="20">
        <f t="shared" si="2"/>
        <v>42944</v>
      </c>
      <c r="G11" s="14">
        <f t="shared" si="2"/>
        <v>42975</v>
      </c>
      <c r="H11" s="20">
        <f t="shared" si="2"/>
        <v>43006</v>
      </c>
      <c r="I11" s="15">
        <f t="shared" si="2"/>
        <v>43036</v>
      </c>
      <c r="J11" s="20">
        <f t="shared" ref="J11" si="3">EDATE(I11,1)</f>
        <v>43067</v>
      </c>
      <c r="K11" s="20">
        <f t="shared" ref="K11" si="4">EDATE(J11,1)</f>
        <v>43097</v>
      </c>
      <c r="L11" s="15">
        <f t="shared" ref="L11" si="5">EDATE(K11,1)</f>
        <v>43128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t="s">
        <v>6</v>
      </c>
      <c r="C12" s="120">
        <v>0</v>
      </c>
      <c r="D12" s="132">
        <f>SUM(D23:D24)</f>
        <v>0</v>
      </c>
      <c r="E12" s="132">
        <f t="shared" ref="E12:H12" si="6">SUM(E23:E24)</f>
        <v>0</v>
      </c>
      <c r="F12" s="133">
        <f t="shared" si="6"/>
        <v>0</v>
      </c>
      <c r="G12" s="16">
        <f t="shared" si="6"/>
        <v>0</v>
      </c>
      <c r="H12" s="71">
        <f t="shared" si="6"/>
        <v>0</v>
      </c>
      <c r="I12" s="195">
        <f>+I23+I24</f>
        <v>0</v>
      </c>
      <c r="J12" s="188">
        <f t="shared" ref="J12:K12" si="7">+J23+J24</f>
        <v>0</v>
      </c>
      <c r="K12" s="97">
        <f t="shared" si="7"/>
        <v>0</v>
      </c>
      <c r="L12" s="98"/>
    </row>
    <row r="13" spans="1:35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5" x14ac:dyDescent="0.25">
      <c r="A14" t="s">
        <v>17</v>
      </c>
      <c r="C14" s="122"/>
      <c r="D14" s="18"/>
      <c r="E14" s="18"/>
      <c r="F14" s="18"/>
      <c r="G14" s="114"/>
      <c r="H14" s="18"/>
      <c r="I14" s="196"/>
      <c r="J14" s="44"/>
      <c r="K14" s="44"/>
      <c r="L14" s="42"/>
      <c r="M14" s="3" t="s">
        <v>93</v>
      </c>
      <c r="N14" s="53"/>
    </row>
    <row r="15" spans="1:35" x14ac:dyDescent="0.25">
      <c r="A15" t="s">
        <v>29</v>
      </c>
      <c r="C15" s="120">
        <v>109779.90966</v>
      </c>
      <c r="D15" s="159">
        <f>ROUND('[3]KCPL-MO Revenue Analysis'!G160,2)</f>
        <v>-25877.21</v>
      </c>
      <c r="E15" s="159">
        <f>ROUND('[3]KCPL-MO Revenue Analysis'!H160,2)</f>
        <v>-36063.040000000001</v>
      </c>
      <c r="F15" s="159">
        <f>ROUND('[3]KCPL-MO Revenue Analysis'!I160,2)</f>
        <v>-50285.71</v>
      </c>
      <c r="G15" s="16">
        <f>ROUND('[3]KCPL-MO Revenue Analysis'!J160,2)</f>
        <v>-35768.660000000003</v>
      </c>
      <c r="H15" s="144">
        <f>ROUND('[3]KCPL-MO Revenue Analysis'!K160,2)</f>
        <v>-8670.4699999999993</v>
      </c>
      <c r="I15" s="197">
        <f>ROUND('[3]KCPL-MO Revenue Analysis'!L160,2)</f>
        <v>-7665.64</v>
      </c>
      <c r="J15" s="146">
        <f>'PCR Cycle 1'!J21*'TDR Cycle 1'!$M15</f>
        <v>-6669.7160800000001</v>
      </c>
      <c r="K15" s="55">
        <f>'PCR Cycle 1'!K21*'TDR Cycle 1'!$M15</f>
        <v>-9461.0684799999999</v>
      </c>
      <c r="L15" s="77">
        <f>'PCR Cycle 1'!L21*'TDR Cycle 1'!$M15</f>
        <v>-10540.336240000001</v>
      </c>
      <c r="M15" s="88">
        <v>-4.0000000000000003E-5</v>
      </c>
      <c r="N15" s="4"/>
    </row>
    <row r="16" spans="1:35" x14ac:dyDescent="0.25">
      <c r="A16" t="s">
        <v>30</v>
      </c>
      <c r="C16" s="120">
        <v>-368438.85996311996</v>
      </c>
      <c r="D16" s="159">
        <f>ROUND('[3]KCPL-MO Revenue Analysis'!G161,2)</f>
        <v>103766.63</v>
      </c>
      <c r="E16" s="159">
        <f>ROUND('[3]KCPL-MO Revenue Analysis'!H161,2)</f>
        <v>118916.89</v>
      </c>
      <c r="F16" s="159">
        <f>ROUND('[3]KCPL-MO Revenue Analysis'!I161,2)</f>
        <v>130418.63</v>
      </c>
      <c r="G16" s="16">
        <f>ROUND('[3]KCPL-MO Revenue Analysis'!J161,2)</f>
        <v>54909.17</v>
      </c>
      <c r="H16" s="144">
        <f>ROUND('[3]KCPL-MO Revenue Analysis'!K161,2)</f>
        <v>-48488.32</v>
      </c>
      <c r="I16" s="197">
        <f>ROUND('[3]KCPL-MO Revenue Analysis'!L161,2)</f>
        <v>-55803.53</v>
      </c>
      <c r="J16" s="146">
        <f>'PCR Cycle 1'!J22*'TDR Cycle 1'!$M16</f>
        <v>-44371.511102390068</v>
      </c>
      <c r="K16" s="55">
        <f>'PCR Cycle 1'!K22*'TDR Cycle 1'!$M16</f>
        <v>-48767.319763504282</v>
      </c>
      <c r="L16" s="77">
        <f>'PCR Cycle 1'!L22*'TDR Cycle 1'!$M16</f>
        <v>-49561.207444892992</v>
      </c>
      <c r="M16" s="88">
        <v>-1.2E-4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198"/>
      <c r="J17" s="72"/>
      <c r="K17" s="72"/>
      <c r="L17" s="13"/>
      <c r="N17" s="4"/>
    </row>
    <row r="18" spans="1:14" x14ac:dyDescent="0.25">
      <c r="A18" s="53" t="s">
        <v>36</v>
      </c>
      <c r="B18" s="53"/>
      <c r="C18" s="83"/>
      <c r="D18" s="72"/>
      <c r="E18" s="72"/>
      <c r="F18" s="72"/>
      <c r="G18" s="12"/>
      <c r="H18" s="72"/>
      <c r="I18" s="199"/>
      <c r="J18" s="72"/>
      <c r="K18" s="72"/>
      <c r="L18" s="13"/>
      <c r="M18" s="7"/>
      <c r="N18" s="62"/>
    </row>
    <row r="19" spans="1:14" x14ac:dyDescent="0.25">
      <c r="A19" s="62" t="s">
        <v>29</v>
      </c>
      <c r="C19" s="125">
        <v>0</v>
      </c>
      <c r="D19" s="134">
        <v>0</v>
      </c>
      <c r="E19" s="134">
        <v>0</v>
      </c>
      <c r="F19" s="148">
        <v>0</v>
      </c>
      <c r="G19" s="92">
        <v>0</v>
      </c>
      <c r="H19" s="93">
        <v>0</v>
      </c>
      <c r="I19" s="200">
        <v>0</v>
      </c>
      <c r="J19" s="189">
        <v>0</v>
      </c>
      <c r="K19" s="168">
        <v>0</v>
      </c>
      <c r="L19" s="99"/>
      <c r="M19" s="75">
        <f>SUM(C19:K19)</f>
        <v>0</v>
      </c>
      <c r="N19" s="62"/>
    </row>
    <row r="20" spans="1:14" x14ac:dyDescent="0.25">
      <c r="A20" t="s">
        <v>30</v>
      </c>
      <c r="C20" s="125">
        <v>0</v>
      </c>
      <c r="D20" s="134">
        <v>0</v>
      </c>
      <c r="E20" s="134">
        <v>0</v>
      </c>
      <c r="F20" s="148">
        <v>0</v>
      </c>
      <c r="G20" s="92">
        <v>0</v>
      </c>
      <c r="H20" s="93">
        <v>0</v>
      </c>
      <c r="I20" s="200">
        <v>0</v>
      </c>
      <c r="J20" s="189">
        <v>0</v>
      </c>
      <c r="K20" s="168">
        <v>0</v>
      </c>
      <c r="L20" s="99"/>
      <c r="M20" s="75">
        <f>SUM(C20:I20)</f>
        <v>0</v>
      </c>
      <c r="N20" s="62"/>
    </row>
    <row r="21" spans="1:14" s="62" customFormat="1" x14ac:dyDescent="0.25">
      <c r="C21" s="83"/>
      <c r="D21" s="84"/>
      <c r="E21" s="84"/>
      <c r="F21" s="84"/>
      <c r="G21" s="83"/>
      <c r="H21" s="84"/>
      <c r="I21" s="198"/>
      <c r="J21" s="72"/>
      <c r="K21" s="72"/>
      <c r="L21" s="13"/>
    </row>
    <row r="22" spans="1:14" x14ac:dyDescent="0.25">
      <c r="A22" s="62" t="s">
        <v>90</v>
      </c>
      <c r="C22" s="50"/>
      <c r="D22" s="51"/>
      <c r="E22" s="51"/>
      <c r="F22" s="51"/>
      <c r="G22" s="50"/>
      <c r="H22" s="51"/>
      <c r="I22" s="201"/>
      <c r="J22" s="68"/>
      <c r="K22" s="68"/>
      <c r="L22" s="52"/>
      <c r="M22" s="62"/>
      <c r="N22" s="62"/>
    </row>
    <row r="23" spans="1:14" x14ac:dyDescent="0.25">
      <c r="A23" s="62" t="s">
        <v>29</v>
      </c>
      <c r="C23" s="120">
        <v>0</v>
      </c>
      <c r="D23" s="132">
        <v>0</v>
      </c>
      <c r="E23" s="132">
        <v>0</v>
      </c>
      <c r="F23" s="133">
        <v>0</v>
      </c>
      <c r="G23" s="16">
        <v>0</v>
      </c>
      <c r="H23" s="71">
        <v>0</v>
      </c>
      <c r="I23" s="195">
        <v>0</v>
      </c>
      <c r="J23" s="190"/>
      <c r="K23" s="167"/>
      <c r="L23" s="98"/>
    </row>
    <row r="24" spans="1:14" x14ac:dyDescent="0.25">
      <c r="A24" s="62" t="s">
        <v>30</v>
      </c>
      <c r="C24" s="120">
        <v>0</v>
      </c>
      <c r="D24" s="132">
        <v>0</v>
      </c>
      <c r="E24" s="132">
        <v>0</v>
      </c>
      <c r="F24" s="133">
        <v>0</v>
      </c>
      <c r="G24" s="16">
        <v>0</v>
      </c>
      <c r="H24" s="71">
        <v>0</v>
      </c>
      <c r="I24" s="195">
        <v>0</v>
      </c>
      <c r="J24" s="190"/>
      <c r="K24" s="167"/>
      <c r="L24" s="98"/>
      <c r="N24" s="63"/>
    </row>
    <row r="25" spans="1:14" s="62" customFormat="1" x14ac:dyDescent="0.25">
      <c r="C25" s="122"/>
      <c r="D25" s="18"/>
      <c r="E25" s="18"/>
      <c r="F25" s="18"/>
      <c r="G25" s="114"/>
      <c r="H25" s="18"/>
      <c r="I25" s="196"/>
      <c r="J25" s="72"/>
      <c r="K25" s="72"/>
      <c r="L25" s="13"/>
    </row>
    <row r="26" spans="1:14" ht="15.75" thickBot="1" x14ac:dyDescent="0.3">
      <c r="A26" s="3" t="s">
        <v>18</v>
      </c>
      <c r="B26" s="3"/>
      <c r="C26" s="126">
        <v>642.97</v>
      </c>
      <c r="D26" s="159">
        <v>-236.26000000000002</v>
      </c>
      <c r="E26" s="159">
        <v>-415.15</v>
      </c>
      <c r="F26" s="160">
        <v>-594.46</v>
      </c>
      <c r="G26" s="39">
        <v>-699.25</v>
      </c>
      <c r="H26" s="145">
        <v>-662.22</v>
      </c>
      <c r="I26" s="202">
        <v>-539.4</v>
      </c>
      <c r="J26" s="191">
        <v>-421.61</v>
      </c>
      <c r="K26" s="169">
        <v>-308.81</v>
      </c>
      <c r="L26" s="101"/>
    </row>
    <row r="27" spans="1:14" x14ac:dyDescent="0.25">
      <c r="C27" s="80"/>
      <c r="D27" s="174"/>
      <c r="E27" s="174"/>
      <c r="F27" s="175"/>
      <c r="G27" s="80"/>
      <c r="H27" s="47"/>
      <c r="I27" s="203"/>
      <c r="J27" s="48"/>
      <c r="K27" s="48"/>
      <c r="L27" s="76"/>
    </row>
    <row r="28" spans="1:14" x14ac:dyDescent="0.25">
      <c r="A28" t="s">
        <v>68</v>
      </c>
      <c r="C28" s="81"/>
      <c r="D28" s="175"/>
      <c r="E28" s="175"/>
      <c r="F28" s="175"/>
      <c r="G28" s="81"/>
      <c r="H28" s="49"/>
      <c r="I28" s="204"/>
      <c r="J28" s="48"/>
      <c r="K28" s="48"/>
      <c r="L28" s="76"/>
    </row>
    <row r="29" spans="1:14" x14ac:dyDescent="0.25">
      <c r="A29" s="62" t="s">
        <v>29</v>
      </c>
      <c r="C29" s="123">
        <f t="shared" ref="C29:C30" si="8">C23-C15</f>
        <v>-109779.90966</v>
      </c>
      <c r="D29" s="55">
        <f t="shared" ref="D29:I30" si="9">D23-D15</f>
        <v>25877.21</v>
      </c>
      <c r="E29" s="55">
        <f t="shared" si="9"/>
        <v>36063.040000000001</v>
      </c>
      <c r="F29" s="131">
        <f t="shared" ref="F29:H29" si="10">F23-F15</f>
        <v>50285.71</v>
      </c>
      <c r="G29" s="54">
        <f t="shared" si="10"/>
        <v>35768.660000000003</v>
      </c>
      <c r="H29" s="55">
        <f t="shared" si="10"/>
        <v>8670.4699999999993</v>
      </c>
      <c r="I29" s="77">
        <f t="shared" si="9"/>
        <v>7665.64</v>
      </c>
      <c r="J29" s="146">
        <f t="shared" ref="J29:K29" si="11">J23-J15</f>
        <v>6669.7160800000001</v>
      </c>
      <c r="K29" s="55">
        <f t="shared" si="11"/>
        <v>9461.0684799999999</v>
      </c>
      <c r="L29" s="77">
        <f t="shared" ref="L29" si="12">L23-L15</f>
        <v>10540.336240000001</v>
      </c>
    </row>
    <row r="30" spans="1:14" x14ac:dyDescent="0.25">
      <c r="A30" t="s">
        <v>30</v>
      </c>
      <c r="C30" s="123">
        <f t="shared" si="8"/>
        <v>368438.85996311996</v>
      </c>
      <c r="D30" s="55">
        <f t="shared" si="9"/>
        <v>-103766.63</v>
      </c>
      <c r="E30" s="55">
        <f t="shared" si="9"/>
        <v>-118916.89</v>
      </c>
      <c r="F30" s="131">
        <f t="shared" ref="F30:H30" si="13">F24-F16</f>
        <v>-130418.63</v>
      </c>
      <c r="G30" s="54">
        <f t="shared" si="13"/>
        <v>-54909.17</v>
      </c>
      <c r="H30" s="55">
        <f t="shared" si="13"/>
        <v>48488.32</v>
      </c>
      <c r="I30" s="77">
        <f t="shared" si="9"/>
        <v>55803.53</v>
      </c>
      <c r="J30" s="146">
        <f t="shared" ref="J30:K30" si="14">J24-J16</f>
        <v>44371.511102390068</v>
      </c>
      <c r="K30" s="55">
        <f t="shared" si="14"/>
        <v>48767.319763504282</v>
      </c>
      <c r="L30" s="77">
        <f t="shared" ref="L30" si="15">L24-L16</f>
        <v>49561.207444892992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ht="15.75" thickBot="1" x14ac:dyDescent="0.3">
      <c r="A32" t="s">
        <v>69</v>
      </c>
      <c r="C32" s="122"/>
      <c r="D32" s="17"/>
      <c r="E32" s="17"/>
      <c r="F32" s="17"/>
      <c r="G32" s="10"/>
      <c r="H32" s="17"/>
      <c r="I32" s="11"/>
      <c r="J32" s="17"/>
      <c r="K32" s="17"/>
      <c r="L32" s="11"/>
    </row>
    <row r="33" spans="1:36" x14ac:dyDescent="0.25">
      <c r="A33" s="62" t="s">
        <v>29</v>
      </c>
      <c r="B33" s="139">
        <v>-58734.068343419756</v>
      </c>
      <c r="C33" s="123">
        <f>B33+C29+B38</f>
        <v>-168513.97800341976</v>
      </c>
      <c r="D33" s="55">
        <f t="shared" ref="D33" si="16">C33+D29+C38</f>
        <v>-142115.10800341977</v>
      </c>
      <c r="E33" s="55">
        <f t="shared" ref="E33:I34" si="17">D33+E29+D38</f>
        <v>-106344.31800341976</v>
      </c>
      <c r="F33" s="131">
        <f t="shared" si="17"/>
        <v>-56309.298003419761</v>
      </c>
      <c r="G33" s="54">
        <f t="shared" si="17"/>
        <v>-20708.838003419758</v>
      </c>
      <c r="H33" s="55">
        <f t="shared" si="17"/>
        <v>-12118.188003419758</v>
      </c>
      <c r="I33" s="77">
        <f t="shared" si="17"/>
        <v>-4486.6180034197578</v>
      </c>
      <c r="J33" s="146">
        <f t="shared" ref="J33:J34" si="18">I33+J29+I38</f>
        <v>2165.8480765802424</v>
      </c>
      <c r="K33" s="55">
        <f t="shared" ref="K33:K34" si="19">J33+K29+J38</f>
        <v>11624.496556580243</v>
      </c>
      <c r="L33" s="77">
        <f t="shared" ref="L33:L34" si="20">K33+L29+K38</f>
        <v>22179.122796580246</v>
      </c>
    </row>
    <row r="34" spans="1:36" ht="15.75" thickBot="1" x14ac:dyDescent="0.3">
      <c r="A34" t="s">
        <v>30</v>
      </c>
      <c r="B34" s="140">
        <v>-286974.1431891328</v>
      </c>
      <c r="C34" s="123">
        <f>B34+C30+B39</f>
        <v>81464.716773987166</v>
      </c>
      <c r="D34" s="55">
        <f t="shared" ref="D34" si="21">C34+D30+C39</f>
        <v>-22180.603226012838</v>
      </c>
      <c r="E34" s="55">
        <f t="shared" si="17"/>
        <v>-141041.51322601282</v>
      </c>
      <c r="F34" s="131">
        <f t="shared" si="17"/>
        <v>-271624.58322601282</v>
      </c>
      <c r="G34" s="54">
        <f t="shared" si="17"/>
        <v>-326960.00322601281</v>
      </c>
      <c r="H34" s="55">
        <f t="shared" si="17"/>
        <v>-279091.11322601279</v>
      </c>
      <c r="I34" s="77">
        <f t="shared" si="17"/>
        <v>-223915.7432260128</v>
      </c>
      <c r="J34" s="146">
        <f t="shared" si="18"/>
        <v>-180066.37212362274</v>
      </c>
      <c r="K34" s="55">
        <f t="shared" si="19"/>
        <v>-131718.42236011845</v>
      </c>
      <c r="L34" s="77">
        <f t="shared" si="20"/>
        <v>-82480.89491522545</v>
      </c>
    </row>
    <row r="35" spans="1:36" x14ac:dyDescent="0.25">
      <c r="C35" s="122"/>
      <c r="D35" s="17"/>
      <c r="E35" s="17"/>
      <c r="F35" s="17"/>
      <c r="G35" s="10"/>
      <c r="H35" s="17"/>
      <c r="I35" s="11"/>
      <c r="J35" s="17"/>
      <c r="K35" s="17"/>
      <c r="L35" s="11"/>
    </row>
    <row r="36" spans="1:36" x14ac:dyDescent="0.25">
      <c r="A36" s="53" t="s">
        <v>65</v>
      </c>
      <c r="B36" s="53"/>
      <c r="C36" s="127"/>
      <c r="D36" s="102">
        <f>+'PCR Cycle 1'!D38</f>
        <v>1.8848000000000001E-3</v>
      </c>
      <c r="E36" s="102">
        <f>+'PCR Cycle 1'!E38</f>
        <v>2.0156100000000001E-3</v>
      </c>
      <c r="F36" s="102">
        <f>+'PCR Cycle 1'!F38</f>
        <v>2.0650299999999998E-3</v>
      </c>
      <c r="G36" s="103">
        <f>+'PCR Cycle 1'!G38</f>
        <v>2.0681900000000001E-3</v>
      </c>
      <c r="H36" s="102">
        <f>+'PCR Cycle 1'!H38</f>
        <v>2.0708300000000001E-3</v>
      </c>
      <c r="I36" s="115">
        <f>+'PCR Cycle 1'!I38</f>
        <v>2.0734999999999998E-3</v>
      </c>
      <c r="J36" s="102">
        <f>+'PCR Cycle 1'!J38</f>
        <v>2.0734999999999998E-3</v>
      </c>
      <c r="K36" s="102">
        <f>+'PCR Cycle 1'!K38</f>
        <v>2.0734999999999998E-3</v>
      </c>
      <c r="L36" s="104"/>
    </row>
    <row r="37" spans="1:36" s="62" customFormat="1" x14ac:dyDescent="0.25">
      <c r="A37" s="53" t="s">
        <v>44</v>
      </c>
      <c r="B37" s="53"/>
      <c r="C37" s="129"/>
      <c r="D37" s="102"/>
      <c r="E37" s="102"/>
      <c r="F37" s="102"/>
      <c r="G37" s="103"/>
      <c r="H37" s="102"/>
      <c r="I37" s="104"/>
      <c r="J37" s="102"/>
      <c r="K37" s="102"/>
      <c r="L37" s="104"/>
    </row>
    <row r="38" spans="1:36" x14ac:dyDescent="0.25">
      <c r="A38" s="62" t="s">
        <v>29</v>
      </c>
      <c r="C38" s="123">
        <v>521.66000000000008</v>
      </c>
      <c r="D38" s="55">
        <f t="shared" ref="D38" si="22">ROUND((C33+C38+D29/2)*D$36,2)</f>
        <v>-292.25</v>
      </c>
      <c r="E38" s="55">
        <f t="shared" ref="E38:I39" si="23">ROUND((D33+D38+E29/2)*E$36,2)</f>
        <v>-250.69</v>
      </c>
      <c r="F38" s="131">
        <f t="shared" si="23"/>
        <v>-168.2</v>
      </c>
      <c r="G38" s="54">
        <f t="shared" si="23"/>
        <v>-79.819999999999993</v>
      </c>
      <c r="H38" s="146">
        <f t="shared" si="23"/>
        <v>-34.07</v>
      </c>
      <c r="I38" s="65">
        <f t="shared" si="23"/>
        <v>-17.25</v>
      </c>
      <c r="J38" s="192">
        <f t="shared" ref="J38:J39" si="24">ROUND((I33+I38+J29/2)*J$36,2)</f>
        <v>-2.42</v>
      </c>
      <c r="K38" s="131">
        <f t="shared" ref="K38:K39" si="25">ROUND((J33+J38+K29/2)*K$36,2)</f>
        <v>14.29</v>
      </c>
      <c r="L38" s="77">
        <f t="shared" ref="L38:L39" si="26">ROUND((K33+K38+L29/2)*L$36,2)</f>
        <v>0</v>
      </c>
    </row>
    <row r="39" spans="1:36" ht="15.75" thickBot="1" x14ac:dyDescent="0.3">
      <c r="A39" t="s">
        <v>30</v>
      </c>
      <c r="C39" s="123">
        <v>121.30999999999999</v>
      </c>
      <c r="D39" s="55">
        <f t="shared" ref="D39" si="27">ROUND((C34+C39+D30/2)*D$36,2)</f>
        <v>55.98</v>
      </c>
      <c r="E39" s="55">
        <f t="shared" si="23"/>
        <v>-164.44</v>
      </c>
      <c r="F39" s="131">
        <f t="shared" si="23"/>
        <v>-426.25</v>
      </c>
      <c r="G39" s="54">
        <f t="shared" si="23"/>
        <v>-619.42999999999995</v>
      </c>
      <c r="H39" s="146">
        <f t="shared" si="23"/>
        <v>-628.16</v>
      </c>
      <c r="I39" s="65">
        <f t="shared" si="23"/>
        <v>-522.14</v>
      </c>
      <c r="J39" s="192">
        <f t="shared" si="24"/>
        <v>-419.37</v>
      </c>
      <c r="K39" s="131">
        <f t="shared" si="25"/>
        <v>-323.68</v>
      </c>
      <c r="L39" s="77">
        <f t="shared" si="26"/>
        <v>0</v>
      </c>
    </row>
    <row r="40" spans="1:36" ht="16.5" thickTop="1" thickBot="1" x14ac:dyDescent="0.3">
      <c r="A40" s="70" t="s">
        <v>25</v>
      </c>
      <c r="B40" s="70"/>
      <c r="C40" s="130">
        <v>0</v>
      </c>
      <c r="D40" s="56">
        <f t="shared" ref="D40:I40" si="28">SUM(D38:D39)+SUM(D33:D34)-D43</f>
        <v>1.6589183360338211E-9</v>
      </c>
      <c r="E40" s="56">
        <f t="shared" si="28"/>
        <v>1.6880221664905548E-9</v>
      </c>
      <c r="F40" s="66">
        <f t="shared" ref="F40:H40" si="29">SUM(F38:F39)+SUM(F33:F34)-F43</f>
        <v>1.6880221664905548E-9</v>
      </c>
      <c r="G40" s="172">
        <f t="shared" si="29"/>
        <v>1.7462298274040222E-9</v>
      </c>
      <c r="H40" s="66">
        <f t="shared" si="29"/>
        <v>1.7462298274040222E-9</v>
      </c>
      <c r="I40" s="78">
        <f t="shared" si="28"/>
        <v>1.7462298274040222E-9</v>
      </c>
      <c r="J40" s="193">
        <f t="shared" ref="J40:L40" si="30">SUM(J38:J39)+SUM(J33:J34)-J43</f>
        <v>1.7171259969472885E-9</v>
      </c>
      <c r="K40" s="66">
        <f t="shared" si="30"/>
        <v>1.7316779121756554E-9</v>
      </c>
      <c r="L40" s="78">
        <f t="shared" si="30"/>
        <v>1.7389538697898388E-9</v>
      </c>
    </row>
    <row r="41" spans="1:36" s="62" customFormat="1" ht="16.5" thickTop="1" thickBot="1" x14ac:dyDescent="0.3">
      <c r="A41" s="70" t="s">
        <v>26</v>
      </c>
      <c r="B41" s="70"/>
      <c r="C41" s="130">
        <v>0</v>
      </c>
      <c r="D41" s="56">
        <f t="shared" ref="D41:I41" si="31">SUM(D38:D39)-D26</f>
        <v>-9.9999999999909051E-3</v>
      </c>
      <c r="E41" s="56">
        <f t="shared" si="31"/>
        <v>1.999999999998181E-2</v>
      </c>
      <c r="F41" s="66">
        <f t="shared" ref="F41:H41" si="32">SUM(F38:F39)-F26</f>
        <v>9.9999999999909051E-3</v>
      </c>
      <c r="G41" s="172">
        <f t="shared" si="32"/>
        <v>0</v>
      </c>
      <c r="H41" s="66">
        <f t="shared" si="32"/>
        <v>-9.9999999999909051E-3</v>
      </c>
      <c r="I41" s="78">
        <f t="shared" si="31"/>
        <v>9.9999999999909051E-3</v>
      </c>
      <c r="J41" s="194">
        <f t="shared" ref="J41:L41" si="33">SUM(J38:J39)-J26</f>
        <v>-0.18000000000000682</v>
      </c>
      <c r="K41" s="56">
        <f t="shared" si="33"/>
        <v>-0.57999999999998408</v>
      </c>
      <c r="L41" s="56">
        <f t="shared" si="33"/>
        <v>0</v>
      </c>
    </row>
    <row r="42" spans="1:36" ht="16.5" thickTop="1" thickBot="1" x14ac:dyDescent="0.3">
      <c r="C42" s="122"/>
      <c r="D42" s="17"/>
      <c r="E42" s="17"/>
      <c r="F42" s="17"/>
      <c r="G42" s="10"/>
      <c r="H42" s="17"/>
      <c r="I42" s="11"/>
      <c r="J42" s="17"/>
      <c r="K42" s="17"/>
      <c r="L42" s="11"/>
    </row>
    <row r="43" spans="1:36" ht="15.75" thickBot="1" x14ac:dyDescent="0.3">
      <c r="A43" t="s">
        <v>42</v>
      </c>
      <c r="B43" s="142">
        <v>-345708.21153255418</v>
      </c>
      <c r="C43" s="123">
        <f>(C12-SUM(C15:C16))+SUM(C38:C39)+B43</f>
        <v>-86406.291229434224</v>
      </c>
      <c r="D43" s="55">
        <f t="shared" ref="D43:I43" si="34">(D12-SUM(D15:D16))+SUM(D38:D39)+C43</f>
        <v>-164531.98122943426</v>
      </c>
      <c r="E43" s="55">
        <f t="shared" si="34"/>
        <v>-247800.96122943427</v>
      </c>
      <c r="F43" s="131">
        <f t="shared" si="34"/>
        <v>-328528.33122943429</v>
      </c>
      <c r="G43" s="54">
        <f t="shared" si="34"/>
        <v>-348368.0912294343</v>
      </c>
      <c r="H43" s="55">
        <f t="shared" si="34"/>
        <v>-291871.5312294343</v>
      </c>
      <c r="I43" s="77">
        <f t="shared" si="34"/>
        <v>-228941.7512294343</v>
      </c>
      <c r="J43" s="192">
        <f t="shared" ref="J43" si="35">(J12-SUM(J15:J16))+SUM(J38:J39)+I43</f>
        <v>-178322.31404704423</v>
      </c>
      <c r="K43" s="131">
        <f t="shared" ref="K43" si="36">(K12-SUM(K15:K16))+SUM(K38:K39)+J43</f>
        <v>-120403.31580353994</v>
      </c>
      <c r="L43" s="77">
        <f t="shared" ref="L43" si="37">(L12-SUM(L15:L16))+SUM(L38:L39)+K43</f>
        <v>-60301.772118646943</v>
      </c>
    </row>
    <row r="44" spans="1:36" x14ac:dyDescent="0.25">
      <c r="A44" t="s">
        <v>14</v>
      </c>
      <c r="C44" s="143"/>
      <c r="D44" s="17"/>
      <c r="E44" s="17"/>
      <c r="F44" s="17"/>
      <c r="G44" s="10"/>
      <c r="H44" s="17"/>
      <c r="I44" s="11"/>
      <c r="J44" s="17"/>
      <c r="K44" s="17"/>
      <c r="L44" s="11"/>
    </row>
    <row r="45" spans="1:36" ht="15.75" thickBot="1" x14ac:dyDescent="0.3">
      <c r="A45" s="51"/>
      <c r="B45" s="51"/>
      <c r="C45" s="173"/>
      <c r="D45" s="58"/>
      <c r="E45" s="58"/>
      <c r="F45" s="58"/>
      <c r="G45" s="57"/>
      <c r="H45" s="58"/>
      <c r="I45" s="59"/>
      <c r="J45" s="58"/>
      <c r="K45" s="58"/>
      <c r="L45" s="59"/>
    </row>
    <row r="46" spans="1:36" x14ac:dyDescent="0.25">
      <c r="A46" s="62"/>
      <c r="D46" s="62"/>
      <c r="E46" s="62"/>
      <c r="I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</row>
    <row r="47" spans="1:36" x14ac:dyDescent="0.25">
      <c r="A47" s="85" t="s">
        <v>13</v>
      </c>
      <c r="B47" s="85"/>
      <c r="C47" s="85"/>
      <c r="D47" s="62"/>
      <c r="E47" s="62"/>
      <c r="I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</row>
    <row r="48" spans="1:36" ht="31.5" customHeight="1" x14ac:dyDescent="0.25">
      <c r="A48" s="238" t="s">
        <v>124</v>
      </c>
      <c r="B48" s="238"/>
      <c r="C48" s="238"/>
      <c r="D48" s="238"/>
      <c r="E48" s="238"/>
      <c r="F48" s="238"/>
      <c r="G48" s="238"/>
      <c r="H48" s="238"/>
      <c r="I48" s="238"/>
      <c r="J48" s="163"/>
      <c r="K48" s="163"/>
      <c r="L48" s="113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</row>
    <row r="49" spans="1:36" s="62" customFormat="1" ht="44.25" customHeight="1" x14ac:dyDescent="0.25">
      <c r="A49" s="232" t="s">
        <v>137</v>
      </c>
      <c r="B49" s="232"/>
      <c r="C49" s="232"/>
      <c r="D49" s="232"/>
      <c r="E49" s="232"/>
      <c r="F49" s="232"/>
      <c r="G49" s="232"/>
      <c r="H49" s="232"/>
      <c r="I49" s="232"/>
      <c r="J49" s="177"/>
      <c r="K49" s="177"/>
    </row>
    <row r="50" spans="1:36" ht="18.75" customHeight="1" x14ac:dyDescent="0.25">
      <c r="A50" s="232" t="s">
        <v>125</v>
      </c>
      <c r="B50" s="232"/>
      <c r="C50" s="232"/>
      <c r="D50" s="232"/>
      <c r="E50" s="232"/>
      <c r="F50" s="232"/>
      <c r="G50" s="232"/>
      <c r="H50" s="232"/>
      <c r="I50" s="232"/>
      <c r="J50" s="163"/>
      <c r="K50" s="163"/>
      <c r="L50" s="113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</row>
    <row r="51" spans="1:36" x14ac:dyDescent="0.25">
      <c r="A51" s="3" t="s">
        <v>91</v>
      </c>
      <c r="B51" s="3"/>
      <c r="C51" s="3"/>
    </row>
    <row r="52" spans="1:36" x14ac:dyDescent="0.25">
      <c r="A52" s="79" t="s">
        <v>135</v>
      </c>
      <c r="B52" s="3"/>
      <c r="C52" s="3"/>
    </row>
    <row r="53" spans="1:36" x14ac:dyDescent="0.25">
      <c r="A53" s="3" t="s">
        <v>92</v>
      </c>
      <c r="B53" s="3"/>
      <c r="C53" s="3"/>
    </row>
    <row r="54" spans="1:36" x14ac:dyDescent="0.25">
      <c r="A54" s="3"/>
      <c r="B54" s="3"/>
      <c r="C54" s="3"/>
    </row>
  </sheetData>
  <mergeCells count="6">
    <mergeCell ref="J10:L10"/>
    <mergeCell ref="A48:I48"/>
    <mergeCell ref="A50:I50"/>
    <mergeCell ref="D10:F10"/>
    <mergeCell ref="G10:I10"/>
    <mergeCell ref="A49:I49"/>
  </mergeCells>
  <pageMargins left="0.2" right="0.2" top="0.75" bottom="0.25" header="0.3" footer="0.3"/>
  <pageSetup scale="58" orientation="landscape" r:id="rId1"/>
  <headerFooter>
    <oddHeader>&amp;C&amp;F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4"/>
  <sheetViews>
    <sheetView zoomScaleNormal="100" workbookViewId="0">
      <pane xSplit="1" ySplit="2" topLeftCell="B3" activePane="bottomRight" state="frozen"/>
      <selection activeCell="H1" sqref="H1"/>
      <selection pane="topRight" activeCell="H1" sqref="H1"/>
      <selection pane="bottomLeft" activeCell="H1" sqref="H1"/>
      <selection pane="bottomRight" activeCell="H1" sqref="H1"/>
    </sheetView>
  </sheetViews>
  <sheetFormatPr defaultRowHeight="15" x14ac:dyDescent="0.25"/>
  <cols>
    <col min="1" max="1" width="61.7109375" style="62" customWidth="1"/>
    <col min="2" max="2" width="12.140625" style="62" customWidth="1"/>
    <col min="3" max="3" width="12.42578125" style="62" customWidth="1"/>
    <col min="4" max="4" width="15.42578125" style="62" customWidth="1"/>
    <col min="5" max="5" width="15.85546875" style="62" customWidth="1"/>
    <col min="6" max="6" width="12.28515625" style="62" customWidth="1"/>
    <col min="7" max="8" width="13.28515625" style="62" customWidth="1"/>
    <col min="9" max="9" width="12.28515625" style="62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style="62" bestFit="1" customWidth="1"/>
    <col min="14" max="14" width="16" style="62" bestFit="1" customWidth="1"/>
    <col min="15" max="15" width="17.85546875" style="62" customWidth="1"/>
    <col min="16" max="16" width="15.28515625" style="62" bestFit="1" customWidth="1"/>
    <col min="17" max="17" width="17.42578125" style="62" bestFit="1" customWidth="1"/>
    <col min="18" max="18" width="16.28515625" style="62" bestFit="1" customWidth="1"/>
    <col min="19" max="19" width="15.28515625" style="62" bestFit="1" customWidth="1"/>
    <col min="20" max="20" width="12.42578125" style="62" customWidth="1"/>
    <col min="21" max="22" width="14.28515625" style="62" bestFit="1" customWidth="1"/>
    <col min="23" max="16384" width="9.140625" style="62"/>
  </cols>
  <sheetData>
    <row r="1" spans="1:35" x14ac:dyDescent="0.25">
      <c r="A1" s="3" t="str">
        <f>+PPC!A1</f>
        <v>Kansas City Power &amp; Light Company - DSIM Rider Update Filed 11/30/2017</v>
      </c>
      <c r="B1" s="3"/>
      <c r="C1" s="3"/>
    </row>
    <row r="2" spans="1:35" x14ac:dyDescent="0.25">
      <c r="D2" s="3" t="s">
        <v>82</v>
      </c>
    </row>
    <row r="3" spans="1:35" ht="30" x14ac:dyDescent="0.25">
      <c r="D3" s="64" t="s">
        <v>62</v>
      </c>
      <c r="E3" s="86" t="s">
        <v>96</v>
      </c>
      <c r="F3" s="86" t="s">
        <v>70</v>
      </c>
      <c r="G3" s="64" t="s">
        <v>3</v>
      </c>
      <c r="H3" s="86" t="s">
        <v>71</v>
      </c>
      <c r="I3" s="64" t="s">
        <v>11</v>
      </c>
      <c r="J3" s="64" t="s">
        <v>10</v>
      </c>
      <c r="S3" s="64"/>
    </row>
    <row r="4" spans="1:35" x14ac:dyDescent="0.25">
      <c r="A4" s="22" t="s">
        <v>29</v>
      </c>
      <c r="B4" s="22"/>
      <c r="C4" s="22"/>
      <c r="D4" s="24">
        <f>SUM(C15:L15)</f>
        <v>1549955.6000699997</v>
      </c>
      <c r="E4" s="161">
        <f>M19</f>
        <v>21404333.770099819</v>
      </c>
      <c r="F4" s="24">
        <f>SUM(C23:K23)</f>
        <v>1878620.92</v>
      </c>
      <c r="G4" s="24">
        <f>F4-D4</f>
        <v>328665.31993000023</v>
      </c>
      <c r="H4" s="24">
        <f>+B33</f>
        <v>188549.58687</v>
      </c>
      <c r="I4" s="24">
        <f>SUM(C38:K38)</f>
        <v>10314.010000000002</v>
      </c>
      <c r="J4" s="36">
        <f>SUM(G4:I4)</f>
        <v>527528.91680000024</v>
      </c>
      <c r="K4" s="63">
        <f>+J4-L33</f>
        <v>0</v>
      </c>
    </row>
    <row r="5" spans="1:35" ht="15.75" thickBot="1" x14ac:dyDescent="0.3">
      <c r="A5" s="22" t="s">
        <v>30</v>
      </c>
      <c r="B5" s="22"/>
      <c r="C5" s="22"/>
      <c r="D5" s="24">
        <f>SUM(C16:L16)</f>
        <v>1282159.3993378477</v>
      </c>
      <c r="E5" s="161">
        <f>M20</f>
        <v>41834983.742698357</v>
      </c>
      <c r="F5" s="24">
        <f>SUM(C24:K24)</f>
        <v>2080140.9200000002</v>
      </c>
      <c r="G5" s="24">
        <f>F5-D5</f>
        <v>797981.52066215244</v>
      </c>
      <c r="H5" s="24">
        <f>+B34</f>
        <v>512317.15736160788</v>
      </c>
      <c r="I5" s="24">
        <f>SUM(C39:K39)</f>
        <v>16760.91</v>
      </c>
      <c r="J5" s="36">
        <f>SUM(G5:I5)</f>
        <v>1327059.5880237601</v>
      </c>
      <c r="K5" s="63">
        <f>+J5-L34</f>
        <v>0</v>
      </c>
    </row>
    <row r="6" spans="1:35" ht="16.5" thickTop="1" thickBot="1" x14ac:dyDescent="0.3">
      <c r="D6" s="40">
        <f t="shared" ref="D6" si="0">SUM(D4:D5)</f>
        <v>2832114.9994078474</v>
      </c>
      <c r="E6" s="162">
        <f t="shared" ref="E6:H6" si="1">SUM(E4:E5)</f>
        <v>63239317.512798175</v>
      </c>
      <c r="F6" s="40">
        <f t="shared" si="1"/>
        <v>3958761.84</v>
      </c>
      <c r="G6" s="40">
        <f t="shared" si="1"/>
        <v>1126646.8405921527</v>
      </c>
      <c r="H6" s="40">
        <f t="shared" si="1"/>
        <v>700866.74423160788</v>
      </c>
      <c r="I6" s="40">
        <f>SUM(I4:I5)</f>
        <v>27074.920000000002</v>
      </c>
      <c r="J6" s="40">
        <f>SUM(J4:J5)</f>
        <v>1854588.5048237604</v>
      </c>
      <c r="T6" s="5"/>
    </row>
    <row r="7" spans="1:35" ht="15.75" thickTop="1" x14ac:dyDescent="0.25"/>
    <row r="8" spans="1:35" x14ac:dyDescent="0.25">
      <c r="I8" s="4"/>
      <c r="V8" s="4"/>
    </row>
    <row r="9" spans="1:35" ht="15.75" thickBot="1" x14ac:dyDescent="0.3">
      <c r="V9" s="4"/>
      <c r="W9" s="5"/>
    </row>
    <row r="10" spans="1:35" ht="90.75" thickBot="1" x14ac:dyDescent="0.3">
      <c r="B10" s="141" t="str">
        <f>+'PCR Cycle 1'!B8</f>
        <v>Cumulative Over/Under Carryover From 06/01/2017 Filing</v>
      </c>
      <c r="C10" s="179" t="str">
        <f>+'PCR Cycle 1'!C8</f>
        <v>Reverse May-17 - July-17  Forecast From 06/01/2017 Filing</v>
      </c>
      <c r="D10" s="233" t="s">
        <v>39</v>
      </c>
      <c r="E10" s="233"/>
      <c r="F10" s="234"/>
      <c r="G10" s="239" t="s">
        <v>39</v>
      </c>
      <c r="H10" s="240"/>
      <c r="I10" s="241"/>
      <c r="J10" s="235" t="s">
        <v>9</v>
      </c>
      <c r="K10" s="236"/>
      <c r="L10" s="237"/>
    </row>
    <row r="11" spans="1:35" x14ac:dyDescent="0.25">
      <c r="A11" s="62" t="s">
        <v>84</v>
      </c>
      <c r="C11" s="128"/>
      <c r="D11" s="20">
        <f>+'PCR Cycle 1'!D9</f>
        <v>42883</v>
      </c>
      <c r="E11" s="20">
        <f t="shared" ref="E11:I11" si="2">EDATE(D11,1)</f>
        <v>42914</v>
      </c>
      <c r="F11" s="20">
        <f t="shared" si="2"/>
        <v>42944</v>
      </c>
      <c r="G11" s="14">
        <f t="shared" si="2"/>
        <v>42975</v>
      </c>
      <c r="H11" s="20">
        <f t="shared" si="2"/>
        <v>43006</v>
      </c>
      <c r="I11" s="15">
        <f t="shared" si="2"/>
        <v>43036</v>
      </c>
      <c r="J11" s="20">
        <f t="shared" ref="J11" si="3">EDATE(I11,1)</f>
        <v>43067</v>
      </c>
      <c r="K11" s="20">
        <f t="shared" ref="K11:L11" si="4">EDATE(J11,1)</f>
        <v>43097</v>
      </c>
      <c r="L11" s="15">
        <f t="shared" si="4"/>
        <v>43128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62" t="s">
        <v>6</v>
      </c>
      <c r="C12" s="120">
        <v>-748718.33</v>
      </c>
      <c r="D12" s="132">
        <f t="shared" ref="D12:H12" si="5">+D23+D24</f>
        <v>477157.86</v>
      </c>
      <c r="E12" s="132">
        <f t="shared" si="5"/>
        <v>582857.6399999999</v>
      </c>
      <c r="F12" s="133">
        <f t="shared" si="5"/>
        <v>725612.35</v>
      </c>
      <c r="G12" s="16">
        <f t="shared" si="5"/>
        <v>773290.33</v>
      </c>
      <c r="H12" s="71">
        <f t="shared" si="5"/>
        <v>706571.25</v>
      </c>
      <c r="I12" s="195">
        <f t="shared" ref="I12:K12" si="6">+I23+I24</f>
        <v>478992.43</v>
      </c>
      <c r="J12" s="188">
        <f t="shared" si="6"/>
        <v>473053.1</v>
      </c>
      <c r="K12" s="97">
        <f t="shared" si="6"/>
        <v>489945.20999999996</v>
      </c>
      <c r="L12" s="98"/>
    </row>
    <row r="13" spans="1:35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5" x14ac:dyDescent="0.25">
      <c r="A14" s="62" t="s">
        <v>83</v>
      </c>
      <c r="C14" s="122"/>
      <c r="D14" s="18"/>
      <c r="E14" s="18"/>
      <c r="F14" s="18"/>
      <c r="G14" s="114"/>
      <c r="H14" s="18"/>
      <c r="I14" s="196"/>
      <c r="J14" s="44"/>
      <c r="K14" s="44"/>
      <c r="L14" s="42"/>
      <c r="M14" s="3" t="s">
        <v>93</v>
      </c>
      <c r="N14" s="53"/>
    </row>
    <row r="15" spans="1:35" x14ac:dyDescent="0.25">
      <c r="A15" s="62" t="s">
        <v>29</v>
      </c>
      <c r="C15" s="120">
        <v>-603789.50312999997</v>
      </c>
      <c r="D15" s="159">
        <f>ROUND('[3]KCPL-MO Revenue Analysis'!G185,2)</f>
        <v>142407.43</v>
      </c>
      <c r="E15" s="159">
        <f>ROUND('[3]KCPL-MO Revenue Analysis'!H185,2)</f>
        <v>198506.32</v>
      </c>
      <c r="F15" s="159">
        <f>ROUND('[3]KCPL-MO Revenue Analysis'!I185,2)</f>
        <v>276627.26</v>
      </c>
      <c r="G15" s="16">
        <f>ROUND('[3]KCPL-MO Revenue Analysis'!J185,2)</f>
        <v>288612.86</v>
      </c>
      <c r="H15" s="144">
        <f>ROUND('[3]KCPL-MO Revenue Analysis'!K185,2)</f>
        <v>251553.74</v>
      </c>
      <c r="I15" s="200">
        <f>ROUND('[3]KCPL-MO Revenue Analysis'!L185,2)</f>
        <v>222574.99</v>
      </c>
      <c r="J15" s="146">
        <f>'PCR Cycle 1'!J21*'TDR Cycle 2'!$M15</f>
        <v>193421.76632</v>
      </c>
      <c r="K15" s="55">
        <f>'PCR Cycle 1'!K21*'TDR Cycle 2'!$M15</f>
        <v>274370.98592000001</v>
      </c>
      <c r="L15" s="77">
        <f>'PCR Cycle 1'!L21*'TDR Cycle 2'!$M15</f>
        <v>305669.75095999998</v>
      </c>
      <c r="M15" s="88">
        <v>1.16E-3</v>
      </c>
      <c r="N15" s="4"/>
    </row>
    <row r="16" spans="1:35" x14ac:dyDescent="0.25">
      <c r="A16" s="62" t="s">
        <v>30</v>
      </c>
      <c r="C16" s="120">
        <v>-282469.79263839207</v>
      </c>
      <c r="D16" s="159">
        <f>ROUND('[3]KCPL-MO Revenue Analysis'!G186,2)</f>
        <v>79584.509999999995</v>
      </c>
      <c r="E16" s="159">
        <f>ROUND('[3]KCPL-MO Revenue Analysis'!H186,2)</f>
        <v>89538.31</v>
      </c>
      <c r="F16" s="159">
        <f>ROUND('[3]KCPL-MO Revenue Analysis'!I186,2)</f>
        <v>99981.74</v>
      </c>
      <c r="G16" s="16">
        <f>ROUND('[3]KCPL-MO Revenue Analysis'!J186,2)</f>
        <v>161426.95000000001</v>
      </c>
      <c r="H16" s="144">
        <f>ROUND('[3]KCPL-MO Revenue Analysis'!K186,2)</f>
        <v>230720.96</v>
      </c>
      <c r="I16" s="200">
        <f>ROUND('[3]KCPL-MO Revenue Analysis'!L186,2)</f>
        <v>225551.54</v>
      </c>
      <c r="J16" s="146">
        <f>'PCR Cycle 1'!J22*'TDR Cycle 2'!$M16</f>
        <v>210764.67773635284</v>
      </c>
      <c r="K16" s="55">
        <f>'PCR Cycle 1'!K22*'TDR Cycle 2'!$M16</f>
        <v>231644.76887664531</v>
      </c>
      <c r="L16" s="77">
        <f>'PCR Cycle 1'!L22*'TDR Cycle 2'!$M16</f>
        <v>235415.73536324172</v>
      </c>
      <c r="M16" s="88">
        <v>5.6999999999999998E-4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198"/>
      <c r="J17" s="72"/>
      <c r="K17" s="72"/>
      <c r="L17" s="13"/>
      <c r="N17" s="4"/>
    </row>
    <row r="18" spans="1:14" x14ac:dyDescent="0.25">
      <c r="A18" s="53" t="s">
        <v>89</v>
      </c>
      <c r="B18" s="53"/>
      <c r="C18" s="83"/>
      <c r="D18" s="72"/>
      <c r="E18" s="72"/>
      <c r="F18" s="72"/>
      <c r="G18" s="12"/>
      <c r="H18" s="72"/>
      <c r="I18" s="199"/>
      <c r="J18" s="72"/>
      <c r="K18" s="72"/>
      <c r="L18" s="13"/>
      <c r="M18" s="7"/>
    </row>
    <row r="19" spans="1:14" x14ac:dyDescent="0.25">
      <c r="A19" s="62" t="s">
        <v>29</v>
      </c>
      <c r="C19" s="125">
        <v>-4973475.3035997385</v>
      </c>
      <c r="D19" s="134">
        <f>+'[6]Monthly TD Calc'!P285</f>
        <v>2884428.5345423138</v>
      </c>
      <c r="E19" s="134">
        <f>+'[6]Monthly TD Calc'!Q285</f>
        <v>2786472.6287827203</v>
      </c>
      <c r="F19" s="148">
        <f>+'[6]Monthly TD Calc'!R285</f>
        <v>3901333.945663698</v>
      </c>
      <c r="G19" s="92">
        <f>+'[6]Monthly TD Calc'!S285</f>
        <v>4117683.6556096864</v>
      </c>
      <c r="H19" s="93">
        <f>+'[6]Monthly TD Calc'!T285</f>
        <v>3621465.2633807245</v>
      </c>
      <c r="I19" s="200">
        <f>+'[6]Monthly TD Calc'!U285</f>
        <v>3140082.7151308162</v>
      </c>
      <c r="J19" s="189">
        <f>+'[2]KCPL Monthly TD Calc'!V338</f>
        <v>2626710.2895660573</v>
      </c>
      <c r="K19" s="168">
        <f>+'[2]KCPL Monthly TD Calc'!W338</f>
        <v>3299632.0410235371</v>
      </c>
      <c r="L19" s="99"/>
      <c r="M19" s="75">
        <f>SUM(C19:K19)</f>
        <v>21404333.770099819</v>
      </c>
    </row>
    <row r="20" spans="1:14" x14ac:dyDescent="0.25">
      <c r="A20" s="62" t="s">
        <v>30</v>
      </c>
      <c r="C20" s="125">
        <v>-7059338.9199141702</v>
      </c>
      <c r="D20" s="134">
        <f>+'[6]Monthly TD Calc'!P286</f>
        <v>6525091.7732651113</v>
      </c>
      <c r="E20" s="134">
        <f>+'[6]Monthly TD Calc'!Q286</f>
        <v>5170241.2726275204</v>
      </c>
      <c r="F20" s="148">
        <f>+'[6]Monthly TD Calc'!R286</f>
        <v>5638389.9412095528</v>
      </c>
      <c r="G20" s="92">
        <f>+'[6]Monthly TD Calc'!S286</f>
        <v>6064928.9506365722</v>
      </c>
      <c r="H20" s="93">
        <f>+'[6]Monthly TD Calc'!T286</f>
        <v>5822352.1739910841</v>
      </c>
      <c r="I20" s="200">
        <f>+'[6]Monthly TD Calc'!U286</f>
        <v>6387899.5064356178</v>
      </c>
      <c r="J20" s="189">
        <f>+'[2]KCPL Monthly TD Calc'!V339</f>
        <v>6489537.0390723916</v>
      </c>
      <c r="K20" s="168">
        <f>+'[2]KCPL Monthly TD Calc'!W339</f>
        <v>6795882.0053746812</v>
      </c>
      <c r="L20" s="99"/>
      <c r="M20" s="75">
        <f>SUM(C20:K20)</f>
        <v>41834983.742698357</v>
      </c>
    </row>
    <row r="21" spans="1:14" x14ac:dyDescent="0.25">
      <c r="C21" s="83"/>
      <c r="D21" s="84"/>
      <c r="E21" s="84"/>
      <c r="F21" s="84"/>
      <c r="G21" s="83"/>
      <c r="H21" s="84"/>
      <c r="I21" s="198"/>
      <c r="J21" s="72"/>
      <c r="K21" s="72"/>
      <c r="L21" s="13"/>
    </row>
    <row r="22" spans="1:14" x14ac:dyDescent="0.25">
      <c r="A22" s="62" t="s">
        <v>94</v>
      </c>
      <c r="C22" s="50"/>
      <c r="D22" s="51"/>
      <c r="E22" s="51"/>
      <c r="F22" s="51"/>
      <c r="G22" s="50"/>
      <c r="H22" s="51"/>
      <c r="I22" s="201"/>
      <c r="J22" s="68"/>
      <c r="K22" s="68"/>
      <c r="L22" s="52"/>
    </row>
    <row r="23" spans="1:14" x14ac:dyDescent="0.25">
      <c r="A23" s="62" t="s">
        <v>29</v>
      </c>
      <c r="C23" s="120">
        <v>-403819.77</v>
      </c>
      <c r="D23" s="132">
        <f>ROUND('[6]Monthly TD Calc'!P318,2)</f>
        <v>192620.09</v>
      </c>
      <c r="E23" s="132">
        <f>ROUND('[6]Monthly TD Calc'!Q318,2)</f>
        <v>284258.78999999998</v>
      </c>
      <c r="F23" s="133">
        <f>ROUND('[6]Monthly TD Calc'!R318,2)</f>
        <v>408834.87</v>
      </c>
      <c r="G23" s="16">
        <f>ROUND('[6]Monthly TD Calc'!S318,2)</f>
        <v>436098.36</v>
      </c>
      <c r="H23" s="71">
        <f>ROUND('[6]Monthly TD Calc'!T318,2)</f>
        <v>376417.12</v>
      </c>
      <c r="I23" s="200">
        <f>ROUND('[6]Monthly TD Calc'!U318,2)</f>
        <v>205519.18</v>
      </c>
      <c r="J23" s="190">
        <f>ROUND('[2]KCPL Monthly TD Calc'!V317,2)</f>
        <v>180983.79</v>
      </c>
      <c r="K23" s="167">
        <f>ROUND('[2]KCPL Monthly TD Calc'!W317,2)</f>
        <v>197708.49</v>
      </c>
      <c r="L23" s="98"/>
    </row>
    <row r="24" spans="1:14" x14ac:dyDescent="0.25">
      <c r="A24" s="62" t="s">
        <v>30</v>
      </c>
      <c r="C24" s="120">
        <v>-344898.56</v>
      </c>
      <c r="D24" s="132">
        <f>ROUND('[6]Monthly TD Calc'!P319,2)</f>
        <v>284537.77</v>
      </c>
      <c r="E24" s="132">
        <f>ROUND('[6]Monthly TD Calc'!Q319,2)</f>
        <v>298598.84999999998</v>
      </c>
      <c r="F24" s="133">
        <f>ROUND('[6]Monthly TD Calc'!R319,2)</f>
        <v>316777.48</v>
      </c>
      <c r="G24" s="16">
        <f>ROUND('[6]Monthly TD Calc'!S319,2)</f>
        <v>337191.97</v>
      </c>
      <c r="H24" s="71">
        <f>ROUND('[6]Monthly TD Calc'!T319,2)</f>
        <v>330154.13</v>
      </c>
      <c r="I24" s="200">
        <f>ROUND('[6]Monthly TD Calc'!U319,2)</f>
        <v>273473.25</v>
      </c>
      <c r="J24" s="190">
        <f>ROUND('[2]KCPL Monthly TD Calc'!V318,2)</f>
        <v>292069.31</v>
      </c>
      <c r="K24" s="167">
        <f>ROUND('[2]KCPL Monthly TD Calc'!W318,2)</f>
        <v>292236.71999999997</v>
      </c>
      <c r="L24" s="98"/>
      <c r="N24" s="63"/>
    </row>
    <row r="25" spans="1:14" x14ac:dyDescent="0.25">
      <c r="C25" s="122"/>
      <c r="D25" s="18"/>
      <c r="E25" s="18"/>
      <c r="F25" s="18"/>
      <c r="G25" s="114"/>
      <c r="H25" s="18"/>
      <c r="I25" s="196"/>
      <c r="J25" s="72"/>
      <c r="K25" s="72"/>
      <c r="L25" s="13"/>
    </row>
    <row r="26" spans="1:14" ht="15.75" thickBot="1" x14ac:dyDescent="0.3">
      <c r="A26" s="3" t="s">
        <v>18</v>
      </c>
      <c r="B26" s="3"/>
      <c r="C26" s="126">
        <v>-3595.28</v>
      </c>
      <c r="D26" s="159">
        <v>1813.92</v>
      </c>
      <c r="E26" s="159">
        <v>2497.73</v>
      </c>
      <c r="F26" s="160">
        <v>3228.8900000000003</v>
      </c>
      <c r="G26" s="39">
        <v>3935.68</v>
      </c>
      <c r="H26" s="145">
        <v>4515.8</v>
      </c>
      <c r="I26" s="202">
        <v>4795.5200000000004</v>
      </c>
      <c r="J26" s="191">
        <v>4907.99</v>
      </c>
      <c r="K26" s="169">
        <v>4971.1100000000006</v>
      </c>
      <c r="L26" s="101"/>
    </row>
    <row r="27" spans="1:14" x14ac:dyDescent="0.25">
      <c r="C27" s="80"/>
      <c r="D27" s="82"/>
      <c r="E27" s="82"/>
      <c r="F27" s="47"/>
      <c r="G27" s="80"/>
      <c r="H27" s="47"/>
      <c r="I27" s="203"/>
      <c r="J27" s="48"/>
      <c r="K27" s="48"/>
      <c r="L27" s="76"/>
    </row>
    <row r="28" spans="1:14" x14ac:dyDescent="0.25">
      <c r="A28" s="62" t="s">
        <v>68</v>
      </c>
      <c r="C28" s="81"/>
      <c r="D28" s="49"/>
      <c r="E28" s="49"/>
      <c r="F28" s="49"/>
      <c r="G28" s="81"/>
      <c r="H28" s="49"/>
      <c r="I28" s="204"/>
      <c r="J28" s="48"/>
      <c r="K28" s="48"/>
      <c r="L28" s="76"/>
    </row>
    <row r="29" spans="1:14" x14ac:dyDescent="0.25">
      <c r="A29" s="62" t="s">
        <v>29</v>
      </c>
      <c r="C29" s="123">
        <f t="shared" ref="C29:L30" si="7">C23-C15</f>
        <v>199969.73312999995</v>
      </c>
      <c r="D29" s="55">
        <f t="shared" si="7"/>
        <v>50212.66</v>
      </c>
      <c r="E29" s="55">
        <f t="shared" si="7"/>
        <v>85752.469999999972</v>
      </c>
      <c r="F29" s="131">
        <f t="shared" si="7"/>
        <v>132207.60999999999</v>
      </c>
      <c r="G29" s="54">
        <f t="shared" si="7"/>
        <v>147485.5</v>
      </c>
      <c r="H29" s="55">
        <f t="shared" si="7"/>
        <v>124863.38</v>
      </c>
      <c r="I29" s="77">
        <f t="shared" si="7"/>
        <v>-17055.809999999998</v>
      </c>
      <c r="J29" s="146">
        <f t="shared" si="7"/>
        <v>-12437.976319999987</v>
      </c>
      <c r="K29" s="55">
        <f t="shared" si="7"/>
        <v>-76662.495920000016</v>
      </c>
      <c r="L29" s="77">
        <f t="shared" si="7"/>
        <v>-305669.75095999998</v>
      </c>
    </row>
    <row r="30" spans="1:14" x14ac:dyDescent="0.25">
      <c r="A30" s="62" t="s">
        <v>30</v>
      </c>
      <c r="C30" s="123">
        <f t="shared" si="7"/>
        <v>-62428.767361607926</v>
      </c>
      <c r="D30" s="55">
        <f t="shared" si="7"/>
        <v>204953.26</v>
      </c>
      <c r="E30" s="55">
        <f t="shared" si="7"/>
        <v>209060.53999999998</v>
      </c>
      <c r="F30" s="131">
        <f t="shared" si="7"/>
        <v>216795.74</v>
      </c>
      <c r="G30" s="54">
        <f t="shared" si="7"/>
        <v>175765.01999999996</v>
      </c>
      <c r="H30" s="55">
        <f t="shared" si="7"/>
        <v>99433.170000000013</v>
      </c>
      <c r="I30" s="77">
        <f t="shared" si="7"/>
        <v>47921.709999999992</v>
      </c>
      <c r="J30" s="146">
        <f t="shared" si="7"/>
        <v>81304.63226364716</v>
      </c>
      <c r="K30" s="55">
        <f t="shared" si="7"/>
        <v>60591.951123354665</v>
      </c>
      <c r="L30" s="77">
        <f t="shared" si="7"/>
        <v>-235415.73536324172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ht="15.75" thickBot="1" x14ac:dyDescent="0.3">
      <c r="A32" s="62" t="s">
        <v>69</v>
      </c>
      <c r="C32" s="122"/>
      <c r="D32" s="17"/>
      <c r="E32" s="17"/>
      <c r="F32" s="17"/>
      <c r="G32" s="10"/>
      <c r="H32" s="17"/>
      <c r="I32" s="11"/>
      <c r="J32" s="17"/>
      <c r="K32" s="17"/>
      <c r="L32" s="11"/>
    </row>
    <row r="33" spans="1:12" x14ac:dyDescent="0.25">
      <c r="A33" s="62" t="s">
        <v>29</v>
      </c>
      <c r="B33" s="139">
        <v>188549.58687</v>
      </c>
      <c r="C33" s="123">
        <f>+B33+C29+B38</f>
        <v>388519.31999999995</v>
      </c>
      <c r="D33" s="55">
        <f t="shared" ref="D33:L33" si="8">+C33+D29+C38</f>
        <v>437152.52999999997</v>
      </c>
      <c r="E33" s="55">
        <f t="shared" si="8"/>
        <v>523681.61999999994</v>
      </c>
      <c r="F33" s="131">
        <f t="shared" si="8"/>
        <v>656858.35</v>
      </c>
      <c r="G33" s="54">
        <f t="shared" si="8"/>
        <v>805563.78</v>
      </c>
      <c r="H33" s="55">
        <f t="shared" si="8"/>
        <v>931940.70000000007</v>
      </c>
      <c r="I33" s="77">
        <f t="shared" si="8"/>
        <v>916685.50000000012</v>
      </c>
      <c r="J33" s="146">
        <f t="shared" si="8"/>
        <v>906165.95368000015</v>
      </c>
      <c r="K33" s="55">
        <f t="shared" si="8"/>
        <v>831395.28776000009</v>
      </c>
      <c r="L33" s="77">
        <f t="shared" si="8"/>
        <v>527528.91680000012</v>
      </c>
    </row>
    <row r="34" spans="1:12" ht="15.75" thickBot="1" x14ac:dyDescent="0.3">
      <c r="A34" s="62" t="s">
        <v>30</v>
      </c>
      <c r="B34" s="140">
        <v>512317.15736160788</v>
      </c>
      <c r="C34" s="123">
        <f>+B34+C30+B39</f>
        <v>449888.38999999996</v>
      </c>
      <c r="D34" s="55">
        <f t="shared" ref="D34:L34" si="9">+C34+D30+C39</f>
        <v>652825.81999999995</v>
      </c>
      <c r="E34" s="55">
        <f t="shared" si="9"/>
        <v>862923.65999999992</v>
      </c>
      <c r="F34" s="131">
        <f t="shared" si="9"/>
        <v>1081248.0299999998</v>
      </c>
      <c r="G34" s="54">
        <f t="shared" si="9"/>
        <v>1259022.0099999998</v>
      </c>
      <c r="H34" s="55">
        <f t="shared" si="9"/>
        <v>1360877.3199999996</v>
      </c>
      <c r="I34" s="77">
        <f t="shared" si="9"/>
        <v>1411514.2199999995</v>
      </c>
      <c r="J34" s="146">
        <f t="shared" si="9"/>
        <v>1495695.9422636467</v>
      </c>
      <c r="K34" s="55">
        <f t="shared" si="9"/>
        <v>1559304.9233870015</v>
      </c>
      <c r="L34" s="77">
        <f t="shared" si="9"/>
        <v>1327059.5880237597</v>
      </c>
    </row>
    <row r="35" spans="1:12" x14ac:dyDescent="0.25">
      <c r="C35" s="122"/>
      <c r="D35" s="17"/>
      <c r="E35" s="17"/>
      <c r="F35" s="17"/>
      <c r="G35" s="10"/>
      <c r="H35" s="17"/>
      <c r="I35" s="11"/>
      <c r="J35" s="17"/>
      <c r="K35" s="17"/>
      <c r="L35" s="11"/>
    </row>
    <row r="36" spans="1:12" x14ac:dyDescent="0.25">
      <c r="A36" s="53" t="s">
        <v>65</v>
      </c>
      <c r="B36" s="53"/>
      <c r="C36" s="127"/>
      <c r="D36" s="102">
        <f>+'PCR Cycle 1'!D38</f>
        <v>1.8848000000000001E-3</v>
      </c>
      <c r="E36" s="102">
        <f>+'PCR Cycle 1'!E38</f>
        <v>2.0156100000000001E-3</v>
      </c>
      <c r="F36" s="102">
        <f>+'PCR Cycle 1'!F38</f>
        <v>2.0650299999999998E-3</v>
      </c>
      <c r="G36" s="103">
        <f>+'PCR Cycle 1'!G38</f>
        <v>2.0681900000000001E-3</v>
      </c>
      <c r="H36" s="102">
        <f>+'PCR Cycle 1'!H38</f>
        <v>2.0708300000000001E-3</v>
      </c>
      <c r="I36" s="115">
        <f>+'PCR Cycle 1'!I38</f>
        <v>2.0734999999999998E-3</v>
      </c>
      <c r="J36" s="102">
        <f>+'PCR Cycle 1'!J38</f>
        <v>2.0734999999999998E-3</v>
      </c>
      <c r="K36" s="102">
        <f>+'PCR Cycle 1'!K38</f>
        <v>2.0734999999999998E-3</v>
      </c>
      <c r="L36" s="104"/>
    </row>
    <row r="37" spans="1:12" x14ac:dyDescent="0.25">
      <c r="A37" s="53" t="s">
        <v>44</v>
      </c>
      <c r="B37" s="53"/>
      <c r="C37" s="129"/>
      <c r="D37" s="102"/>
      <c r="E37" s="102"/>
      <c r="F37" s="102"/>
      <c r="G37" s="103"/>
      <c r="H37" s="102"/>
      <c r="I37" s="104"/>
      <c r="J37" s="102"/>
      <c r="K37" s="102"/>
      <c r="L37" s="104"/>
    </row>
    <row r="38" spans="1:12" x14ac:dyDescent="0.25">
      <c r="A38" s="62" t="s">
        <v>29</v>
      </c>
      <c r="C38" s="123">
        <v>-1579.45</v>
      </c>
      <c r="D38" s="55">
        <f t="shared" ref="D38" si="10">ROUND((C33+C38+D29/2)*D$36,2)</f>
        <v>776.62</v>
      </c>
      <c r="E38" s="55">
        <f t="shared" ref="E38:E39" si="11">ROUND((D33+D38+E29/2)*E$36,2)</f>
        <v>969.12</v>
      </c>
      <c r="F38" s="131">
        <f t="shared" ref="F38:F39" si="12">ROUND((E33+E38+F29/2)*F$36,2)</f>
        <v>1219.93</v>
      </c>
      <c r="G38" s="54">
        <f t="shared" ref="G38:G39" si="13">ROUND((F33+F38+G29/2)*G$36,2)</f>
        <v>1513.54</v>
      </c>
      <c r="H38" s="146">
        <f t="shared" ref="H38:I39" si="14">ROUND((G33+G38+H29/2)*H$36,2)</f>
        <v>1800.61</v>
      </c>
      <c r="I38" s="77">
        <f t="shared" si="14"/>
        <v>1918.43</v>
      </c>
      <c r="J38" s="192">
        <f t="shared" ref="J38:J39" si="15">ROUND((I33+I38+J29/2)*J$36,2)</f>
        <v>1891.83</v>
      </c>
      <c r="K38" s="131">
        <f t="shared" ref="K38:K39" si="16">ROUND((J33+J38+K29/2)*K$36,2)</f>
        <v>1803.38</v>
      </c>
      <c r="L38" s="77">
        <f t="shared" ref="L38:L39" si="17">ROUND((K33+K38+L29/2)*L$36,2)</f>
        <v>0</v>
      </c>
    </row>
    <row r="39" spans="1:12" ht="15.75" thickBot="1" x14ac:dyDescent="0.3">
      <c r="A39" s="62" t="s">
        <v>30</v>
      </c>
      <c r="C39" s="123">
        <v>-2015.8300000000002</v>
      </c>
      <c r="D39" s="55">
        <f>ROUND((C34+C39+D30/2)*D$36,2)</f>
        <v>1037.3</v>
      </c>
      <c r="E39" s="55">
        <f t="shared" si="11"/>
        <v>1528.63</v>
      </c>
      <c r="F39" s="131">
        <f t="shared" si="12"/>
        <v>2008.96</v>
      </c>
      <c r="G39" s="54">
        <f t="shared" si="13"/>
        <v>2422.14</v>
      </c>
      <c r="H39" s="146">
        <f t="shared" si="14"/>
        <v>2715.19</v>
      </c>
      <c r="I39" s="77">
        <f t="shared" si="14"/>
        <v>2877.09</v>
      </c>
      <c r="J39" s="192">
        <f t="shared" si="15"/>
        <v>3017.03</v>
      </c>
      <c r="K39" s="131">
        <f t="shared" si="16"/>
        <v>3170.4</v>
      </c>
      <c r="L39" s="77">
        <f t="shared" si="17"/>
        <v>0</v>
      </c>
    </row>
    <row r="40" spans="1:12" ht="16.5" thickTop="1" thickBot="1" x14ac:dyDescent="0.3">
      <c r="A40" s="70" t="s">
        <v>25</v>
      </c>
      <c r="B40" s="70"/>
      <c r="C40" s="130">
        <v>0</v>
      </c>
      <c r="D40" s="56">
        <f t="shared" ref="D40:L40" si="18">SUM(D38:D39)+SUM(D33:D34)-D43</f>
        <v>0</v>
      </c>
      <c r="E40" s="56">
        <f t="shared" si="18"/>
        <v>0</v>
      </c>
      <c r="F40" s="66">
        <f t="shared" si="18"/>
        <v>0</v>
      </c>
      <c r="G40" s="67">
        <f t="shared" si="18"/>
        <v>0</v>
      </c>
      <c r="H40" s="56">
        <f t="shared" si="18"/>
        <v>0</v>
      </c>
      <c r="I40" s="78">
        <f t="shared" si="18"/>
        <v>0</v>
      </c>
      <c r="J40" s="193">
        <f t="shared" si="18"/>
        <v>0</v>
      </c>
      <c r="K40" s="66">
        <f t="shared" si="18"/>
        <v>0</v>
      </c>
      <c r="L40" s="78">
        <f t="shared" si="18"/>
        <v>0</v>
      </c>
    </row>
    <row r="41" spans="1:12" ht="16.5" thickTop="1" thickBot="1" x14ac:dyDescent="0.3">
      <c r="A41" s="70" t="s">
        <v>26</v>
      </c>
      <c r="B41" s="70"/>
      <c r="C41" s="130">
        <v>0</v>
      </c>
      <c r="D41" s="56">
        <f>SUM(D38:D39)-D26</f>
        <v>0</v>
      </c>
      <c r="E41" s="56">
        <f t="shared" ref="E41:I41" si="19">SUM(E38:E39)-E26</f>
        <v>1.999999999998181E-2</v>
      </c>
      <c r="F41" s="66">
        <f t="shared" ref="F41:H41" si="20">SUM(F38:F39)-F26</f>
        <v>0</v>
      </c>
      <c r="G41" s="67">
        <f t="shared" si="20"/>
        <v>0</v>
      </c>
      <c r="H41" s="56">
        <f t="shared" si="20"/>
        <v>0</v>
      </c>
      <c r="I41" s="78">
        <f t="shared" si="19"/>
        <v>0</v>
      </c>
      <c r="J41" s="194">
        <f t="shared" ref="J41:L41" si="21">SUM(J38:J39)-J26</f>
        <v>0.87000000000080036</v>
      </c>
      <c r="K41" s="56">
        <f t="shared" si="21"/>
        <v>2.6700000000000728</v>
      </c>
      <c r="L41" s="56">
        <f t="shared" si="21"/>
        <v>0</v>
      </c>
    </row>
    <row r="42" spans="1:12" ht="16.5" thickTop="1" thickBot="1" x14ac:dyDescent="0.3">
      <c r="C42" s="122"/>
      <c r="D42" s="17"/>
      <c r="E42" s="17"/>
      <c r="F42" s="17"/>
      <c r="G42" s="10"/>
      <c r="H42" s="17"/>
      <c r="I42" s="11"/>
      <c r="J42" s="17"/>
      <c r="K42" s="17"/>
      <c r="L42" s="11"/>
    </row>
    <row r="43" spans="1:12" ht="15.75" thickBot="1" x14ac:dyDescent="0.3">
      <c r="A43" s="62" t="s">
        <v>42</v>
      </c>
      <c r="B43" s="142">
        <v>700866.74423160788</v>
      </c>
      <c r="C43" s="123">
        <f>(C12-SUM(C15:C16))+SUM(C38:C39)+B43</f>
        <v>834812.42999999993</v>
      </c>
      <c r="D43" s="55">
        <f t="shared" ref="D43:L43" si="22">(D12-SUM(D15:D16))+SUM(D38:D39)+C43</f>
        <v>1091792.27</v>
      </c>
      <c r="E43" s="55">
        <f t="shared" si="22"/>
        <v>1389103.0299999998</v>
      </c>
      <c r="F43" s="131">
        <f t="shared" si="22"/>
        <v>1741335.2699999998</v>
      </c>
      <c r="G43" s="54">
        <f t="shared" si="22"/>
        <v>2068521.4699999997</v>
      </c>
      <c r="H43" s="55">
        <f t="shared" si="22"/>
        <v>2297333.8199999998</v>
      </c>
      <c r="I43" s="77">
        <f t="shared" si="22"/>
        <v>2332995.2399999998</v>
      </c>
      <c r="J43" s="192">
        <f t="shared" si="22"/>
        <v>2406770.7559436471</v>
      </c>
      <c r="K43" s="131">
        <f t="shared" si="22"/>
        <v>2395673.9911470017</v>
      </c>
      <c r="L43" s="77">
        <f t="shared" si="22"/>
        <v>1854588.5048237601</v>
      </c>
    </row>
    <row r="44" spans="1:12" x14ac:dyDescent="0.25">
      <c r="A44" s="62" t="s">
        <v>14</v>
      </c>
      <c r="C44" s="143"/>
      <c r="D44" s="17"/>
      <c r="E44" s="17"/>
      <c r="F44" s="17"/>
      <c r="G44" s="10"/>
      <c r="H44" s="17"/>
      <c r="I44" s="11"/>
      <c r="J44" s="17"/>
      <c r="K44" s="17"/>
      <c r="L44" s="11"/>
    </row>
    <row r="45" spans="1:12" ht="15.75" thickBot="1" x14ac:dyDescent="0.3">
      <c r="A45" s="51"/>
      <c r="B45" s="51"/>
      <c r="C45" s="173"/>
      <c r="D45" s="58"/>
      <c r="E45" s="58"/>
      <c r="F45" s="58"/>
      <c r="G45" s="57"/>
      <c r="H45" s="58"/>
      <c r="I45" s="59"/>
      <c r="J45" s="58"/>
      <c r="K45" s="58"/>
      <c r="L45" s="59"/>
    </row>
    <row r="47" spans="1:12" x14ac:dyDescent="0.25">
      <c r="A47" s="85" t="s">
        <v>13</v>
      </c>
      <c r="B47" s="85"/>
      <c r="C47" s="85"/>
    </row>
    <row r="48" spans="1:12" ht="34.5" customHeight="1" x14ac:dyDescent="0.25">
      <c r="A48" s="238" t="s">
        <v>147</v>
      </c>
      <c r="B48" s="238"/>
      <c r="C48" s="238"/>
      <c r="D48" s="238"/>
      <c r="E48" s="238"/>
      <c r="F48" s="238"/>
      <c r="G48" s="238"/>
      <c r="H48" s="238"/>
      <c r="I48" s="238"/>
      <c r="J48" s="170"/>
      <c r="K48" s="170"/>
      <c r="L48" s="170"/>
    </row>
    <row r="49" spans="1:12" ht="42.75" customHeight="1" x14ac:dyDescent="0.25">
      <c r="A49" s="232" t="s">
        <v>138</v>
      </c>
      <c r="B49" s="232"/>
      <c r="C49" s="232"/>
      <c r="D49" s="232"/>
      <c r="E49" s="232"/>
      <c r="F49" s="232"/>
      <c r="G49" s="232"/>
      <c r="H49" s="232"/>
      <c r="I49" s="232"/>
      <c r="J49" s="232"/>
      <c r="K49" s="170"/>
      <c r="L49" s="170"/>
    </row>
    <row r="50" spans="1:12" ht="33.75" customHeight="1" x14ac:dyDescent="0.25">
      <c r="A50" s="238" t="s">
        <v>148</v>
      </c>
      <c r="B50" s="238"/>
      <c r="C50" s="238"/>
      <c r="D50" s="238"/>
      <c r="E50" s="238"/>
      <c r="F50" s="238"/>
      <c r="G50" s="238"/>
      <c r="H50" s="238"/>
      <c r="I50" s="238"/>
      <c r="J50" s="170"/>
      <c r="K50" s="170"/>
      <c r="L50" s="170"/>
    </row>
    <row r="51" spans="1:12" x14ac:dyDescent="0.25">
      <c r="A51" s="3" t="s">
        <v>91</v>
      </c>
      <c r="B51" s="3"/>
      <c r="C51" s="3"/>
    </row>
    <row r="52" spans="1:12" x14ac:dyDescent="0.25">
      <c r="A52" s="79" t="s">
        <v>135</v>
      </c>
      <c r="B52" s="3"/>
      <c r="C52" s="3"/>
    </row>
    <row r="53" spans="1:12" x14ac:dyDescent="0.25">
      <c r="A53" s="3" t="s">
        <v>95</v>
      </c>
      <c r="B53" s="3"/>
      <c r="C53" s="3"/>
    </row>
    <row r="54" spans="1:12" x14ac:dyDescent="0.25">
      <c r="A54" s="3"/>
      <c r="B54" s="3"/>
      <c r="C54" s="3"/>
    </row>
  </sheetData>
  <mergeCells count="6">
    <mergeCell ref="A50:I50"/>
    <mergeCell ref="D10:F10"/>
    <mergeCell ref="A48:I48"/>
    <mergeCell ref="A49:J49"/>
    <mergeCell ref="G10:I10"/>
    <mergeCell ref="J10:L10"/>
  </mergeCells>
  <pageMargins left="0.2" right="0.2" top="0.75" bottom="0.25" header="0.3" footer="0.3"/>
  <pageSetup scale="56" orientation="landscape" r:id="rId1"/>
  <headerFooter>
    <oddHeader>&amp;C&amp;F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workbookViewId="0">
      <selection activeCell="H1" sqref="H1"/>
    </sheetView>
  </sheetViews>
  <sheetFormatPr defaultRowHeight="15" x14ac:dyDescent="0.25"/>
  <cols>
    <col min="1" max="1" width="58.140625" customWidth="1"/>
    <col min="2" max="2" width="14.28515625" bestFit="1" customWidth="1"/>
    <col min="3" max="3" width="14.28515625" style="62" customWidth="1"/>
    <col min="4" max="4" width="13.28515625" bestFit="1" customWidth="1"/>
  </cols>
  <sheetData>
    <row r="1" spans="1:5" x14ac:dyDescent="0.25">
      <c r="A1" s="79" t="s">
        <v>97</v>
      </c>
      <c r="B1" s="62"/>
      <c r="D1" s="62"/>
      <c r="E1" s="62"/>
    </row>
    <row r="2" spans="1:5" x14ac:dyDescent="0.25">
      <c r="A2" s="9" t="s">
        <v>100</v>
      </c>
      <c r="B2" s="62"/>
      <c r="D2" s="62"/>
      <c r="E2" s="62"/>
    </row>
    <row r="3" spans="1:5" ht="45.75" customHeight="1" x14ac:dyDescent="0.25">
      <c r="A3" s="62"/>
      <c r="B3" s="226" t="s">
        <v>98</v>
      </c>
      <c r="C3" s="226"/>
      <c r="D3" s="226"/>
      <c r="E3" s="62"/>
    </row>
    <row r="4" spans="1:5" x14ac:dyDescent="0.25">
      <c r="A4" s="62"/>
      <c r="D4" s="64"/>
      <c r="E4" s="62"/>
    </row>
    <row r="5" spans="1:5" s="62" customFormat="1" x14ac:dyDescent="0.25">
      <c r="A5" s="185" t="s">
        <v>103</v>
      </c>
      <c r="B5" s="86"/>
      <c r="C5" s="86"/>
      <c r="D5" s="183">
        <f>+'[7]PI Annuity Calc'!$C$4</f>
        <v>9917518.1799999997</v>
      </c>
    </row>
    <row r="6" spans="1:5" s="62" customFormat="1" x14ac:dyDescent="0.25">
      <c r="A6" s="185"/>
      <c r="B6" s="86"/>
      <c r="C6" s="86"/>
      <c r="D6" s="183"/>
    </row>
    <row r="7" spans="1:5" s="62" customFormat="1" x14ac:dyDescent="0.25">
      <c r="A7" s="185" t="s">
        <v>104</v>
      </c>
      <c r="B7" s="86"/>
      <c r="C7" s="86"/>
      <c r="D7" s="183">
        <f>ROUND('[7]PI Annuity Calc'!$E$10,2)</f>
        <v>10412605.24</v>
      </c>
    </row>
    <row r="8" spans="1:5" s="62" customFormat="1" x14ac:dyDescent="0.25">
      <c r="A8" s="22"/>
      <c r="B8" s="86"/>
      <c r="C8" s="86"/>
      <c r="D8" s="183"/>
    </row>
    <row r="9" spans="1:5" s="62" customFormat="1" x14ac:dyDescent="0.25">
      <c r="A9" s="185" t="s">
        <v>107</v>
      </c>
      <c r="B9" s="86"/>
      <c r="C9" s="86"/>
      <c r="D9" s="183">
        <f>ROUND(D7/3,2)</f>
        <v>3470868.41</v>
      </c>
    </row>
    <row r="10" spans="1:5" s="62" customFormat="1" x14ac:dyDescent="0.25">
      <c r="A10" s="22"/>
      <c r="B10" s="86"/>
      <c r="C10" s="86"/>
      <c r="D10" s="183"/>
    </row>
    <row r="11" spans="1:5" s="62" customFormat="1" ht="30" x14ac:dyDescent="0.25">
      <c r="A11" s="22"/>
      <c r="B11" s="86" t="s">
        <v>108</v>
      </c>
      <c r="C11" s="86" t="s">
        <v>109</v>
      </c>
      <c r="D11" s="180"/>
    </row>
    <row r="12" spans="1:5" x14ac:dyDescent="0.25">
      <c r="A12" s="22" t="s">
        <v>29</v>
      </c>
      <c r="B12" s="93">
        <f>+'[7]kWh Savings Alloc'!B20</f>
        <v>55891906.5</v>
      </c>
      <c r="C12" s="181">
        <f>+B12/$B$14</f>
        <v>0.29573570798660664</v>
      </c>
      <c r="D12" s="36">
        <f>ROUND($D$9*C12,2)</f>
        <v>1026459.73</v>
      </c>
      <c r="E12" s="4"/>
    </row>
    <row r="13" spans="1:5" x14ac:dyDescent="0.25">
      <c r="A13" s="22" t="s">
        <v>30</v>
      </c>
      <c r="B13" s="93">
        <f>+'[7]kWh Savings Alloc'!B21</f>
        <v>133100849.5</v>
      </c>
      <c r="C13" s="181">
        <f>+B13/$B$14</f>
        <v>0.70426429201339336</v>
      </c>
      <c r="D13" s="36">
        <f>ROUND($D$9*C13,2)</f>
        <v>2444408.6800000002</v>
      </c>
      <c r="E13" s="4"/>
    </row>
    <row r="14" spans="1:5" ht="15.75" thickBot="1" x14ac:dyDescent="0.3">
      <c r="A14" s="22" t="s">
        <v>6</v>
      </c>
      <c r="B14" s="35">
        <f>SUM(B12:B13)</f>
        <v>188992756</v>
      </c>
      <c r="C14" s="182">
        <f>SUM(C12:C13)</f>
        <v>1</v>
      </c>
      <c r="D14" s="24">
        <f>SUM(D12:D13)</f>
        <v>3470868.41</v>
      </c>
      <c r="E14" s="4"/>
    </row>
    <row r="15" spans="1:5" ht="16.5" thickTop="1" thickBot="1" x14ac:dyDescent="0.3">
      <c r="A15" s="62"/>
      <c r="B15" s="33" t="s">
        <v>12</v>
      </c>
      <c r="C15" s="33"/>
      <c r="D15" s="21">
        <f>ROUND(D7/3,2)-D14</f>
        <v>0</v>
      </c>
      <c r="E15" s="2"/>
    </row>
    <row r="16" spans="1:5" ht="15.75" thickTop="1" x14ac:dyDescent="0.25">
      <c r="A16" s="62"/>
      <c r="B16" s="62"/>
      <c r="D16" s="62"/>
      <c r="E16" s="4"/>
    </row>
    <row r="17" spans="1:5" x14ac:dyDescent="0.25">
      <c r="A17" s="62"/>
      <c r="B17" s="62"/>
      <c r="D17" s="62"/>
      <c r="E17" s="4"/>
    </row>
    <row r="18" spans="1:5" x14ac:dyDescent="0.25">
      <c r="A18" s="62"/>
      <c r="B18" s="62"/>
      <c r="D18" s="62"/>
      <c r="E18" s="62"/>
    </row>
    <row r="19" spans="1:5" x14ac:dyDescent="0.25">
      <c r="A19" s="62"/>
      <c r="B19" s="62"/>
      <c r="D19" s="62"/>
      <c r="E19" s="62"/>
    </row>
    <row r="20" spans="1:5" x14ac:dyDescent="0.25">
      <c r="A20" s="62"/>
      <c r="B20" s="62"/>
      <c r="D20" s="62"/>
      <c r="E20" s="62"/>
    </row>
    <row r="21" spans="1:5" x14ac:dyDescent="0.25">
      <c r="A21" s="69" t="s">
        <v>13</v>
      </c>
      <c r="B21" s="62"/>
      <c r="D21" s="62"/>
      <c r="E21" s="62"/>
    </row>
    <row r="22" spans="1:5" x14ac:dyDescent="0.25">
      <c r="A22" s="3" t="s">
        <v>110</v>
      </c>
      <c r="B22" s="62"/>
      <c r="D22" s="62"/>
      <c r="E22" s="62"/>
    </row>
    <row r="23" spans="1:5" s="62" customFormat="1" x14ac:dyDescent="0.25">
      <c r="A23" s="3" t="s">
        <v>111</v>
      </c>
    </row>
    <row r="24" spans="1:5" s="62" customFormat="1" x14ac:dyDescent="0.25">
      <c r="A24" s="3" t="s">
        <v>106</v>
      </c>
    </row>
    <row r="25" spans="1:5" x14ac:dyDescent="0.25">
      <c r="A25" s="3" t="s">
        <v>112</v>
      </c>
      <c r="B25" s="62"/>
      <c r="D25" s="62"/>
      <c r="E25" s="62"/>
    </row>
    <row r="26" spans="1:5" s="62" customFormat="1" x14ac:dyDescent="0.25">
      <c r="A26" s="3" t="s">
        <v>105</v>
      </c>
    </row>
  </sheetData>
  <mergeCells count="1">
    <mergeCell ref="B3:D3"/>
  </mergeCells>
  <pageMargins left="0.45" right="0.45" top="0.5" bottom="0.5" header="0.3" footer="0.3"/>
  <pageSetup scale="88" orientation="landscape" r:id="rId1"/>
  <headerFooter>
    <oddHeader>&amp;C&amp;F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0"/>
  <sheetViews>
    <sheetView workbookViewId="0">
      <selection activeCell="H1" sqref="H1"/>
    </sheetView>
  </sheetViews>
  <sheetFormatPr defaultRowHeight="15" x14ac:dyDescent="0.25"/>
  <cols>
    <col min="1" max="1" width="37.7109375" style="62" customWidth="1"/>
    <col min="2" max="2" width="12.28515625" style="62" bestFit="1" customWidth="1"/>
    <col min="3" max="3" width="12.42578125" style="62" bestFit="1" customWidth="1"/>
    <col min="4" max="4" width="15.42578125" style="62" customWidth="1"/>
    <col min="5" max="5" width="15.85546875" style="62" bestFit="1" customWidth="1"/>
    <col min="6" max="6" width="12.28515625" style="62" bestFit="1" customWidth="1"/>
    <col min="7" max="8" width="13.28515625" style="62" bestFit="1" customWidth="1"/>
    <col min="9" max="9" width="12.28515625" style="62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style="62" bestFit="1" customWidth="1"/>
    <col min="14" max="14" width="16" style="62" bestFit="1" customWidth="1"/>
    <col min="15" max="15" width="17.85546875" style="62" customWidth="1"/>
    <col min="16" max="16" width="15.28515625" style="62" bestFit="1" customWidth="1"/>
    <col min="17" max="17" width="17.42578125" style="62" bestFit="1" customWidth="1"/>
    <col min="18" max="18" width="16.28515625" style="62" bestFit="1" customWidth="1"/>
    <col min="19" max="19" width="15.28515625" style="62" bestFit="1" customWidth="1"/>
    <col min="20" max="20" width="12.42578125" style="62" customWidth="1"/>
    <col min="21" max="22" width="14.28515625" style="62" bestFit="1" customWidth="1"/>
    <col min="23" max="16384" width="9.140625" style="62"/>
  </cols>
  <sheetData>
    <row r="1" spans="1:35" x14ac:dyDescent="0.25">
      <c r="A1" s="3" t="str">
        <f>+PPC!A1</f>
        <v>Kansas City Power &amp; Light Company - DSIM Rider Update Filed 11/30/2017</v>
      </c>
      <c r="B1" s="3"/>
      <c r="C1" s="3"/>
    </row>
    <row r="2" spans="1:35" x14ac:dyDescent="0.25">
      <c r="D2" s="3" t="s">
        <v>115</v>
      </c>
    </row>
    <row r="3" spans="1:35" ht="30" x14ac:dyDescent="0.25">
      <c r="D3" s="64" t="s">
        <v>62</v>
      </c>
      <c r="E3" s="86" t="s">
        <v>77</v>
      </c>
      <c r="F3" s="64" t="s">
        <v>3</v>
      </c>
      <c r="G3" s="86" t="s">
        <v>71</v>
      </c>
      <c r="H3" s="64" t="s">
        <v>11</v>
      </c>
      <c r="I3" s="64" t="s">
        <v>78</v>
      </c>
      <c r="S3" s="64"/>
    </row>
    <row r="4" spans="1:35" x14ac:dyDescent="0.25">
      <c r="A4" s="22" t="s">
        <v>29</v>
      </c>
      <c r="B4" s="22"/>
      <c r="C4" s="22"/>
      <c r="D4" s="24">
        <f>SUM(C15:L15)</f>
        <v>1030437.7558500001</v>
      </c>
      <c r="E4" s="24">
        <f>SUM(C19:K19)</f>
        <v>1026459.72</v>
      </c>
      <c r="F4" s="24">
        <f>E4-D4</f>
        <v>-3978.0358500001021</v>
      </c>
      <c r="G4" s="24">
        <f>+B29</f>
        <v>-2424.9689499999804</v>
      </c>
      <c r="H4" s="24">
        <f>SUM(C34:K34)</f>
        <v>1954.4700000000003</v>
      </c>
      <c r="I4" s="36">
        <f>SUM(F4:H4)</f>
        <v>-4448.5348000000822</v>
      </c>
      <c r="J4" s="63">
        <f>+I4-L29</f>
        <v>-6.3664629124104977E-11</v>
      </c>
      <c r="M4" s="63"/>
    </row>
    <row r="5" spans="1:35" ht="15.75" thickBot="1" x14ac:dyDescent="0.3">
      <c r="A5" s="22" t="s">
        <v>30</v>
      </c>
      <c r="B5" s="22"/>
      <c r="C5" s="22"/>
      <c r="D5" s="24">
        <f>SUM(C16:L16)</f>
        <v>2212730.1077018902</v>
      </c>
      <c r="E5" s="24">
        <f>SUM(C20:K20)</f>
        <v>2444408.7000000002</v>
      </c>
      <c r="F5" s="24">
        <f>E5-D5</f>
        <v>231678.59229811002</v>
      </c>
      <c r="G5" s="24">
        <f>+B30</f>
        <v>-134904.41920671202</v>
      </c>
      <c r="H5" s="24">
        <f>SUM(C35:K35)</f>
        <v>4835.95</v>
      </c>
      <c r="I5" s="36">
        <f>SUM(F5:H5)</f>
        <v>101610.123091398</v>
      </c>
      <c r="J5" s="63">
        <f>+I5-L30</f>
        <v>-2.7648638933897018E-10</v>
      </c>
      <c r="M5" s="63"/>
    </row>
    <row r="6" spans="1:35" ht="16.5" thickTop="1" thickBot="1" x14ac:dyDescent="0.3">
      <c r="D6" s="40">
        <f t="shared" ref="D6" si="0">SUM(D4:D5)</f>
        <v>3243167.8635518905</v>
      </c>
      <c r="E6" s="40">
        <f>SUM(E4:E5)</f>
        <v>3470868.42</v>
      </c>
      <c r="F6" s="40">
        <f>SUM(F4:F5)</f>
        <v>227700.55644810991</v>
      </c>
      <c r="G6" s="40">
        <f>SUM(G4:G5)</f>
        <v>-137329.388156712</v>
      </c>
      <c r="H6" s="40">
        <f>SUM(H4:H5)</f>
        <v>6790.42</v>
      </c>
      <c r="I6" s="40">
        <f>SUM(I4:I5)</f>
        <v>97161.588291397915</v>
      </c>
      <c r="T6" s="5"/>
    </row>
    <row r="7" spans="1:35" ht="15.75" thickTop="1" x14ac:dyDescent="0.25"/>
    <row r="8" spans="1:35" x14ac:dyDescent="0.25">
      <c r="I8" s="4"/>
      <c r="V8" s="4"/>
    </row>
    <row r="9" spans="1:35" ht="15.75" thickBot="1" x14ac:dyDescent="0.3">
      <c r="V9" s="4"/>
      <c r="W9" s="5"/>
    </row>
    <row r="10" spans="1:35" ht="90.75" thickBot="1" x14ac:dyDescent="0.3">
      <c r="B10" s="141" t="str">
        <f>+'PCR Cycle 1'!B8</f>
        <v>Cumulative Over/Under Carryover From 06/01/2017 Filing</v>
      </c>
      <c r="C10" s="179" t="str">
        <f>+'PCR Cycle 1'!C8</f>
        <v>Reverse May-17 - July-17  Forecast From 06/01/2017 Filing</v>
      </c>
      <c r="D10" s="233" t="s">
        <v>39</v>
      </c>
      <c r="E10" s="233"/>
      <c r="F10" s="234"/>
      <c r="G10" s="239" t="s">
        <v>39</v>
      </c>
      <c r="H10" s="240"/>
      <c r="I10" s="241"/>
      <c r="J10" s="235" t="s">
        <v>9</v>
      </c>
      <c r="K10" s="236"/>
      <c r="L10" s="237"/>
    </row>
    <row r="11" spans="1:35" x14ac:dyDescent="0.25">
      <c r="A11" s="62" t="s">
        <v>116</v>
      </c>
      <c r="C11" s="128"/>
      <c r="D11" s="20">
        <f>+'PCR Cycle 1'!D9</f>
        <v>42883</v>
      </c>
      <c r="E11" s="20">
        <f t="shared" ref="E11:L11" si="1">EDATE(D11,1)</f>
        <v>42914</v>
      </c>
      <c r="F11" s="20">
        <f t="shared" si="1"/>
        <v>42944</v>
      </c>
      <c r="G11" s="14">
        <f t="shared" si="1"/>
        <v>42975</v>
      </c>
      <c r="H11" s="20">
        <f t="shared" si="1"/>
        <v>43006</v>
      </c>
      <c r="I11" s="15">
        <f t="shared" si="1"/>
        <v>43036</v>
      </c>
      <c r="J11" s="20">
        <f t="shared" si="1"/>
        <v>43067</v>
      </c>
      <c r="K11" s="20">
        <f t="shared" si="1"/>
        <v>43097</v>
      </c>
      <c r="L11" s="15">
        <f t="shared" si="1"/>
        <v>43128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62" t="s">
        <v>6</v>
      </c>
      <c r="C12" s="120">
        <v>-1156956.1400000001</v>
      </c>
      <c r="D12" s="132">
        <f>SUM(D19:D20)</f>
        <v>578478.07000000007</v>
      </c>
      <c r="E12" s="132">
        <f t="shared" ref="E12:H12" si="2">SUM(E19:E20)</f>
        <v>578478.07000000007</v>
      </c>
      <c r="F12" s="133">
        <f t="shared" si="2"/>
        <v>578478.07000000007</v>
      </c>
      <c r="G12" s="16">
        <f t="shared" si="2"/>
        <v>578478.07000000007</v>
      </c>
      <c r="H12" s="71">
        <f t="shared" si="2"/>
        <v>578478.07000000007</v>
      </c>
      <c r="I12" s="195">
        <f>+I19+I20</f>
        <v>578478.07000000007</v>
      </c>
      <c r="J12" s="188">
        <f t="shared" ref="J12:K12" si="3">+J19+J20</f>
        <v>578478.07000000007</v>
      </c>
      <c r="K12" s="97">
        <f t="shared" si="3"/>
        <v>578478.07000000007</v>
      </c>
      <c r="L12" s="98"/>
    </row>
    <row r="13" spans="1:35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5" x14ac:dyDescent="0.25">
      <c r="A14" s="62" t="s">
        <v>117</v>
      </c>
      <c r="C14" s="122"/>
      <c r="D14" s="18"/>
      <c r="E14" s="18"/>
      <c r="F14" s="18"/>
      <c r="G14" s="114"/>
      <c r="H14" s="18"/>
      <c r="I14" s="196"/>
      <c r="J14" s="44"/>
      <c r="K14" s="44"/>
      <c r="L14" s="42"/>
      <c r="M14" s="3" t="s">
        <v>93</v>
      </c>
      <c r="N14" s="53"/>
    </row>
    <row r="15" spans="1:35" x14ac:dyDescent="0.25">
      <c r="A15" s="62" t="s">
        <v>29</v>
      </c>
      <c r="C15" s="120">
        <v>-518405.12894999998</v>
      </c>
      <c r="D15" s="159">
        <f>ROUND('[3]KCPL-MO Revenue Analysis'!G165,2)</f>
        <v>122250.23</v>
      </c>
      <c r="E15" s="159">
        <f>ROUND('[3]KCPL-MO Revenue Analysis'!H165,2)</f>
        <v>170402.96</v>
      </c>
      <c r="F15" s="159">
        <f>ROUND('[3]KCPL-MO Revenue Analysis'!I165,2)</f>
        <v>237488.03</v>
      </c>
      <c r="G15" s="219">
        <f>ROUND('[3]KCPL-MO Revenue Analysis'!J165,2)</f>
        <v>222798.62</v>
      </c>
      <c r="H15" s="144">
        <f>ROUND('[3]KCPL-MO Revenue Analysis'!K165,2)</f>
        <v>160509.38</v>
      </c>
      <c r="I15" s="197">
        <f>ROUND('[3]KCPL-MO Revenue Analysis'!L165,2)</f>
        <v>141977.93</v>
      </c>
      <c r="J15" s="146">
        <f>'PCR Cycle 1'!J21*$M15</f>
        <v>123389.74748000001</v>
      </c>
      <c r="K15" s="55">
        <f>'PCR Cycle 1'!K21*$M15</f>
        <v>175029.76688000001</v>
      </c>
      <c r="L15" s="77">
        <f>'PCR Cycle 1'!L21*$M15</f>
        <v>194996.22044</v>
      </c>
      <c r="M15" s="88">
        <v>7.3999999999999999E-4</v>
      </c>
      <c r="N15" s="4"/>
    </row>
    <row r="16" spans="1:35" x14ac:dyDescent="0.25">
      <c r="A16" s="62" t="s">
        <v>30</v>
      </c>
      <c r="C16" s="120">
        <v>-1264973.4192067122</v>
      </c>
      <c r="D16" s="159">
        <f>ROUND('[3]KCPL-MO Revenue Analysis'!G166,2)</f>
        <v>356406.54</v>
      </c>
      <c r="E16" s="159">
        <f>ROUND('[3]KCPL-MO Revenue Analysis'!H166,2)</f>
        <v>400622.95</v>
      </c>
      <c r="F16" s="159">
        <f>ROUND('[3]KCPL-MO Revenue Analysis'!I166,2)</f>
        <v>447741.82</v>
      </c>
      <c r="G16" s="219">
        <f>ROUND('[3]KCPL-MO Revenue Analysis'!J166,2)</f>
        <v>429816.64</v>
      </c>
      <c r="H16" s="144">
        <f>ROUND('[3]KCPL-MO Revenue Analysis'!K166,2)</f>
        <v>376600.5</v>
      </c>
      <c r="I16" s="197">
        <f>ROUND('[3]KCPL-MO Revenue Analysis'!L166,2)</f>
        <v>360589.78</v>
      </c>
      <c r="J16" s="146">
        <f>'PCR Cycle 1'!J22*$M16</f>
        <v>343879.21104352304</v>
      </c>
      <c r="K16" s="55">
        <f>'PCR Cycle 1'!K22*$M16</f>
        <v>377946.72816715814</v>
      </c>
      <c r="L16" s="77">
        <f>'PCR Cycle 1'!L22*$M16</f>
        <v>384099.3576979207</v>
      </c>
      <c r="M16" s="88">
        <v>9.2999999999999995E-4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198"/>
      <c r="J17" s="72"/>
      <c r="K17" s="72"/>
      <c r="L17" s="13"/>
      <c r="N17" s="4"/>
    </row>
    <row r="18" spans="1:14" x14ac:dyDescent="0.25">
      <c r="A18" s="62" t="s">
        <v>119</v>
      </c>
      <c r="C18" s="50"/>
      <c r="D18" s="51"/>
      <c r="E18" s="51"/>
      <c r="F18" s="51"/>
      <c r="G18" s="50"/>
      <c r="H18" s="51"/>
      <c r="I18" s="201"/>
      <c r="J18" s="68"/>
      <c r="K18" s="68"/>
      <c r="L18" s="52"/>
    </row>
    <row r="19" spans="1:14" x14ac:dyDescent="0.25">
      <c r="A19" s="62" t="s">
        <v>29</v>
      </c>
      <c r="C19" s="120">
        <v>-342153.24</v>
      </c>
      <c r="D19" s="132">
        <f>ROUND(+'[8]PI Annuity Calc'!$G$13,2)</f>
        <v>171076.62</v>
      </c>
      <c r="E19" s="132">
        <f>ROUND(+'[8]PI Annuity Calc'!$G$13,2)</f>
        <v>171076.62</v>
      </c>
      <c r="F19" s="133">
        <f>ROUND(+'[8]PI Annuity Calc'!$G$13,2)</f>
        <v>171076.62</v>
      </c>
      <c r="G19" s="16">
        <f>ROUND(+'[8]PI Annuity Calc'!$G$13,2)</f>
        <v>171076.62</v>
      </c>
      <c r="H19" s="71">
        <f>ROUND(+'[8]PI Annuity Calc'!$G$13,2)</f>
        <v>171076.62</v>
      </c>
      <c r="I19" s="195">
        <f>ROUND(+'[8]PI Annuity Calc'!$G$13,2)</f>
        <v>171076.62</v>
      </c>
      <c r="J19" s="190">
        <f>ROUND(+'[8]PI Annuity Calc'!$G$13,2)</f>
        <v>171076.62</v>
      </c>
      <c r="K19" s="167">
        <f>ROUND(+'[8]PI Annuity Calc'!$G$13,2)</f>
        <v>171076.62</v>
      </c>
      <c r="L19" s="98"/>
    </row>
    <row r="20" spans="1:14" x14ac:dyDescent="0.25">
      <c r="A20" s="62" t="s">
        <v>30</v>
      </c>
      <c r="C20" s="120">
        <v>-814802.9</v>
      </c>
      <c r="D20" s="132">
        <f>ROUND('[8]PI Annuity Calc'!$H$13,2)</f>
        <v>407401.45</v>
      </c>
      <c r="E20" s="132">
        <f>ROUND('[8]PI Annuity Calc'!$H$13,2)</f>
        <v>407401.45</v>
      </c>
      <c r="F20" s="133">
        <f>ROUND('[8]PI Annuity Calc'!$H$13,2)</f>
        <v>407401.45</v>
      </c>
      <c r="G20" s="16">
        <f>ROUND('[8]PI Annuity Calc'!$H$13,2)</f>
        <v>407401.45</v>
      </c>
      <c r="H20" s="71">
        <f>ROUND('[8]PI Annuity Calc'!$H$13,2)</f>
        <v>407401.45</v>
      </c>
      <c r="I20" s="195">
        <f>ROUND('[8]PI Annuity Calc'!$H$13,2)</f>
        <v>407401.45</v>
      </c>
      <c r="J20" s="190">
        <f>ROUND('[8]PI Annuity Calc'!$H$13,2)</f>
        <v>407401.45</v>
      </c>
      <c r="K20" s="167">
        <f>ROUND('[8]PI Annuity Calc'!$H$13,2)</f>
        <v>407401.45</v>
      </c>
      <c r="L20" s="98"/>
      <c r="N20" s="63"/>
    </row>
    <row r="21" spans="1:14" x14ac:dyDescent="0.25">
      <c r="C21" s="122"/>
      <c r="D21" s="18"/>
      <c r="E21" s="18"/>
      <c r="F21" s="18"/>
      <c r="G21" s="114"/>
      <c r="H21" s="18"/>
      <c r="I21" s="196"/>
      <c r="J21" s="72"/>
      <c r="K21" s="72"/>
      <c r="L21" s="13"/>
    </row>
    <row r="22" spans="1:14" ht="15.75" thickBot="1" x14ac:dyDescent="0.3">
      <c r="A22" s="3" t="s">
        <v>16</v>
      </c>
      <c r="B22" s="3"/>
      <c r="C22" s="126">
        <v>-2016.51</v>
      </c>
      <c r="D22" s="159">
        <v>1012.1100000000001</v>
      </c>
      <c r="E22" s="159">
        <v>1192.5</v>
      </c>
      <c r="F22" s="160">
        <v>1121.68</v>
      </c>
      <c r="G22" s="39">
        <v>938.66000000000008</v>
      </c>
      <c r="H22" s="145">
        <v>907.87</v>
      </c>
      <c r="I22" s="202">
        <v>1032.51</v>
      </c>
      <c r="J22" s="191">
        <v>1227.22</v>
      </c>
      <c r="K22" s="169">
        <v>1368.49</v>
      </c>
      <c r="L22" s="101"/>
    </row>
    <row r="23" spans="1:14" x14ac:dyDescent="0.25">
      <c r="C23" s="80"/>
      <c r="D23" s="174"/>
      <c r="E23" s="174"/>
      <c r="F23" s="175"/>
      <c r="G23" s="80"/>
      <c r="H23" s="47"/>
      <c r="I23" s="203"/>
      <c r="J23" s="48"/>
      <c r="K23" s="48"/>
      <c r="L23" s="76"/>
    </row>
    <row r="24" spans="1:14" x14ac:dyDescent="0.25">
      <c r="A24" s="62" t="s">
        <v>68</v>
      </c>
      <c r="C24" s="81"/>
      <c r="D24" s="175"/>
      <c r="E24" s="175"/>
      <c r="F24" s="175"/>
      <c r="G24" s="81"/>
      <c r="H24" s="49"/>
      <c r="I24" s="204"/>
      <c r="J24" s="48"/>
      <c r="K24" s="48"/>
      <c r="L24" s="76"/>
    </row>
    <row r="25" spans="1:14" x14ac:dyDescent="0.25">
      <c r="A25" s="62" t="s">
        <v>29</v>
      </c>
      <c r="C25" s="123">
        <f t="shared" ref="C25:L25" si="4">C19-C15</f>
        <v>176251.88894999999</v>
      </c>
      <c r="D25" s="55">
        <f t="shared" si="4"/>
        <v>48826.39</v>
      </c>
      <c r="E25" s="55">
        <f t="shared" si="4"/>
        <v>673.66000000000349</v>
      </c>
      <c r="F25" s="131">
        <f t="shared" si="4"/>
        <v>-66411.41</v>
      </c>
      <c r="G25" s="54">
        <f t="shared" si="4"/>
        <v>-51722</v>
      </c>
      <c r="H25" s="55">
        <f t="shared" si="4"/>
        <v>10567.239999999991</v>
      </c>
      <c r="I25" s="77">
        <f t="shared" si="4"/>
        <v>29098.690000000002</v>
      </c>
      <c r="J25" s="146">
        <f t="shared" si="4"/>
        <v>47686.87251999999</v>
      </c>
      <c r="K25" s="55">
        <f t="shared" si="4"/>
        <v>-3953.1468800000148</v>
      </c>
      <c r="L25" s="77">
        <f t="shared" si="4"/>
        <v>-194996.22044</v>
      </c>
    </row>
    <row r="26" spans="1:14" x14ac:dyDescent="0.25">
      <c r="A26" s="62" t="s">
        <v>30</v>
      </c>
      <c r="C26" s="123">
        <f t="shared" ref="C26:L26" si="5">C20-C16</f>
        <v>450170.51920671214</v>
      </c>
      <c r="D26" s="55">
        <f t="shared" si="5"/>
        <v>50994.910000000033</v>
      </c>
      <c r="E26" s="55">
        <f t="shared" si="5"/>
        <v>6778.5</v>
      </c>
      <c r="F26" s="131">
        <f t="shared" si="5"/>
        <v>-40340.369999999995</v>
      </c>
      <c r="G26" s="54">
        <f t="shared" si="5"/>
        <v>-22415.190000000002</v>
      </c>
      <c r="H26" s="55">
        <f t="shared" si="5"/>
        <v>30800.950000000012</v>
      </c>
      <c r="I26" s="77">
        <f t="shared" si="5"/>
        <v>46811.669999999984</v>
      </c>
      <c r="J26" s="146">
        <f t="shared" si="5"/>
        <v>63522.238956476969</v>
      </c>
      <c r="K26" s="55">
        <f t="shared" si="5"/>
        <v>29454.721832841868</v>
      </c>
      <c r="L26" s="77">
        <f t="shared" si="5"/>
        <v>-384099.3576979207</v>
      </c>
    </row>
    <row r="27" spans="1:14" x14ac:dyDescent="0.25">
      <c r="C27" s="122"/>
      <c r="D27" s="17"/>
      <c r="E27" s="17"/>
      <c r="F27" s="17"/>
      <c r="G27" s="10"/>
      <c r="H27" s="17"/>
      <c r="I27" s="11"/>
      <c r="J27" s="17"/>
      <c r="K27" s="17"/>
      <c r="L27" s="11"/>
    </row>
    <row r="28" spans="1:14" ht="15.75" thickBot="1" x14ac:dyDescent="0.3">
      <c r="A28" s="62" t="s">
        <v>69</v>
      </c>
      <c r="C28" s="122"/>
      <c r="D28" s="17"/>
      <c r="E28" s="17"/>
      <c r="F28" s="17"/>
      <c r="G28" s="10"/>
      <c r="H28" s="17"/>
      <c r="I28" s="11"/>
      <c r="J28" s="17"/>
      <c r="K28" s="17"/>
      <c r="L28" s="11"/>
    </row>
    <row r="29" spans="1:14" x14ac:dyDescent="0.25">
      <c r="A29" s="62" t="s">
        <v>29</v>
      </c>
      <c r="B29" s="139">
        <v>-2424.9689499999804</v>
      </c>
      <c r="C29" s="123">
        <f>B29+C25+B34</f>
        <v>173826.92</v>
      </c>
      <c r="D29" s="55">
        <f t="shared" ref="D29:L30" si="6">C29+D25+C34</f>
        <v>221869.34</v>
      </c>
      <c r="E29" s="55">
        <f t="shared" si="6"/>
        <v>222915.17</v>
      </c>
      <c r="F29" s="131">
        <f t="shared" si="6"/>
        <v>156952.39000000001</v>
      </c>
      <c r="G29" s="54">
        <f t="shared" si="6"/>
        <v>105623.07</v>
      </c>
      <c r="H29" s="55">
        <f t="shared" si="6"/>
        <v>116462.23999999999</v>
      </c>
      <c r="I29" s="77">
        <f t="shared" si="6"/>
        <v>145791.16</v>
      </c>
      <c r="J29" s="146">
        <f t="shared" si="6"/>
        <v>193750.16252000001</v>
      </c>
      <c r="K29" s="55">
        <f t="shared" si="6"/>
        <v>190149.31563999999</v>
      </c>
      <c r="L29" s="77">
        <f t="shared" si="6"/>
        <v>-4448.5348000000185</v>
      </c>
    </row>
    <row r="30" spans="1:14" ht="15.75" thickBot="1" x14ac:dyDescent="0.3">
      <c r="A30" s="62" t="s">
        <v>30</v>
      </c>
      <c r="B30" s="140">
        <v>-134904.41920671202</v>
      </c>
      <c r="C30" s="123">
        <f>B30+C26+B35</f>
        <v>315266.10000000009</v>
      </c>
      <c r="D30" s="55">
        <f t="shared" si="6"/>
        <v>365028.47000000015</v>
      </c>
      <c r="E30" s="55">
        <f t="shared" si="6"/>
        <v>372446.92000000016</v>
      </c>
      <c r="F30" s="131">
        <f t="shared" si="6"/>
        <v>332850.43000000017</v>
      </c>
      <c r="G30" s="54">
        <f t="shared" si="6"/>
        <v>311164.24000000017</v>
      </c>
      <c r="H30" s="55">
        <f t="shared" si="6"/>
        <v>342631.92000000016</v>
      </c>
      <c r="I30" s="77">
        <f t="shared" si="6"/>
        <v>390121.23000000016</v>
      </c>
      <c r="J30" s="146">
        <f t="shared" si="6"/>
        <v>454403.84895647713</v>
      </c>
      <c r="K30" s="55">
        <f t="shared" si="6"/>
        <v>484734.92078931897</v>
      </c>
      <c r="L30" s="77">
        <f t="shared" si="6"/>
        <v>101610.12309139827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x14ac:dyDescent="0.25">
      <c r="A32" s="53" t="s">
        <v>118</v>
      </c>
      <c r="B32" s="53"/>
      <c r="C32" s="127"/>
      <c r="D32" s="102">
        <f>+'PCR Cycle 1'!D38</f>
        <v>1.8848000000000001E-3</v>
      </c>
      <c r="E32" s="102">
        <f>+'PCR Cycle 1'!E38</f>
        <v>2.0156100000000001E-3</v>
      </c>
      <c r="F32" s="102">
        <f>+'PCR Cycle 1'!F38</f>
        <v>2.0650299999999998E-3</v>
      </c>
      <c r="G32" s="103">
        <f>+'PCR Cycle 1'!G38</f>
        <v>2.0681900000000001E-3</v>
      </c>
      <c r="H32" s="102">
        <f>+'PCR Cycle 1'!H38</f>
        <v>2.0708300000000001E-3</v>
      </c>
      <c r="I32" s="115">
        <f>+'PCR Cycle 1'!I38</f>
        <v>2.0734999999999998E-3</v>
      </c>
      <c r="J32" s="102">
        <f>+'PCR Cycle 1'!J38</f>
        <v>2.0734999999999998E-3</v>
      </c>
      <c r="K32" s="102">
        <f>+'PCR Cycle 1'!K38</f>
        <v>2.0734999999999998E-3</v>
      </c>
      <c r="L32" s="104"/>
    </row>
    <row r="33" spans="1:12" x14ac:dyDescent="0.25">
      <c r="A33" s="53" t="s">
        <v>44</v>
      </c>
      <c r="B33" s="53"/>
      <c r="C33" s="129"/>
      <c r="D33" s="102"/>
      <c r="E33" s="102"/>
      <c r="F33" s="102"/>
      <c r="G33" s="103"/>
      <c r="H33" s="102"/>
      <c r="I33" s="104"/>
      <c r="J33" s="102"/>
      <c r="K33" s="102"/>
      <c r="L33" s="104"/>
    </row>
    <row r="34" spans="1:12" x14ac:dyDescent="0.25">
      <c r="A34" s="62" t="s">
        <v>29</v>
      </c>
      <c r="C34" s="123">
        <v>-783.97</v>
      </c>
      <c r="D34" s="55">
        <f t="shared" ref="D34:L35" si="7">ROUND((C29+C34+D25/2)*D$32,2)</f>
        <v>372.17</v>
      </c>
      <c r="E34" s="55">
        <f t="shared" si="7"/>
        <v>448.63</v>
      </c>
      <c r="F34" s="131">
        <f t="shared" si="7"/>
        <v>392.68</v>
      </c>
      <c r="G34" s="54">
        <f t="shared" si="7"/>
        <v>271.93</v>
      </c>
      <c r="H34" s="146">
        <f t="shared" si="7"/>
        <v>230.23</v>
      </c>
      <c r="I34" s="65">
        <f t="shared" si="7"/>
        <v>272.13</v>
      </c>
      <c r="J34" s="192">
        <f t="shared" si="7"/>
        <v>352.3</v>
      </c>
      <c r="K34" s="131">
        <f t="shared" si="7"/>
        <v>398.37</v>
      </c>
      <c r="L34" s="77">
        <f t="shared" si="7"/>
        <v>0</v>
      </c>
    </row>
    <row r="35" spans="1:12" ht="15.75" thickBot="1" x14ac:dyDescent="0.3">
      <c r="A35" s="62" t="s">
        <v>30</v>
      </c>
      <c r="C35" s="123">
        <v>-1232.54</v>
      </c>
      <c r="D35" s="55">
        <f t="shared" si="7"/>
        <v>639.95000000000005</v>
      </c>
      <c r="E35" s="55">
        <f t="shared" si="7"/>
        <v>743.88</v>
      </c>
      <c r="F35" s="131">
        <f t="shared" si="7"/>
        <v>729</v>
      </c>
      <c r="G35" s="54">
        <f t="shared" si="7"/>
        <v>666.73</v>
      </c>
      <c r="H35" s="146">
        <f t="shared" si="7"/>
        <v>677.64</v>
      </c>
      <c r="I35" s="65">
        <f t="shared" si="7"/>
        <v>760.38</v>
      </c>
      <c r="J35" s="192">
        <f t="shared" si="7"/>
        <v>876.35</v>
      </c>
      <c r="K35" s="131">
        <f t="shared" si="7"/>
        <v>974.56</v>
      </c>
      <c r="L35" s="77">
        <f t="shared" si="7"/>
        <v>0</v>
      </c>
    </row>
    <row r="36" spans="1:12" ht="16.5" thickTop="1" thickBot="1" x14ac:dyDescent="0.3">
      <c r="A36" s="70" t="s">
        <v>25</v>
      </c>
      <c r="B36" s="70"/>
      <c r="C36" s="130">
        <v>0</v>
      </c>
      <c r="D36" s="56">
        <f t="shared" ref="D36:I36" si="8">SUM(D34:D35)+SUM(D29:D30)-D39</f>
        <v>0</v>
      </c>
      <c r="E36" s="56">
        <f t="shared" si="8"/>
        <v>0</v>
      </c>
      <c r="F36" s="66">
        <f t="shared" ref="F36:H36" si="9">SUM(F34:F35)+SUM(F29:F30)-F39</f>
        <v>0</v>
      </c>
      <c r="G36" s="172">
        <f t="shared" si="9"/>
        <v>0</v>
      </c>
      <c r="H36" s="66">
        <f t="shared" si="9"/>
        <v>-4.6566128730773926E-10</v>
      </c>
      <c r="I36" s="78">
        <f t="shared" si="8"/>
        <v>0</v>
      </c>
      <c r="J36" s="193">
        <f t="shared" ref="J36:L36" si="10">SUM(J34:J35)+SUM(J29:J30)-J39</f>
        <v>0</v>
      </c>
      <c r="K36" s="66">
        <f t="shared" si="10"/>
        <v>0</v>
      </c>
      <c r="L36" s="78">
        <f t="shared" si="10"/>
        <v>-6.9849193096160889E-10</v>
      </c>
    </row>
    <row r="37" spans="1:12" ht="16.5" thickTop="1" thickBot="1" x14ac:dyDescent="0.3">
      <c r="A37" s="70" t="s">
        <v>26</v>
      </c>
      <c r="B37" s="70"/>
      <c r="C37" s="130">
        <v>0</v>
      </c>
      <c r="D37" s="56">
        <f t="shared" ref="D37:I37" si="11">SUM(D34:D35)-D22</f>
        <v>9.9999999999909051E-3</v>
      </c>
      <c r="E37" s="56">
        <f t="shared" si="11"/>
        <v>9.9999999999909051E-3</v>
      </c>
      <c r="F37" s="66">
        <f t="shared" ref="F37:H37" si="12">SUM(F34:F35)-F22</f>
        <v>0</v>
      </c>
      <c r="G37" s="172">
        <f t="shared" si="12"/>
        <v>0</v>
      </c>
      <c r="H37" s="66">
        <f t="shared" si="12"/>
        <v>0</v>
      </c>
      <c r="I37" s="78">
        <f t="shared" si="11"/>
        <v>0</v>
      </c>
      <c r="J37" s="194">
        <f t="shared" ref="J37:L37" si="13">SUM(J34:J35)-J22</f>
        <v>1.4300000000000637</v>
      </c>
      <c r="K37" s="56">
        <f t="shared" si="13"/>
        <v>4.4399999999998272</v>
      </c>
      <c r="L37" s="56">
        <f t="shared" si="13"/>
        <v>0</v>
      </c>
    </row>
    <row r="38" spans="1:12" ht="16.5" thickTop="1" thickBot="1" x14ac:dyDescent="0.3">
      <c r="C38" s="122"/>
      <c r="D38" s="17"/>
      <c r="E38" s="17"/>
      <c r="F38" s="17"/>
      <c r="G38" s="10"/>
      <c r="H38" s="17"/>
      <c r="I38" s="11"/>
      <c r="J38" s="17"/>
      <c r="K38" s="17"/>
      <c r="L38" s="11"/>
    </row>
    <row r="39" spans="1:12" ht="15.75" thickBot="1" x14ac:dyDescent="0.3">
      <c r="A39" s="62" t="s">
        <v>42</v>
      </c>
      <c r="B39" s="142">
        <v>-137329.38815671171</v>
      </c>
      <c r="C39" s="123">
        <f t="shared" ref="C39:L39" si="14">(C12-SUM(C15:C16))+SUM(C34:C35)+B39</f>
        <v>487076.51000000036</v>
      </c>
      <c r="D39" s="55">
        <f t="shared" si="14"/>
        <v>587909.9300000004</v>
      </c>
      <c r="E39" s="55">
        <f t="shared" si="14"/>
        <v>596554.60000000044</v>
      </c>
      <c r="F39" s="131">
        <f t="shared" si="14"/>
        <v>490924.50000000052</v>
      </c>
      <c r="G39" s="54">
        <f t="shared" si="14"/>
        <v>417725.97000000055</v>
      </c>
      <c r="H39" s="55">
        <f t="shared" si="14"/>
        <v>460002.03000000061</v>
      </c>
      <c r="I39" s="77">
        <f t="shared" si="14"/>
        <v>536944.90000000061</v>
      </c>
      <c r="J39" s="192">
        <f t="shared" si="14"/>
        <v>649382.66147647763</v>
      </c>
      <c r="K39" s="131">
        <f t="shared" si="14"/>
        <v>676257.16642931965</v>
      </c>
      <c r="L39" s="77">
        <f t="shared" si="14"/>
        <v>97161.588291398948</v>
      </c>
    </row>
    <row r="40" spans="1:12" x14ac:dyDescent="0.25">
      <c r="A40" s="62" t="s">
        <v>14</v>
      </c>
      <c r="C40" s="143"/>
      <c r="D40" s="17"/>
      <c r="E40" s="17"/>
      <c r="F40" s="17"/>
      <c r="G40" s="10"/>
      <c r="H40" s="17"/>
      <c r="I40" s="11"/>
      <c r="J40" s="17"/>
      <c r="K40" s="17"/>
      <c r="L40" s="11"/>
    </row>
    <row r="41" spans="1:12" ht="15.75" thickBot="1" x14ac:dyDescent="0.3">
      <c r="A41" s="51"/>
      <c r="B41" s="51"/>
      <c r="C41" s="173"/>
      <c r="D41" s="58"/>
      <c r="E41" s="58"/>
      <c r="F41" s="58"/>
      <c r="G41" s="57"/>
      <c r="H41" s="58"/>
      <c r="I41" s="59"/>
      <c r="J41" s="58"/>
      <c r="K41" s="58"/>
      <c r="L41" s="59"/>
    </row>
    <row r="43" spans="1:12" x14ac:dyDescent="0.25">
      <c r="A43" s="85" t="s">
        <v>13</v>
      </c>
      <c r="B43" s="85"/>
      <c r="C43" s="85"/>
    </row>
    <row r="44" spans="1:12" ht="31.5" customHeight="1" x14ac:dyDescent="0.25">
      <c r="A44" s="238" t="s">
        <v>126</v>
      </c>
      <c r="B44" s="238"/>
      <c r="C44" s="238"/>
      <c r="D44" s="238"/>
      <c r="E44" s="238"/>
      <c r="F44" s="238"/>
      <c r="G44" s="238"/>
      <c r="H44" s="238"/>
      <c r="I44" s="238"/>
      <c r="J44" s="216"/>
      <c r="K44" s="216"/>
      <c r="L44" s="216"/>
    </row>
    <row r="45" spans="1:12" ht="45" customHeight="1" x14ac:dyDescent="0.25">
      <c r="A45" s="238" t="s">
        <v>137</v>
      </c>
      <c r="B45" s="238"/>
      <c r="C45" s="238"/>
      <c r="D45" s="238"/>
      <c r="E45" s="238"/>
      <c r="F45" s="238"/>
      <c r="G45" s="238"/>
      <c r="H45" s="238"/>
      <c r="I45" s="238"/>
      <c r="J45" s="216"/>
      <c r="K45" s="216"/>
    </row>
    <row r="46" spans="1:12" ht="18.75" customHeight="1" x14ac:dyDescent="0.25">
      <c r="A46" s="238" t="s">
        <v>127</v>
      </c>
      <c r="B46" s="238"/>
      <c r="C46" s="238"/>
      <c r="D46" s="238"/>
      <c r="E46" s="238"/>
      <c r="F46" s="238"/>
      <c r="G46" s="238"/>
      <c r="H46" s="238"/>
      <c r="I46" s="238"/>
      <c r="J46" s="216"/>
      <c r="K46" s="216"/>
      <c r="L46" s="216"/>
    </row>
    <row r="47" spans="1:12" x14ac:dyDescent="0.25">
      <c r="A47" s="79" t="s">
        <v>91</v>
      </c>
      <c r="B47" s="79"/>
      <c r="C47" s="79"/>
      <c r="D47" s="53"/>
      <c r="E47" s="53"/>
      <c r="F47" s="53"/>
      <c r="G47" s="53"/>
      <c r="H47" s="53"/>
      <c r="I47" s="53"/>
    </row>
    <row r="48" spans="1:12" x14ac:dyDescent="0.25">
      <c r="A48" s="79" t="s">
        <v>135</v>
      </c>
      <c r="B48" s="79"/>
      <c r="C48" s="79"/>
      <c r="D48" s="53"/>
      <c r="E48" s="53"/>
      <c r="F48" s="53"/>
      <c r="G48" s="53"/>
      <c r="H48" s="53"/>
      <c r="I48" s="53"/>
    </row>
    <row r="49" spans="1:9" x14ac:dyDescent="0.25">
      <c r="A49" s="79" t="s">
        <v>128</v>
      </c>
      <c r="B49" s="79"/>
      <c r="C49" s="79"/>
      <c r="D49" s="53"/>
      <c r="E49" s="53"/>
      <c r="F49" s="53"/>
      <c r="G49" s="53"/>
      <c r="H49" s="53"/>
      <c r="I49" s="53"/>
    </row>
    <row r="50" spans="1:9" x14ac:dyDescent="0.25">
      <c r="A50" s="3"/>
      <c r="B50" s="3"/>
      <c r="C50" s="3"/>
    </row>
  </sheetData>
  <mergeCells count="6">
    <mergeCell ref="A46:I46"/>
    <mergeCell ref="A45:I45"/>
    <mergeCell ref="D10:F10"/>
    <mergeCell ref="G10:I10"/>
    <mergeCell ref="J10:L10"/>
    <mergeCell ref="A44:I44"/>
  </mergeCells>
  <pageMargins left="0.45" right="0.45" top="0.75" bottom="0.5" header="0.3" footer="0.3"/>
  <pageSetup scale="59" orientation="landscape" r:id="rId1"/>
  <headerFooter>
    <oddHeader>&amp;C&amp;F 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EDB18C5607042858DD9C0A8275B18" ma:contentTypeVersion="" ma:contentTypeDescription="Create a new document." ma:contentTypeScope="" ma:versionID="a8e216e06ef6f22d6d5d250416d93215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680F6-EEBC-41A4-AEB5-0B773B5EACA2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c85253b9-0a55-49a1-98ad-b5b6252d7079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50AFA0-01F8-41E6-80FC-B122C3EC3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tariff tables</vt:lpstr>
      <vt:lpstr>PPC</vt:lpstr>
      <vt:lpstr>PCR Cycle 1</vt:lpstr>
      <vt:lpstr>PCR Cycle 2</vt:lpstr>
      <vt:lpstr>PTD</vt:lpstr>
      <vt:lpstr>TDR Cycle 1</vt:lpstr>
      <vt:lpstr>TDR Cycle 2</vt:lpstr>
      <vt:lpstr>EO</vt:lpstr>
      <vt:lpstr>EOR</vt:lpstr>
      <vt:lpstr>OA</vt:lpstr>
      <vt:lpstr>OAR</vt:lpstr>
      <vt:lpstr>'PCR Cycle 1'!Print_Area</vt:lpstr>
      <vt:lpstr>'PCR Cycle 2'!Print_Area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Jordan Shelley</cp:lastModifiedBy>
  <cp:lastPrinted>2017-11-30T20:53:56Z</cp:lastPrinted>
  <dcterms:created xsi:type="dcterms:W3CDTF">2013-08-12T19:20:10Z</dcterms:created>
  <dcterms:modified xsi:type="dcterms:W3CDTF">2017-11-30T22:09:29Z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0x01010060CEDB18C5607042858DD9C0A8275B18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