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PSC Cases\ER-2021-XXXX Rider EEIC\"/>
    </mc:Choice>
  </mc:AlternateContent>
  <bookViews>
    <workbookView xWindow="0" yWindow="0" windowWidth="28800" windowHeight="12885" tabRatio="908"/>
  </bookViews>
  <sheets>
    <sheet name="PPC" sheetId="4" r:id="rId1"/>
    <sheet name="PCR (M3)" sheetId="22" r:id="rId2"/>
    <sheet name="PCR (M2)" sheetId="1" r:id="rId3"/>
    <sheet name="PTD" sheetId="12" r:id="rId4"/>
    <sheet name="TDR (M3)" sheetId="21" r:id="rId5"/>
    <sheet name="TDR (M2)" sheetId="11" r:id="rId6"/>
    <sheet name="EO" sheetId="16" r:id="rId7"/>
    <sheet name="EOR (M2)" sheetId="24" r:id="rId8"/>
    <sheet name="OA" sheetId="10" r:id="rId9"/>
    <sheet name="OAR" sheetId="20" r:id="rId10"/>
    <sheet name="tariff tables (M3)" sheetId="23" r:id="rId11"/>
    <sheet name="tariff tables (M2)" sheetId="5" r:id="rId12"/>
    <sheet name="Sheet 91.23" sheetId="13" r:id="rId13"/>
  </sheets>
  <externalReferences>
    <externalReference r:id="rId14"/>
    <externalReference r:id="rId15"/>
    <externalReference r:id="rId16"/>
    <externalReference r:id="rId17"/>
  </externalReferences>
  <definedNames>
    <definedName name="_xlnm.Print_Area" localSheetId="7">'EOR (M2)'!$A$13:$A$38</definedName>
    <definedName name="_xlnm.Print_Area" localSheetId="9">OAR!$A$13:$G$38</definedName>
    <definedName name="_xlnm.Print_Area" localSheetId="2">'PCR (M2)'!$A$13:$G$51</definedName>
    <definedName name="_xlnm.Print_Area" localSheetId="1">'PCR (M3)'!$A$13:$G$51</definedName>
  </definedNames>
  <calcPr calcId="162913"/>
</workbook>
</file>

<file path=xl/calcChain.xml><?xml version="1.0" encoding="utf-8"?>
<calcChain xmlns="http://schemas.openxmlformats.org/spreadsheetml/2006/main">
  <c r="BG19" i="11" l="1"/>
  <c r="BF19" i="11"/>
  <c r="BE19" i="11"/>
  <c r="BD19" i="11"/>
  <c r="BC19" i="11"/>
  <c r="BB19" i="11"/>
  <c r="BA19" i="11"/>
  <c r="AZ19" i="11"/>
  <c r="AY19" i="11"/>
  <c r="AX19" i="11"/>
  <c r="AW19" i="11"/>
  <c r="AV19" i="11"/>
  <c r="AK38" i="20" l="1"/>
  <c r="AJ38" i="20"/>
  <c r="AI38" i="20"/>
  <c r="AH38" i="20"/>
  <c r="AG38" i="20"/>
  <c r="AF38" i="20"/>
  <c r="AE38" i="20"/>
  <c r="AD38" i="20"/>
  <c r="AC38" i="20"/>
  <c r="AB38" i="20"/>
  <c r="AA38" i="20"/>
  <c r="Z38" i="20"/>
  <c r="AJ36" i="20"/>
  <c r="AI36" i="20"/>
  <c r="AH36" i="20"/>
  <c r="AG36" i="20"/>
  <c r="AF36" i="20"/>
  <c r="AE36" i="20"/>
  <c r="AD36" i="20"/>
  <c r="AC36" i="20"/>
  <c r="AB36" i="20"/>
  <c r="AA36" i="20"/>
  <c r="Z3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N38" i="24"/>
  <c r="M38" i="24"/>
  <c r="L38" i="24"/>
  <c r="K38" i="24"/>
  <c r="J38" i="24"/>
  <c r="I38" i="24"/>
  <c r="H38" i="24"/>
  <c r="G38" i="24"/>
  <c r="F38" i="24"/>
  <c r="E38" i="24"/>
  <c r="D38" i="24"/>
  <c r="C38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F46" i="16"/>
  <c r="F45" i="16"/>
  <c r="F44" i="16"/>
  <c r="F43" i="16"/>
  <c r="F42" i="16"/>
  <c r="B41" i="16"/>
  <c r="B23" i="16"/>
  <c r="F28" i="16"/>
  <c r="F27" i="16"/>
  <c r="F26" i="16"/>
  <c r="F25" i="16"/>
  <c r="F24" i="16"/>
  <c r="F9" i="16"/>
  <c r="F8" i="16"/>
  <c r="F7" i="16"/>
  <c r="F6" i="16"/>
  <c r="F5" i="16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BG25" i="11"/>
  <c r="BF25" i="11"/>
  <c r="BE25" i="11"/>
  <c r="BD25" i="11"/>
  <c r="BC25" i="11"/>
  <c r="BB25" i="11"/>
  <c r="BA25" i="11"/>
  <c r="AZ25" i="11"/>
  <c r="AY25" i="11"/>
  <c r="AX25" i="11"/>
  <c r="AW25" i="11"/>
  <c r="AV25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BG23" i="11"/>
  <c r="BF23" i="11"/>
  <c r="BE23" i="11"/>
  <c r="BD23" i="11"/>
  <c r="BC23" i="11"/>
  <c r="BB23" i="11"/>
  <c r="BA23" i="11"/>
  <c r="AZ23" i="11"/>
  <c r="AY23" i="11"/>
  <c r="AX23" i="11"/>
  <c r="AW23" i="11"/>
  <c r="AV23" i="11"/>
  <c r="BG22" i="11"/>
  <c r="BF22" i="11"/>
  <c r="BE22" i="11"/>
  <c r="BD22" i="11"/>
  <c r="BC22" i="11"/>
  <c r="BB22" i="11"/>
  <c r="BA22" i="11"/>
  <c r="AZ22" i="11"/>
  <c r="AY22" i="11"/>
  <c r="AX22" i="11"/>
  <c r="AW22" i="11"/>
  <c r="AV22" i="11"/>
  <c r="W39" i="21"/>
  <c r="V39" i="21"/>
  <c r="U39" i="21"/>
  <c r="T39" i="21"/>
  <c r="S39" i="21"/>
  <c r="R39" i="21"/>
  <c r="Q39" i="21"/>
  <c r="P39" i="21"/>
  <c r="O39" i="21"/>
  <c r="N39" i="21"/>
  <c r="M39" i="21"/>
  <c r="L39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BG51" i="1"/>
  <c r="BF51" i="1"/>
  <c r="BE51" i="1"/>
  <c r="BD51" i="1"/>
  <c r="BC51" i="1"/>
  <c r="BB51" i="1"/>
  <c r="BA51" i="1"/>
  <c r="AZ51" i="1"/>
  <c r="AY51" i="1"/>
  <c r="AX51" i="1"/>
  <c r="AW51" i="1"/>
  <c r="AV51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X51" i="22"/>
  <c r="W51" i="22"/>
  <c r="V51" i="22"/>
  <c r="U51" i="22"/>
  <c r="T51" i="22"/>
  <c r="S51" i="22"/>
  <c r="R51" i="22"/>
  <c r="Q51" i="22"/>
  <c r="P51" i="22"/>
  <c r="O51" i="22"/>
  <c r="N51" i="22"/>
  <c r="M51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G32" i="1"/>
  <c r="BF32" i="1"/>
  <c r="BE32" i="1"/>
  <c r="BD32" i="1"/>
  <c r="BC32" i="1"/>
  <c r="BB32" i="1"/>
  <c r="BA32" i="1"/>
  <c r="AZ32" i="1"/>
  <c r="AY32" i="1"/>
  <c r="AX32" i="1"/>
  <c r="AW32" i="1"/>
  <c r="AV32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B14" i="4"/>
  <c r="BJ18" i="1"/>
  <c r="BI18" i="1"/>
  <c r="BH18" i="1"/>
  <c r="BJ17" i="1"/>
  <c r="BI17" i="1"/>
  <c r="BH17" i="1"/>
  <c r="BJ16" i="1"/>
  <c r="BI16" i="1"/>
  <c r="BH16" i="1"/>
  <c r="BJ15" i="1"/>
  <c r="BI15" i="1"/>
  <c r="BH15" i="1"/>
  <c r="AA18" i="22"/>
  <c r="Z18" i="22"/>
  <c r="Y18" i="22"/>
  <c r="AA17" i="22"/>
  <c r="Z17" i="22"/>
  <c r="Y17" i="22"/>
  <c r="AA16" i="22"/>
  <c r="Z16" i="22"/>
  <c r="Y16" i="22"/>
  <c r="AA15" i="22"/>
  <c r="Z15" i="22"/>
  <c r="Y15" i="22"/>
  <c r="J26" i="4"/>
  <c r="I26" i="4"/>
  <c r="H26" i="4"/>
  <c r="G26" i="4"/>
  <c r="J10" i="4"/>
  <c r="I10" i="4"/>
  <c r="H10" i="4"/>
  <c r="G10" i="4"/>
  <c r="B9" i="4"/>
  <c r="B8" i="4"/>
  <c r="B7" i="4"/>
  <c r="B6" i="4"/>
  <c r="B5" i="4"/>
  <c r="AN38" i="20"/>
  <c r="AM38" i="20"/>
  <c r="AL38" i="20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BJ19" i="11"/>
  <c r="BI19" i="11"/>
  <c r="BH19" i="11"/>
  <c r="BJ18" i="11"/>
  <c r="BI18" i="11"/>
  <c r="BH18" i="11"/>
  <c r="BJ17" i="11"/>
  <c r="BI17" i="11"/>
  <c r="BH17" i="11"/>
  <c r="BJ16" i="11"/>
  <c r="BI16" i="11"/>
  <c r="BH16" i="11"/>
  <c r="BJ15" i="11"/>
  <c r="BI15" i="11"/>
  <c r="BH15" i="11"/>
  <c r="B9" i="12"/>
  <c r="B8" i="12"/>
  <c r="B7" i="12"/>
  <c r="B6" i="12"/>
  <c r="B5" i="12"/>
  <c r="BJ32" i="1"/>
  <c r="BI32" i="1"/>
  <c r="BH32" i="1"/>
  <c r="BJ31" i="1"/>
  <c r="BI31" i="1"/>
  <c r="BH31" i="1"/>
  <c r="BJ30" i="1"/>
  <c r="BI30" i="1"/>
  <c r="BH30" i="1"/>
  <c r="BJ29" i="1"/>
  <c r="BI29" i="1"/>
  <c r="BH29" i="1"/>
  <c r="BJ28" i="1"/>
  <c r="BI28" i="1"/>
  <c r="BH28" i="1"/>
  <c r="W19" i="21"/>
  <c r="V19" i="21"/>
  <c r="U19" i="21"/>
  <c r="T19" i="21"/>
  <c r="S19" i="21"/>
  <c r="R19" i="21"/>
  <c r="Q19" i="21"/>
  <c r="P19" i="21"/>
  <c r="O19" i="21"/>
  <c r="N19" i="21"/>
  <c r="M19" i="21"/>
  <c r="L19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Z19" i="21"/>
  <c r="Y19" i="21"/>
  <c r="X19" i="21"/>
  <c r="Z18" i="21"/>
  <c r="Y18" i="21"/>
  <c r="X18" i="21"/>
  <c r="Z17" i="21"/>
  <c r="Y17" i="21"/>
  <c r="X17" i="21"/>
  <c r="Z16" i="21"/>
  <c r="Y16" i="21"/>
  <c r="X16" i="21"/>
  <c r="Z15" i="21"/>
  <c r="Y15" i="21"/>
  <c r="X15" i="21"/>
  <c r="C9" i="12"/>
  <c r="C8" i="12"/>
  <c r="C7" i="12"/>
  <c r="C6" i="12"/>
  <c r="C5" i="12"/>
  <c r="AA32" i="22"/>
  <c r="Z32" i="22"/>
  <c r="Y32" i="22"/>
  <c r="AA31" i="22"/>
  <c r="Z31" i="22"/>
  <c r="Y31" i="22"/>
  <c r="AA30" i="22"/>
  <c r="Z30" i="22"/>
  <c r="Y30" i="22"/>
  <c r="AA29" i="22"/>
  <c r="Z29" i="22"/>
  <c r="Y29" i="22"/>
  <c r="AA28" i="22"/>
  <c r="Z28" i="22"/>
  <c r="Y28" i="22"/>
  <c r="J31" i="23" l="1"/>
  <c r="S64" i="11" l="1"/>
  <c r="S61" i="11" s="1"/>
  <c r="S56" i="11"/>
  <c r="S29" i="11"/>
  <c r="F29" i="16" l="1"/>
  <c r="G27" i="16" l="1"/>
  <c r="H27" i="16" s="1"/>
  <c r="G26" i="16"/>
  <c r="H26" i="16" s="1"/>
  <c r="G28" i="16"/>
  <c r="H28" i="16" s="1"/>
  <c r="G25" i="16"/>
  <c r="H25" i="16" s="1"/>
  <c r="G24" i="16"/>
  <c r="H24" i="16" s="1"/>
  <c r="C30" i="16" l="1"/>
  <c r="I4" i="4" l="1"/>
  <c r="J4" i="4" s="1"/>
  <c r="B15" i="4"/>
  <c r="AS42" i="11" l="1"/>
  <c r="N29" i="24" l="1"/>
  <c r="N31" i="24"/>
  <c r="N33" i="24"/>
  <c r="N32" i="24"/>
  <c r="N30" i="24"/>
  <c r="K55" i="21"/>
  <c r="B8" i="20"/>
  <c r="B7" i="20"/>
  <c r="B6" i="20"/>
  <c r="B5" i="20"/>
  <c r="B4" i="20"/>
  <c r="BG67" i="1"/>
  <c r="W55" i="21" s="1"/>
  <c r="BH67" i="1" l="1"/>
  <c r="BI67" i="1" s="1"/>
  <c r="X45" i="22"/>
  <c r="X46" i="22"/>
  <c r="X42" i="22"/>
  <c r="X43" i="22"/>
  <c r="X44" i="22"/>
  <c r="BG46" i="1" l="1"/>
  <c r="BG29" i="11"/>
  <c r="BG42" i="11" s="1"/>
  <c r="W29" i="21"/>
  <c r="W42" i="21" s="1"/>
  <c r="BG32" i="11"/>
  <c r="BG45" i="11" s="1"/>
  <c r="W32" i="21"/>
  <c r="W45" i="21" s="1"/>
  <c r="BG33" i="11"/>
  <c r="BG46" i="11" s="1"/>
  <c r="W33" i="21"/>
  <c r="W46" i="21" s="1"/>
  <c r="BG30" i="11"/>
  <c r="BG43" i="11" s="1"/>
  <c r="W30" i="21"/>
  <c r="W43" i="21" s="1"/>
  <c r="W31" i="21"/>
  <c r="W44" i="21" s="1"/>
  <c r="BG31" i="11"/>
  <c r="BG44" i="11" s="1"/>
  <c r="BG45" i="1"/>
  <c r="BG44" i="1"/>
  <c r="BG42" i="1"/>
  <c r="BG43" i="1"/>
  <c r="X32" i="22" l="1"/>
  <c r="X31" i="22"/>
  <c r="X30" i="22"/>
  <c r="X29" i="22"/>
  <c r="X28" i="22"/>
  <c r="BG21" i="1" l="1"/>
  <c r="BG54" i="1" s="1"/>
  <c r="BG24" i="1"/>
  <c r="BG57" i="1" s="1"/>
  <c r="X25" i="22"/>
  <c r="X58" i="22" s="1"/>
  <c r="X22" i="22"/>
  <c r="X55" i="22" s="1"/>
  <c r="BG22" i="1"/>
  <c r="BG55" i="1" s="1"/>
  <c r="BG25" i="1"/>
  <c r="BG58" i="1" s="1"/>
  <c r="X21" i="22"/>
  <c r="X54" i="22" s="1"/>
  <c r="X23" i="22"/>
  <c r="X56" i="22" s="1"/>
  <c r="BG23" i="1"/>
  <c r="BG56" i="1" s="1"/>
  <c r="X24" i="22"/>
  <c r="X57" i="22" s="1"/>
  <c r="AK33" i="20" l="1"/>
  <c r="AK45" i="20" s="1"/>
  <c r="AK29" i="20"/>
  <c r="AK41" i="20" s="1"/>
  <c r="AK30" i="20"/>
  <c r="AK42" i="20" s="1"/>
  <c r="AK31" i="20"/>
  <c r="AK43" i="20" s="1"/>
  <c r="AK32" i="20"/>
  <c r="AK44" i="20" s="1"/>
  <c r="B64" i="24" l="1"/>
  <c r="X67" i="22" l="1"/>
  <c r="Y67" i="22" s="1"/>
  <c r="U44" i="22" l="1"/>
  <c r="N43" i="22"/>
  <c r="W46" i="22"/>
  <c r="V43" i="22"/>
  <c r="R46" i="22"/>
  <c r="Q43" i="22"/>
  <c r="W44" i="22"/>
  <c r="R42" i="22"/>
  <c r="N45" i="22"/>
  <c r="O44" i="22"/>
  <c r="N42" i="22"/>
  <c r="V42" i="22"/>
  <c r="R44" i="22"/>
  <c r="O42" i="22"/>
  <c r="W42" i="22"/>
  <c r="Q45" i="22"/>
  <c r="O46" i="22"/>
  <c r="T45" i="22"/>
  <c r="S45" i="22"/>
  <c r="U45" i="22"/>
  <c r="S46" i="22"/>
  <c r="T42" i="22"/>
  <c r="T46" i="22"/>
  <c r="U42" i="22"/>
  <c r="S43" i="22"/>
  <c r="U46" i="22"/>
  <c r="V46" i="22"/>
  <c r="U43" i="22"/>
  <c r="S44" i="22"/>
  <c r="R43" i="22"/>
  <c r="V45" i="22"/>
  <c r="S42" i="22"/>
  <c r="V44" i="22"/>
  <c r="N46" i="22"/>
  <c r="M46" i="22"/>
  <c r="N44" i="22"/>
  <c r="P43" i="22"/>
  <c r="W43" i="22"/>
  <c r="Q46" i="22"/>
  <c r="T44" i="22"/>
  <c r="R45" i="22"/>
  <c r="O43" i="22"/>
  <c r="P44" i="22"/>
  <c r="Q44" i="22"/>
  <c r="O45" i="22"/>
  <c r="W45" i="22"/>
  <c r="T43" i="22"/>
  <c r="P45" i="22"/>
  <c r="P42" i="22"/>
  <c r="P46" i="22"/>
  <c r="Q42" i="22"/>
  <c r="M44" i="22"/>
  <c r="M45" i="22"/>
  <c r="M42" i="22"/>
  <c r="M43" i="22"/>
  <c r="B9" i="11" l="1"/>
  <c r="O65" i="1"/>
  <c r="O64" i="1"/>
  <c r="N64" i="1"/>
  <c r="O72" i="1"/>
  <c r="O63" i="1"/>
  <c r="O68" i="1"/>
  <c r="O76" i="1"/>
  <c r="N74" i="1"/>
  <c r="N73" i="1"/>
  <c r="N76" i="1"/>
  <c r="N70" i="1"/>
  <c r="M70" i="1"/>
  <c r="N63" i="1"/>
  <c r="B4" i="1"/>
  <c r="AU42" i="1"/>
  <c r="BG55" i="11"/>
  <c r="U29" i="21" l="1"/>
  <c r="U42" i="21" s="1"/>
  <c r="BB29" i="11"/>
  <c r="BD32" i="11"/>
  <c r="L33" i="21"/>
  <c r="L46" i="21" s="1"/>
  <c r="O29" i="21"/>
  <c r="O42" i="21" s="1"/>
  <c r="BD29" i="11"/>
  <c r="BD42" i="11" s="1"/>
  <c r="BB30" i="11"/>
  <c r="BB43" i="11" s="1"/>
  <c r="AX32" i="11"/>
  <c r="AX45" i="11" s="1"/>
  <c r="BF32" i="11"/>
  <c r="BF45" i="11" s="1"/>
  <c r="BD33" i="11"/>
  <c r="AW42" i="1"/>
  <c r="AX29" i="11"/>
  <c r="BD30" i="11"/>
  <c r="BD43" i="11" s="1"/>
  <c r="BB31" i="11"/>
  <c r="BB44" i="11" s="1"/>
  <c r="AX30" i="11"/>
  <c r="AX43" i="11" s="1"/>
  <c r="BF30" i="11"/>
  <c r="BF43" i="11" s="1"/>
  <c r="AV45" i="1"/>
  <c r="BE43" i="1"/>
  <c r="M30" i="21"/>
  <c r="M43" i="21" s="1"/>
  <c r="U30" i="21"/>
  <c r="U43" i="21" s="1"/>
  <c r="AZ32" i="11"/>
  <c r="AZ45" i="11" s="1"/>
  <c r="T28" i="22"/>
  <c r="S29" i="21"/>
  <c r="S42" i="21" s="1"/>
  <c r="S29" i="22"/>
  <c r="R30" i="21"/>
  <c r="R43" i="21" s="1"/>
  <c r="O31" i="22"/>
  <c r="N32" i="21"/>
  <c r="N45" i="21" s="1"/>
  <c r="U32" i="22"/>
  <c r="T33" i="21"/>
  <c r="T46" i="21" s="1"/>
  <c r="M31" i="22"/>
  <c r="L32" i="21"/>
  <c r="L45" i="21" s="1"/>
  <c r="BB42" i="11"/>
  <c r="BB33" i="11"/>
  <c r="BB46" i="11" s="1"/>
  <c r="U28" i="22"/>
  <c r="T29" i="21"/>
  <c r="T42" i="21" s="1"/>
  <c r="Q30" i="22"/>
  <c r="P31" i="21"/>
  <c r="P44" i="21" s="1"/>
  <c r="W31" i="22"/>
  <c r="V32" i="21"/>
  <c r="V45" i="21" s="1"/>
  <c r="N28" i="22"/>
  <c r="M29" i="21"/>
  <c r="M42" i="21" s="1"/>
  <c r="V28" i="22"/>
  <c r="T29" i="22"/>
  <c r="S30" i="21"/>
  <c r="S43" i="21" s="1"/>
  <c r="R30" i="22"/>
  <c r="Q31" i="21"/>
  <c r="Q44" i="21" s="1"/>
  <c r="P31" i="22"/>
  <c r="O32" i="21"/>
  <c r="O45" i="21" s="1"/>
  <c r="N32" i="22"/>
  <c r="M33" i="21"/>
  <c r="M46" i="21" s="1"/>
  <c r="V32" i="22"/>
  <c r="U33" i="21"/>
  <c r="U46" i="21" s="1"/>
  <c r="BF42" i="1"/>
  <c r="O28" i="22"/>
  <c r="N29" i="21"/>
  <c r="N42" i="21" s="1"/>
  <c r="W28" i="22"/>
  <c r="V29" i="21"/>
  <c r="V42" i="21" s="1"/>
  <c r="U29" i="22"/>
  <c r="T30" i="21"/>
  <c r="T43" i="21" s="1"/>
  <c r="S30" i="22"/>
  <c r="R31" i="21"/>
  <c r="R44" i="21" s="1"/>
  <c r="Q31" i="22"/>
  <c r="P32" i="21"/>
  <c r="P45" i="21" s="1"/>
  <c r="O32" i="22"/>
  <c r="N33" i="21"/>
  <c r="N46" i="21" s="1"/>
  <c r="W32" i="22"/>
  <c r="V33" i="21"/>
  <c r="V46" i="21" s="1"/>
  <c r="BC45" i="1"/>
  <c r="BA42" i="1"/>
  <c r="S31" i="21"/>
  <c r="S44" i="21" s="1"/>
  <c r="R31" i="22"/>
  <c r="Q32" i="21"/>
  <c r="Q45" i="21" s="1"/>
  <c r="P32" i="22"/>
  <c r="O33" i="21"/>
  <c r="O46" i="21" s="1"/>
  <c r="AV43" i="1"/>
  <c r="AZ42" i="1"/>
  <c r="AX43" i="1"/>
  <c r="BF43" i="1"/>
  <c r="M28" i="22"/>
  <c r="L29" i="21"/>
  <c r="L42" i="21" s="1"/>
  <c r="Q28" i="22"/>
  <c r="P29" i="21"/>
  <c r="P42" i="21" s="1"/>
  <c r="O29" i="22"/>
  <c r="N30" i="21"/>
  <c r="N43" i="21" s="1"/>
  <c r="V30" i="21"/>
  <c r="V43" i="21" s="1"/>
  <c r="U30" i="22"/>
  <c r="T31" i="21"/>
  <c r="T44" i="21" s="1"/>
  <c r="S31" i="22"/>
  <c r="R32" i="21"/>
  <c r="R45" i="21" s="1"/>
  <c r="Q32" i="22"/>
  <c r="P33" i="21"/>
  <c r="P46" i="21" s="1"/>
  <c r="M29" i="22"/>
  <c r="L30" i="21"/>
  <c r="L43" i="21" s="1"/>
  <c r="R28" i="22"/>
  <c r="Q29" i="21"/>
  <c r="Q42" i="21" s="1"/>
  <c r="O30" i="21"/>
  <c r="O43" i="21" s="1"/>
  <c r="N30" i="22"/>
  <c r="M31" i="21"/>
  <c r="M44" i="21" s="1"/>
  <c r="V30" i="22"/>
  <c r="U31" i="21"/>
  <c r="U44" i="21" s="1"/>
  <c r="S32" i="21"/>
  <c r="S45" i="21" s="1"/>
  <c r="Q33" i="21"/>
  <c r="Q46" i="21" s="1"/>
  <c r="AV44" i="1"/>
  <c r="BB42" i="1"/>
  <c r="BF44" i="1"/>
  <c r="BD31" i="11"/>
  <c r="BD44" i="11" s="1"/>
  <c r="M30" i="22"/>
  <c r="L31" i="21"/>
  <c r="L44" i="21" s="1"/>
  <c r="S28" i="22"/>
  <c r="R29" i="21"/>
  <c r="R42" i="21" s="1"/>
  <c r="Q29" i="22"/>
  <c r="P30" i="21"/>
  <c r="P43" i="21" s="1"/>
  <c r="O30" i="22"/>
  <c r="N31" i="21"/>
  <c r="N44" i="21" s="1"/>
  <c r="W30" i="22"/>
  <c r="V31" i="21"/>
  <c r="V44" i="21" s="1"/>
  <c r="U31" i="22"/>
  <c r="T32" i="21"/>
  <c r="T45" i="21" s="1"/>
  <c r="S32" i="22"/>
  <c r="R33" i="21"/>
  <c r="R46" i="21" s="1"/>
  <c r="Q30" i="21"/>
  <c r="Q43" i="21" s="1"/>
  <c r="P30" i="22"/>
  <c r="O31" i="21"/>
  <c r="O44" i="21" s="1"/>
  <c r="N31" i="22"/>
  <c r="M32" i="21"/>
  <c r="M45" i="21" s="1"/>
  <c r="V31" i="22"/>
  <c r="U32" i="21"/>
  <c r="U45" i="21" s="1"/>
  <c r="T32" i="22"/>
  <c r="S33" i="21"/>
  <c r="S46" i="21" s="1"/>
  <c r="BE44" i="1"/>
  <c r="BC42" i="1"/>
  <c r="BE45" i="1"/>
  <c r="AV46" i="1"/>
  <c r="BD42" i="1"/>
  <c r="AX45" i="1"/>
  <c r="BF45" i="1"/>
  <c r="BD46" i="1"/>
  <c r="AX44" i="1"/>
  <c r="AX46" i="1"/>
  <c r="BE42" i="1"/>
  <c r="BC43" i="1"/>
  <c r="AW46" i="1"/>
  <c r="BD43" i="1"/>
  <c r="BB44" i="1"/>
  <c r="BF46" i="1"/>
  <c r="AX42" i="1"/>
  <c r="BF31" i="11"/>
  <c r="BF44" i="11" s="1"/>
  <c r="AX31" i="11"/>
  <c r="AX44" i="11" s="1"/>
  <c r="BA29" i="11"/>
  <c r="BA42" i="11" s="1"/>
  <c r="AX33" i="11"/>
  <c r="AX46" i="11" s="1"/>
  <c r="BF29" i="11"/>
  <c r="BF42" i="11" s="1"/>
  <c r="BF33" i="11"/>
  <c r="BF46" i="11" s="1"/>
  <c r="AY32" i="11"/>
  <c r="AY45" i="11" s="1"/>
  <c r="P28" i="22"/>
  <c r="N29" i="22"/>
  <c r="BE33" i="11"/>
  <c r="BE46" i="11" s="1"/>
  <c r="V29" i="22"/>
  <c r="T30" i="22"/>
  <c r="AW44" i="1"/>
  <c r="AW45" i="1"/>
  <c r="BC46" i="1"/>
  <c r="AY44" i="1"/>
  <c r="W29" i="22"/>
  <c r="AW43" i="1"/>
  <c r="AZ44" i="1"/>
  <c r="BA46" i="1"/>
  <c r="AW29" i="11"/>
  <c r="AW42" i="11" s="1"/>
  <c r="BB32" i="11"/>
  <c r="BB45" i="11" s="1"/>
  <c r="BB46" i="1"/>
  <c r="BC32" i="11"/>
  <c r="BC45" i="11" s="1"/>
  <c r="T31" i="22"/>
  <c r="BE46" i="1"/>
  <c r="R29" i="22"/>
  <c r="BC44" i="1"/>
  <c r="P29" i="22"/>
  <c r="R32" i="22"/>
  <c r="BA44" i="1"/>
  <c r="M32" i="22"/>
  <c r="AV42" i="1"/>
  <c r="BD45" i="1"/>
  <c r="BD46" i="11"/>
  <c r="AX42" i="11"/>
  <c r="BD45" i="11"/>
  <c r="AY45" i="1"/>
  <c r="AY43" i="1"/>
  <c r="BD44" i="1"/>
  <c r="BA45" i="1"/>
  <c r="AZ45" i="1"/>
  <c r="AZ43" i="1"/>
  <c r="BB45" i="1"/>
  <c r="AY46" i="1"/>
  <c r="BA43" i="1"/>
  <c r="AZ46" i="1"/>
  <c r="AY42" i="1"/>
  <c r="BB43" i="1"/>
  <c r="BC33" i="11"/>
  <c r="BC46" i="11" s="1"/>
  <c r="AY31" i="11"/>
  <c r="AY44" i="11" s="1"/>
  <c r="BC29" i="11"/>
  <c r="BC42" i="11" s="1"/>
  <c r="BC30" i="11"/>
  <c r="BC43" i="11" s="1"/>
  <c r="BC31" i="11"/>
  <c r="BC44" i="11" s="1"/>
  <c r="BA32" i="11"/>
  <c r="BA45" i="11" s="1"/>
  <c r="BA33" i="11"/>
  <c r="BA46" i="11" s="1"/>
  <c r="AZ31" i="11"/>
  <c r="AZ44" i="11" s="1"/>
  <c r="BE29" i="11"/>
  <c r="BE42" i="11" s="1"/>
  <c r="BE30" i="11"/>
  <c r="BE43" i="11" s="1"/>
  <c r="BE31" i="11"/>
  <c r="BE44" i="11" s="1"/>
  <c r="AW30" i="11"/>
  <c r="AW43" i="11" s="1"/>
  <c r="AW31" i="11"/>
  <c r="AW44" i="11" s="1"/>
  <c r="AW32" i="11"/>
  <c r="AW45" i="11" s="1"/>
  <c r="BE32" i="11"/>
  <c r="BE45" i="11" s="1"/>
  <c r="BA30" i="11"/>
  <c r="BA43" i="11" s="1"/>
  <c r="BA31" i="11"/>
  <c r="BA44" i="11" s="1"/>
  <c r="AW33" i="11"/>
  <c r="AW46" i="11" s="1"/>
  <c r="AV29" i="11"/>
  <c r="AY29" i="11"/>
  <c r="AY42" i="11" s="1"/>
  <c r="AY33" i="11"/>
  <c r="AY46" i="11" s="1"/>
  <c r="AZ29" i="11"/>
  <c r="AZ42" i="11" s="1"/>
  <c r="AZ33" i="11"/>
  <c r="AZ46" i="11" s="1"/>
  <c r="AY30" i="11"/>
  <c r="AY43" i="11" s="1"/>
  <c r="AZ30" i="11"/>
  <c r="AZ43" i="11" s="1"/>
  <c r="AV32" i="11"/>
  <c r="AV45" i="11" s="1"/>
  <c r="AV30" i="11"/>
  <c r="AV43" i="11" s="1"/>
  <c r="AV33" i="11"/>
  <c r="AV46" i="11" s="1"/>
  <c r="AV31" i="11"/>
  <c r="AV44" i="11" s="1"/>
  <c r="N54" i="24"/>
  <c r="B7" i="16"/>
  <c r="AV42" i="11" l="1"/>
  <c r="M33" i="24"/>
  <c r="M32" i="24"/>
  <c r="M31" i="24"/>
  <c r="M29" i="24"/>
  <c r="M30" i="24"/>
  <c r="L31" i="24"/>
  <c r="L33" i="24"/>
  <c r="L32" i="24"/>
  <c r="L29" i="24"/>
  <c r="L30" i="24"/>
  <c r="K33" i="24"/>
  <c r="K30" i="24"/>
  <c r="K32" i="24"/>
  <c r="K31" i="24"/>
  <c r="K29" i="24"/>
  <c r="J33" i="24"/>
  <c r="J29" i="24"/>
  <c r="J32" i="24"/>
  <c r="J31" i="24"/>
  <c r="J30" i="24"/>
  <c r="I32" i="24"/>
  <c r="I30" i="24"/>
  <c r="I29" i="24"/>
  <c r="I33" i="24"/>
  <c r="I31" i="24"/>
  <c r="H30" i="24"/>
  <c r="H29" i="24"/>
  <c r="H31" i="24"/>
  <c r="H33" i="24"/>
  <c r="H32" i="24"/>
  <c r="G32" i="24"/>
  <c r="G33" i="24"/>
  <c r="G29" i="24"/>
  <c r="G30" i="24"/>
  <c r="G31" i="24"/>
  <c r="F33" i="24"/>
  <c r="F31" i="24"/>
  <c r="F29" i="24"/>
  <c r="F32" i="24"/>
  <c r="F30" i="24"/>
  <c r="E33" i="24"/>
  <c r="E31" i="24"/>
  <c r="E29" i="24"/>
  <c r="E32" i="24"/>
  <c r="E30" i="24"/>
  <c r="D32" i="24"/>
  <c r="D31" i="24"/>
  <c r="D30" i="24"/>
  <c r="D33" i="24"/>
  <c r="D29" i="24"/>
  <c r="C30" i="24"/>
  <c r="C33" i="24"/>
  <c r="C29" i="24"/>
  <c r="C32" i="24"/>
  <c r="C31" i="24"/>
  <c r="X55" i="20" l="1"/>
  <c r="X48" i="20"/>
  <c r="Y48" i="20"/>
  <c r="Y41" i="20"/>
  <c r="AJ29" i="20"/>
  <c r="AJ41" i="20" s="1"/>
  <c r="AJ33" i="20"/>
  <c r="AJ45" i="20" s="1"/>
  <c r="AI33" i="20"/>
  <c r="AI45" i="20" s="1"/>
  <c r="AH33" i="20"/>
  <c r="AH45" i="20" s="1"/>
  <c r="AG33" i="20"/>
  <c r="AG45" i="20" s="1"/>
  <c r="AF33" i="20"/>
  <c r="AF45" i="20" s="1"/>
  <c r="AE33" i="20"/>
  <c r="AE45" i="20" s="1"/>
  <c r="AD33" i="20"/>
  <c r="AD45" i="20" s="1"/>
  <c r="AC33" i="20"/>
  <c r="AC45" i="20" s="1"/>
  <c r="AB33" i="20"/>
  <c r="AB45" i="20" s="1"/>
  <c r="AA33" i="20"/>
  <c r="AA45" i="20" s="1"/>
  <c r="Z33" i="20"/>
  <c r="AJ32" i="20"/>
  <c r="AJ44" i="20" s="1"/>
  <c r="AI32" i="20"/>
  <c r="AI44" i="20" s="1"/>
  <c r="AH32" i="20"/>
  <c r="AH44" i="20" s="1"/>
  <c r="AG32" i="20"/>
  <c r="AG44" i="20" s="1"/>
  <c r="AF32" i="20"/>
  <c r="AF44" i="20" s="1"/>
  <c r="AE32" i="20"/>
  <c r="AE44" i="20" s="1"/>
  <c r="AD32" i="20"/>
  <c r="AD44" i="20" s="1"/>
  <c r="AC32" i="20"/>
  <c r="AC44" i="20" s="1"/>
  <c r="AB32" i="20"/>
  <c r="AB44" i="20" s="1"/>
  <c r="AA32" i="20"/>
  <c r="AA44" i="20" s="1"/>
  <c r="Z32" i="20"/>
  <c r="AJ31" i="20"/>
  <c r="AJ43" i="20" s="1"/>
  <c r="AI31" i="20"/>
  <c r="AI43" i="20" s="1"/>
  <c r="AH31" i="20"/>
  <c r="AH43" i="20" s="1"/>
  <c r="AG31" i="20"/>
  <c r="AG43" i="20" s="1"/>
  <c r="AF31" i="20"/>
  <c r="AF43" i="20" s="1"/>
  <c r="AE31" i="20"/>
  <c r="AE43" i="20" s="1"/>
  <c r="AD31" i="20"/>
  <c r="AD43" i="20" s="1"/>
  <c r="AC31" i="20"/>
  <c r="AC43" i="20" s="1"/>
  <c r="AB31" i="20"/>
  <c r="AB43" i="20" s="1"/>
  <c r="AA31" i="20"/>
  <c r="AA43" i="20" s="1"/>
  <c r="Z31" i="20"/>
  <c r="AJ30" i="20"/>
  <c r="AJ42" i="20" s="1"/>
  <c r="AI30" i="20"/>
  <c r="AI42" i="20" s="1"/>
  <c r="AH30" i="20"/>
  <c r="AH42" i="20" s="1"/>
  <c r="AG30" i="20"/>
  <c r="AG42" i="20" s="1"/>
  <c r="AF30" i="20"/>
  <c r="AF42" i="20" s="1"/>
  <c r="AE30" i="20"/>
  <c r="AE42" i="20" s="1"/>
  <c r="AD30" i="20"/>
  <c r="AD42" i="20" s="1"/>
  <c r="AC30" i="20"/>
  <c r="AC42" i="20" s="1"/>
  <c r="AB30" i="20"/>
  <c r="AB42" i="20" s="1"/>
  <c r="AA30" i="20"/>
  <c r="AA42" i="20" s="1"/>
  <c r="Z30" i="20"/>
  <c r="AI29" i="20"/>
  <c r="AI41" i="20" s="1"/>
  <c r="AH29" i="20"/>
  <c r="AH41" i="20" s="1"/>
  <c r="AG29" i="20"/>
  <c r="AG41" i="20" s="1"/>
  <c r="AF29" i="20"/>
  <c r="AF41" i="20" s="1"/>
  <c r="AE29" i="20"/>
  <c r="AE41" i="20" s="1"/>
  <c r="AD29" i="20"/>
  <c r="AD41" i="20" s="1"/>
  <c r="AC29" i="20"/>
  <c r="AC41" i="20" s="1"/>
  <c r="AB29" i="20"/>
  <c r="AB41" i="20" s="1"/>
  <c r="AA29" i="20"/>
  <c r="AA41" i="20" s="1"/>
  <c r="Z29" i="20"/>
  <c r="AK54" i="20"/>
  <c r="BF67" i="1"/>
  <c r="V55" i="21" s="1"/>
  <c r="BE67" i="1"/>
  <c r="U55" i="21" s="1"/>
  <c r="BD67" i="1"/>
  <c r="T55" i="21" s="1"/>
  <c r="BC67" i="1"/>
  <c r="S55" i="21" s="1"/>
  <c r="BB67" i="1"/>
  <c r="R55" i="21" s="1"/>
  <c r="BA67" i="1"/>
  <c r="Q55" i="21" s="1"/>
  <c r="AZ67" i="1"/>
  <c r="P55" i="21" s="1"/>
  <c r="AY67" i="1"/>
  <c r="O55" i="21" s="1"/>
  <c r="AX67" i="1"/>
  <c r="AW67" i="1"/>
  <c r="M55" i="21" s="1"/>
  <c r="AV67" i="1"/>
  <c r="AH54" i="20" l="1"/>
  <c r="AG54" i="20"/>
  <c r="AI54" i="20"/>
  <c r="AD54" i="20"/>
  <c r="Z54" i="20"/>
  <c r="L55" i="21"/>
  <c r="AB54" i="20"/>
  <c r="N55" i="21"/>
  <c r="AC54" i="20"/>
  <c r="AA54" i="20"/>
  <c r="W67" i="22"/>
  <c r="BF55" i="11"/>
  <c r="M54" i="24"/>
  <c r="R67" i="22"/>
  <c r="BA55" i="11"/>
  <c r="H54" i="24"/>
  <c r="P67" i="22"/>
  <c r="AY55" i="11"/>
  <c r="F54" i="24"/>
  <c r="S67" i="22"/>
  <c r="BB55" i="11"/>
  <c r="I54" i="24"/>
  <c r="T67" i="22"/>
  <c r="BC55" i="11"/>
  <c r="J54" i="24"/>
  <c r="O67" i="22"/>
  <c r="AX55" i="11"/>
  <c r="E54" i="24"/>
  <c r="Q67" i="22"/>
  <c r="AZ55" i="11"/>
  <c r="G54" i="24"/>
  <c r="U67" i="22"/>
  <c r="BD55" i="11"/>
  <c r="K54" i="24"/>
  <c r="AE54" i="20"/>
  <c r="AJ54" i="20"/>
  <c r="M67" i="22"/>
  <c r="AV55" i="11"/>
  <c r="C54" i="24"/>
  <c r="N67" i="22"/>
  <c r="AW55" i="11"/>
  <c r="D54" i="24"/>
  <c r="V67" i="22"/>
  <c r="BE55" i="11"/>
  <c r="L54" i="24"/>
  <c r="AF54" i="20"/>
  <c r="Z41" i="20"/>
  <c r="Z44" i="20"/>
  <c r="Z42" i="20"/>
  <c r="Z45" i="20"/>
  <c r="Z43" i="20"/>
  <c r="Y29" i="20"/>
  <c r="Y14" i="22"/>
  <c r="M14" i="22"/>
  <c r="N14" i="22" s="1"/>
  <c r="O14" i="22" s="1"/>
  <c r="P14" i="22" s="1"/>
  <c r="Q14" i="22" s="1"/>
  <c r="R14" i="22" s="1"/>
  <c r="S14" i="22" s="1"/>
  <c r="T14" i="22" s="1"/>
  <c r="U14" i="22" s="1"/>
  <c r="V14" i="22" s="1"/>
  <c r="W14" i="22" s="1"/>
  <c r="X14" i="22" s="1"/>
  <c r="BH14" i="1"/>
  <c r="AV14" i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X14" i="21"/>
  <c r="L14" i="21"/>
  <c r="M14" i="21" s="1"/>
  <c r="N14" i="21" s="1"/>
  <c r="O14" i="21" s="1"/>
  <c r="P14" i="21" s="1"/>
  <c r="Q14" i="21" s="1"/>
  <c r="R14" i="21" s="1"/>
  <c r="S14" i="21" s="1"/>
  <c r="T14" i="21" s="1"/>
  <c r="U14" i="21" s="1"/>
  <c r="V14" i="21" s="1"/>
  <c r="W14" i="21" s="1"/>
  <c r="BH14" i="11"/>
  <c r="AV14" i="11"/>
  <c r="AW14" i="11" s="1"/>
  <c r="AX14" i="11" s="1"/>
  <c r="AY14" i="11" s="1"/>
  <c r="AZ14" i="11" s="1"/>
  <c r="BA14" i="11" s="1"/>
  <c r="BB14" i="11" s="1"/>
  <c r="BC14" i="11" s="1"/>
  <c r="BD14" i="11" s="1"/>
  <c r="BE14" i="11" s="1"/>
  <c r="BF14" i="11" s="1"/>
  <c r="BG14" i="11" s="1"/>
  <c r="AL14" i="20"/>
  <c r="Z14" i="20"/>
  <c r="AA14" i="20" s="1"/>
  <c r="AB14" i="20" s="1"/>
  <c r="AC14" i="20" s="1"/>
  <c r="AD14" i="20" s="1"/>
  <c r="AE14" i="20" s="1"/>
  <c r="AF14" i="20" s="1"/>
  <c r="AG14" i="20" s="1"/>
  <c r="AH14" i="20" s="1"/>
  <c r="AI14" i="20" s="1"/>
  <c r="AJ14" i="20" s="1"/>
  <c r="AK14" i="20" s="1"/>
  <c r="O14" i="24" l="1"/>
  <c r="N45" i="24"/>
  <c r="N44" i="24"/>
  <c r="N43" i="24"/>
  <c r="N42" i="24"/>
  <c r="M45" i="24"/>
  <c r="M44" i="24"/>
  <c r="M43" i="24"/>
  <c r="M42" i="24"/>
  <c r="M41" i="24"/>
  <c r="L45" i="24"/>
  <c r="L44" i="24"/>
  <c r="L43" i="24"/>
  <c r="L42" i="24"/>
  <c r="L41" i="24"/>
  <c r="K45" i="24"/>
  <c r="K44" i="24"/>
  <c r="K43" i="24"/>
  <c r="K42" i="24"/>
  <c r="K41" i="24"/>
  <c r="J45" i="24"/>
  <c r="J44" i="24"/>
  <c r="J43" i="24"/>
  <c r="J42" i="24"/>
  <c r="J41" i="24"/>
  <c r="I45" i="24"/>
  <c r="I44" i="24"/>
  <c r="I43" i="24"/>
  <c r="I42" i="24"/>
  <c r="I41" i="24"/>
  <c r="H45" i="24"/>
  <c r="H44" i="24"/>
  <c r="H43" i="24"/>
  <c r="H42" i="24"/>
  <c r="H41" i="24"/>
  <c r="G45" i="24"/>
  <c r="G44" i="24"/>
  <c r="G43" i="24"/>
  <c r="G42" i="24"/>
  <c r="G41" i="24"/>
  <c r="F45" i="24"/>
  <c r="F44" i="24"/>
  <c r="F43" i="24"/>
  <c r="F42" i="24"/>
  <c r="F41" i="24"/>
  <c r="E45" i="24"/>
  <c r="E44" i="24"/>
  <c r="E43" i="24"/>
  <c r="E42" i="24"/>
  <c r="E41" i="24"/>
  <c r="D45" i="24"/>
  <c r="D44" i="24"/>
  <c r="D43" i="24"/>
  <c r="D42" i="24"/>
  <c r="D41" i="24"/>
  <c r="C45" i="24"/>
  <c r="C52" i="24" s="1"/>
  <c r="C44" i="24"/>
  <c r="C51" i="24" s="1"/>
  <c r="C43" i="24"/>
  <c r="C50" i="24" s="1"/>
  <c r="C42" i="24"/>
  <c r="C49" i="24" s="1"/>
  <c r="N41" i="24" l="1"/>
  <c r="D4" i="24"/>
  <c r="C41" i="24"/>
  <c r="C48" i="24" s="1"/>
  <c r="C55" i="24" l="1"/>
  <c r="D48" i="24" s="1"/>
  <c r="F10" i="16"/>
  <c r="G8" i="16" l="1"/>
  <c r="H8" i="16" s="1"/>
  <c r="G5" i="16"/>
  <c r="H5" i="16" s="1"/>
  <c r="C11" i="16" s="1"/>
  <c r="G9" i="16"/>
  <c r="H9" i="16" s="1"/>
  <c r="G6" i="16"/>
  <c r="H6" i="16" s="1"/>
  <c r="C32" i="16"/>
  <c r="C34" i="16"/>
  <c r="C33" i="16"/>
  <c r="G7" i="16"/>
  <c r="H7" i="16" s="1"/>
  <c r="E16" i="5" l="1"/>
  <c r="G10" i="16"/>
  <c r="H29" i="16"/>
  <c r="G29" i="16"/>
  <c r="C31" i="16"/>
  <c r="B13" i="16"/>
  <c r="B14" i="16"/>
  <c r="B15" i="16"/>
  <c r="B12" i="16"/>
  <c r="B11" i="16"/>
  <c r="B48" i="16" l="1"/>
  <c r="B30" i="16"/>
  <c r="B49" i="16"/>
  <c r="B31" i="16"/>
  <c r="B34" i="16"/>
  <c r="B52" i="16"/>
  <c r="B32" i="16"/>
  <c r="B50" i="16"/>
  <c r="B33" i="16"/>
  <c r="B51" i="16"/>
  <c r="C35" i="16"/>
  <c r="C36" i="16" s="1"/>
  <c r="F29" i="11"/>
  <c r="F30" i="11"/>
  <c r="K33" i="21"/>
  <c r="J33" i="21"/>
  <c r="I33" i="21"/>
  <c r="H33" i="21"/>
  <c r="G33" i="21"/>
  <c r="K32" i="21"/>
  <c r="J32" i="21"/>
  <c r="I32" i="21"/>
  <c r="H32" i="21"/>
  <c r="G32" i="21"/>
  <c r="K31" i="21"/>
  <c r="J31" i="21"/>
  <c r="I31" i="21"/>
  <c r="H31" i="21"/>
  <c r="G31" i="21"/>
  <c r="K30" i="21"/>
  <c r="J30" i="21"/>
  <c r="I30" i="21"/>
  <c r="H30" i="21"/>
  <c r="G30" i="21"/>
  <c r="K29" i="21"/>
  <c r="J29" i="21"/>
  <c r="I29" i="21"/>
  <c r="H29" i="21"/>
  <c r="G29" i="21"/>
  <c r="F33" i="21"/>
  <c r="F32" i="21"/>
  <c r="F31" i="21"/>
  <c r="F30" i="21"/>
  <c r="F29" i="21"/>
  <c r="Q29" i="11"/>
  <c r="G29" i="11"/>
  <c r="B35" i="16" l="1"/>
  <c r="B53" i="16"/>
  <c r="G20" i="13"/>
  <c r="H20" i="13" s="1"/>
  <c r="F31" i="13" l="1"/>
  <c r="B6" i="16"/>
  <c r="C12" i="16" l="1"/>
  <c r="C13" i="16"/>
  <c r="E18" i="5" s="1"/>
  <c r="C14" i="16"/>
  <c r="E19" i="5" s="1"/>
  <c r="C15" i="16"/>
  <c r="E20" i="5" s="1"/>
  <c r="E17" i="5" l="1"/>
  <c r="C16" i="16"/>
  <c r="C17" i="16" s="1"/>
  <c r="H10" i="16"/>
  <c r="G10" i="13" l="1"/>
  <c r="H10" i="13" s="1"/>
  <c r="G31" i="13" l="1"/>
  <c r="AN41" i="20" l="1"/>
  <c r="AN44" i="20"/>
  <c r="AN43" i="20"/>
  <c r="AN45" i="20"/>
  <c r="AN42" i="20"/>
  <c r="AL41" i="20" l="1"/>
  <c r="C4" i="20"/>
  <c r="D4" i="20" s="1"/>
  <c r="AL45" i="20"/>
  <c r="C8" i="20"/>
  <c r="AL42" i="20"/>
  <c r="C5" i="20"/>
  <c r="AL43" i="20"/>
  <c r="C6" i="20"/>
  <c r="AL44" i="20"/>
  <c r="C7" i="20"/>
  <c r="AM45" i="20"/>
  <c r="AM41" i="20"/>
  <c r="AM43" i="20"/>
  <c r="AM42" i="20"/>
  <c r="AL54" i="20" l="1"/>
  <c r="AU67" i="1" l="1"/>
  <c r="H22" i="4" l="1"/>
  <c r="H23" i="4"/>
  <c r="H24" i="4"/>
  <c r="H21" i="4"/>
  <c r="I21" i="4"/>
  <c r="I22" i="4"/>
  <c r="I23" i="4"/>
  <c r="I24" i="4"/>
  <c r="I20" i="4"/>
  <c r="J20" i="4" l="1"/>
  <c r="G25" i="4"/>
  <c r="J24" i="4"/>
  <c r="J23" i="4"/>
  <c r="J22" i="4"/>
  <c r="J21" i="4"/>
  <c r="I25" i="4" l="1"/>
  <c r="H25" i="4"/>
  <c r="J25" i="4"/>
  <c r="O54" i="24" l="1"/>
  <c r="B54" i="24"/>
  <c r="A36" i="24"/>
  <c r="B45" i="24"/>
  <c r="B44" i="24"/>
  <c r="B43" i="24"/>
  <c r="B42" i="24"/>
  <c r="B41" i="24"/>
  <c r="P14" i="24"/>
  <c r="Q14" i="24" s="1"/>
  <c r="D8" i="24"/>
  <c r="D7" i="24"/>
  <c r="D6" i="24"/>
  <c r="D5" i="24"/>
  <c r="E31" i="13"/>
  <c r="G31" i="23"/>
  <c r="F8" i="23"/>
  <c r="F4" i="23"/>
  <c r="D9" i="23"/>
  <c r="C9" i="23"/>
  <c r="J21" i="23" s="1"/>
  <c r="G8" i="23"/>
  <c r="G7" i="23"/>
  <c r="F7" i="23"/>
  <c r="G6" i="23"/>
  <c r="F6" i="23"/>
  <c r="G5" i="23"/>
  <c r="F5" i="23"/>
  <c r="S7" i="23" l="1"/>
  <c r="G18" i="13" s="1"/>
  <c r="M6" i="23"/>
  <c r="D31" i="13"/>
  <c r="S5" i="23"/>
  <c r="G16" i="13" s="1"/>
  <c r="M5" i="23"/>
  <c r="S6" i="23"/>
  <c r="G17" i="13" s="1"/>
  <c r="D9" i="24"/>
  <c r="S8" i="23"/>
  <c r="G19" i="13" s="1"/>
  <c r="M8" i="23"/>
  <c r="M7" i="23"/>
  <c r="B58" i="24" l="1"/>
  <c r="C58" i="24" s="1"/>
  <c r="D51" i="24" s="1"/>
  <c r="D58" i="24" s="1"/>
  <c r="E51" i="24" s="1"/>
  <c r="E58" i="24" s="1"/>
  <c r="F51" i="24" s="1"/>
  <c r="F58" i="24" s="1"/>
  <c r="G51" i="24" s="1"/>
  <c r="G58" i="24" s="1"/>
  <c r="H51" i="24" s="1"/>
  <c r="H58" i="24" s="1"/>
  <c r="I51" i="24" s="1"/>
  <c r="I58" i="24" s="1"/>
  <c r="J51" i="24" s="1"/>
  <c r="J58" i="24" s="1"/>
  <c r="K51" i="24" s="1"/>
  <c r="K58" i="24" s="1"/>
  <c r="L51" i="24" s="1"/>
  <c r="L58" i="24" s="1"/>
  <c r="M51" i="24" s="1"/>
  <c r="M58" i="24" l="1"/>
  <c r="N51" i="24" s="1"/>
  <c r="B57" i="24"/>
  <c r="N58" i="24" l="1"/>
  <c r="C57" i="24"/>
  <c r="D50" i="24" s="1"/>
  <c r="D57" i="24" s="1"/>
  <c r="E50" i="24" s="1"/>
  <c r="E57" i="24" s="1"/>
  <c r="F50" i="24" s="1"/>
  <c r="F57" i="24" s="1"/>
  <c r="G50" i="24" s="1"/>
  <c r="G57" i="24" s="1"/>
  <c r="H50" i="24" s="1"/>
  <c r="H57" i="24" s="1"/>
  <c r="I50" i="24" s="1"/>
  <c r="I57" i="24" s="1"/>
  <c r="J50" i="24" s="1"/>
  <c r="J57" i="24" s="1"/>
  <c r="K50" i="24" s="1"/>
  <c r="K57" i="24" s="1"/>
  <c r="L50" i="24" s="1"/>
  <c r="L57" i="24" s="1"/>
  <c r="M50" i="24" s="1"/>
  <c r="B56" i="24"/>
  <c r="M57" i="24" l="1"/>
  <c r="N50" i="24" s="1"/>
  <c r="C56" i="24"/>
  <c r="B59" i="24"/>
  <c r="C59" i="24" s="1"/>
  <c r="D52" i="24" s="1"/>
  <c r="D59" i="24" s="1"/>
  <c r="E52" i="24" s="1"/>
  <c r="E59" i="24" s="1"/>
  <c r="F52" i="24" s="1"/>
  <c r="F59" i="24" s="1"/>
  <c r="G52" i="24" s="1"/>
  <c r="G59" i="24" s="1"/>
  <c r="H52" i="24" s="1"/>
  <c r="H59" i="24" s="1"/>
  <c r="I52" i="24" s="1"/>
  <c r="I59" i="24" s="1"/>
  <c r="J52" i="24" s="1"/>
  <c r="J59" i="24" s="1"/>
  <c r="K52" i="24" s="1"/>
  <c r="K59" i="24" s="1"/>
  <c r="L52" i="24" s="1"/>
  <c r="L59" i="24" s="1"/>
  <c r="M52" i="24" s="1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Y55" i="20" s="1"/>
  <c r="N57" i="24" l="1"/>
  <c r="M59" i="24"/>
  <c r="N52" i="24" s="1"/>
  <c r="D49" i="24"/>
  <c r="D56" i="24" s="1"/>
  <c r="E49" i="24" s="1"/>
  <c r="E56" i="24" s="1"/>
  <c r="F49" i="24" s="1"/>
  <c r="F56" i="24" s="1"/>
  <c r="G49" i="24" s="1"/>
  <c r="G56" i="24" s="1"/>
  <c r="H49" i="24" s="1"/>
  <c r="H56" i="24" s="1"/>
  <c r="I49" i="24" s="1"/>
  <c r="I56" i="24" s="1"/>
  <c r="J49" i="24" s="1"/>
  <c r="J56" i="24" s="1"/>
  <c r="K49" i="24" s="1"/>
  <c r="K56" i="24" s="1"/>
  <c r="L49" i="24" s="1"/>
  <c r="L56" i="24" s="1"/>
  <c r="M49" i="24" s="1"/>
  <c r="C63" i="24"/>
  <c r="C60" i="24" s="1"/>
  <c r="C61" i="24"/>
  <c r="Z48" i="20"/>
  <c r="Z55" i="20" s="1"/>
  <c r="F42" i="21"/>
  <c r="F55" i="21"/>
  <c r="G55" i="21"/>
  <c r="H55" i="21"/>
  <c r="I55" i="21"/>
  <c r="J55" i="21"/>
  <c r="E55" i="2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N59" i="24" l="1"/>
  <c r="M56" i="24"/>
  <c r="N49" i="24" s="1"/>
  <c r="AA48" i="20"/>
  <c r="AA55" i="20" s="1"/>
  <c r="AU21" i="1"/>
  <c r="N56" i="24" l="1"/>
  <c r="AB48" i="20"/>
  <c r="B55" i="24"/>
  <c r="B63" i="24" l="1"/>
  <c r="AB55" i="20"/>
  <c r="AC48" i="20" s="1"/>
  <c r="AC55" i="20" s="1"/>
  <c r="B61" i="24"/>
  <c r="B60" i="24"/>
  <c r="AD48" i="20" l="1"/>
  <c r="AD55" i="20" s="1"/>
  <c r="AE48" i="20" l="1"/>
  <c r="D55" i="24"/>
  <c r="D63" i="24" s="1"/>
  <c r="B21" i="22"/>
  <c r="B54" i="22" s="1"/>
  <c r="C21" i="22"/>
  <c r="B22" i="22"/>
  <c r="C22" i="22"/>
  <c r="B23" i="22"/>
  <c r="C23" i="22"/>
  <c r="B24" i="22"/>
  <c r="C24" i="22"/>
  <c r="B25" i="22"/>
  <c r="C25" i="22"/>
  <c r="K67" i="22"/>
  <c r="L67" i="22"/>
  <c r="F67" i="22"/>
  <c r="G67" i="22"/>
  <c r="H67" i="22"/>
  <c r="I67" i="22"/>
  <c r="J67" i="22"/>
  <c r="E67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1" i="22"/>
  <c r="L21" i="22"/>
  <c r="K22" i="22"/>
  <c r="L22" i="22"/>
  <c r="K23" i="22"/>
  <c r="K56" i="22" s="1"/>
  <c r="L23" i="22"/>
  <c r="K24" i="22"/>
  <c r="L24" i="22"/>
  <c r="K25" i="22"/>
  <c r="L25" i="22"/>
  <c r="C14" i="22"/>
  <c r="D14" i="22" s="1"/>
  <c r="E14" i="22" s="1"/>
  <c r="F14" i="22" s="1"/>
  <c r="G14" i="22" s="1"/>
  <c r="H14" i="22" s="1"/>
  <c r="I14" i="22" s="1"/>
  <c r="J14" i="22" s="1"/>
  <c r="K14" i="22" s="1"/>
  <c r="L14" i="22" s="1"/>
  <c r="E48" i="24" l="1"/>
  <c r="E55" i="24" s="1"/>
  <c r="D60" i="24"/>
  <c r="D61" i="24"/>
  <c r="AE55" i="20"/>
  <c r="AF48" i="20" s="1"/>
  <c r="K54" i="22"/>
  <c r="L55" i="22"/>
  <c r="K58" i="22"/>
  <c r="K57" i="22"/>
  <c r="K55" i="22"/>
  <c r="L56" i="22"/>
  <c r="L57" i="22"/>
  <c r="L58" i="22"/>
  <c r="L54" i="22"/>
  <c r="E63" i="24" l="1"/>
  <c r="E60" i="24" s="1"/>
  <c r="F48" i="24"/>
  <c r="F55" i="24" s="1"/>
  <c r="F61" i="24" s="1"/>
  <c r="AF55" i="20"/>
  <c r="AG48" i="20" s="1"/>
  <c r="AG55" i="20" s="1"/>
  <c r="E61" i="24"/>
  <c r="AT67" i="1"/>
  <c r="AS67" i="1"/>
  <c r="AR67" i="1"/>
  <c r="AQ67" i="1"/>
  <c r="AP67" i="1"/>
  <c r="AO67" i="1"/>
  <c r="AN67" i="1"/>
  <c r="AM67" i="1"/>
  <c r="AL67" i="1"/>
  <c r="AK67" i="1"/>
  <c r="AJ67" i="1"/>
  <c r="F63" i="24" l="1"/>
  <c r="F60" i="24" s="1"/>
  <c r="G48" i="24"/>
  <c r="G55" i="24" s="1"/>
  <c r="AH48" i="20"/>
  <c r="AH55" i="20" s="1"/>
  <c r="AJ29" i="11"/>
  <c r="AJ42" i="11" s="1"/>
  <c r="AK29" i="11"/>
  <c r="AK42" i="11" s="1"/>
  <c r="AL29" i="11"/>
  <c r="AL42" i="11" s="1"/>
  <c r="AM29" i="11"/>
  <c r="AM42" i="11" s="1"/>
  <c r="AN29" i="11"/>
  <c r="AN42" i="11" s="1"/>
  <c r="AO29" i="11"/>
  <c r="AO42" i="11" s="1"/>
  <c r="AP29" i="11"/>
  <c r="AP42" i="11" s="1"/>
  <c r="AQ29" i="11"/>
  <c r="AQ42" i="11" s="1"/>
  <c r="AR29" i="11"/>
  <c r="AR42" i="11" s="1"/>
  <c r="AS29" i="11"/>
  <c r="AT29" i="11"/>
  <c r="AT42" i="11" s="1"/>
  <c r="AU29" i="11"/>
  <c r="AU42" i="11" s="1"/>
  <c r="AJ30" i="11"/>
  <c r="AJ43" i="11" s="1"/>
  <c r="AK30" i="11"/>
  <c r="AK43" i="11" s="1"/>
  <c r="AL30" i="11"/>
  <c r="AL43" i="11" s="1"/>
  <c r="AM30" i="11"/>
  <c r="AM43" i="11" s="1"/>
  <c r="AN30" i="11"/>
  <c r="AN43" i="11" s="1"/>
  <c r="AO30" i="11"/>
  <c r="AO43" i="11" s="1"/>
  <c r="AP30" i="11"/>
  <c r="AP43" i="11" s="1"/>
  <c r="AQ30" i="11"/>
  <c r="AQ43" i="11" s="1"/>
  <c r="AR30" i="11"/>
  <c r="AR43" i="11" s="1"/>
  <c r="AS30" i="11"/>
  <c r="AS43" i="11" s="1"/>
  <c r="AT30" i="11"/>
  <c r="AT43" i="11" s="1"/>
  <c r="AU30" i="11"/>
  <c r="AU43" i="11" s="1"/>
  <c r="AJ31" i="11"/>
  <c r="AJ44" i="11" s="1"/>
  <c r="AK31" i="11"/>
  <c r="AK44" i="11" s="1"/>
  <c r="AL31" i="11"/>
  <c r="AL44" i="11" s="1"/>
  <c r="AM31" i="11"/>
  <c r="AM44" i="11" s="1"/>
  <c r="AN31" i="11"/>
  <c r="AN44" i="11" s="1"/>
  <c r="AO31" i="11"/>
  <c r="AO44" i="11" s="1"/>
  <c r="AP31" i="11"/>
  <c r="AP44" i="11" s="1"/>
  <c r="AQ31" i="11"/>
  <c r="AQ44" i="11" s="1"/>
  <c r="AR31" i="11"/>
  <c r="AR44" i="11" s="1"/>
  <c r="AS31" i="11"/>
  <c r="AS44" i="11" s="1"/>
  <c r="AT31" i="11"/>
  <c r="AT44" i="11" s="1"/>
  <c r="AU31" i="11"/>
  <c r="AU44" i="11" s="1"/>
  <c r="AJ32" i="11"/>
  <c r="AJ45" i="11" s="1"/>
  <c r="AK32" i="11"/>
  <c r="AK45" i="11" s="1"/>
  <c r="AL32" i="11"/>
  <c r="AL45" i="11" s="1"/>
  <c r="AM32" i="11"/>
  <c r="AM45" i="11" s="1"/>
  <c r="AN32" i="11"/>
  <c r="AN45" i="11" s="1"/>
  <c r="AO32" i="11"/>
  <c r="AO45" i="11" s="1"/>
  <c r="AP32" i="11"/>
  <c r="AP45" i="11" s="1"/>
  <c r="AQ32" i="11"/>
  <c r="AQ45" i="11" s="1"/>
  <c r="AR32" i="11"/>
  <c r="AR45" i="11" s="1"/>
  <c r="AS32" i="11"/>
  <c r="AS45" i="11" s="1"/>
  <c r="AT32" i="11"/>
  <c r="AT45" i="11" s="1"/>
  <c r="AU32" i="11"/>
  <c r="AU45" i="11" s="1"/>
  <c r="AJ33" i="11"/>
  <c r="AJ46" i="11" s="1"/>
  <c r="AK33" i="11"/>
  <c r="AK46" i="11" s="1"/>
  <c r="AL33" i="11"/>
  <c r="AL46" i="11" s="1"/>
  <c r="AM33" i="11"/>
  <c r="AM46" i="11" s="1"/>
  <c r="AN33" i="11"/>
  <c r="AN46" i="11" s="1"/>
  <c r="AO33" i="11"/>
  <c r="AO46" i="11" s="1"/>
  <c r="AP33" i="11"/>
  <c r="AP46" i="11" s="1"/>
  <c r="AQ33" i="11"/>
  <c r="AQ46" i="11" s="1"/>
  <c r="AR33" i="11"/>
  <c r="AR46" i="11" s="1"/>
  <c r="AS33" i="11"/>
  <c r="AS46" i="11" s="1"/>
  <c r="AT33" i="11"/>
  <c r="AT46" i="11" s="1"/>
  <c r="AU33" i="11"/>
  <c r="AU46" i="11" s="1"/>
  <c r="AJ21" i="1"/>
  <c r="AK21" i="1"/>
  <c r="AL21" i="1"/>
  <c r="AM21" i="1"/>
  <c r="AM54" i="1" s="1"/>
  <c r="AN21" i="1"/>
  <c r="AO21" i="1"/>
  <c r="AP21" i="1"/>
  <c r="AQ21" i="1"/>
  <c r="AR21" i="1"/>
  <c r="AS21" i="1"/>
  <c r="AT21" i="1"/>
  <c r="AJ22" i="1"/>
  <c r="AK22" i="1"/>
  <c r="AL22" i="1"/>
  <c r="AM22" i="1"/>
  <c r="AN22" i="1"/>
  <c r="AO22" i="1"/>
  <c r="AP22" i="1"/>
  <c r="AQ22" i="1"/>
  <c r="AR22" i="1"/>
  <c r="AR55" i="1" s="1"/>
  <c r="AS22" i="1"/>
  <c r="AT22" i="1"/>
  <c r="AU22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J25" i="1"/>
  <c r="AK25" i="1"/>
  <c r="AL25" i="1"/>
  <c r="AM25" i="1"/>
  <c r="AN25" i="1"/>
  <c r="AN58" i="1" s="1"/>
  <c r="AO25" i="1"/>
  <c r="AP25" i="1"/>
  <c r="AQ25" i="1"/>
  <c r="AR25" i="1"/>
  <c r="AS25" i="1"/>
  <c r="AT25" i="1"/>
  <c r="AU25" i="1"/>
  <c r="AJ42" i="1"/>
  <c r="AK42" i="1"/>
  <c r="AL42" i="1"/>
  <c r="AM42" i="1"/>
  <c r="AN42" i="1"/>
  <c r="AN54" i="1" s="1"/>
  <c r="AO42" i="1"/>
  <c r="AO54" i="1" s="1"/>
  <c r="AP42" i="1"/>
  <c r="AQ42" i="1"/>
  <c r="AQ54" i="1" s="1"/>
  <c r="AR42" i="1"/>
  <c r="AS42" i="1"/>
  <c r="AT42" i="1"/>
  <c r="AU54" i="1"/>
  <c r="AJ43" i="1"/>
  <c r="AK43" i="1"/>
  <c r="AK55" i="1" s="1"/>
  <c r="AL43" i="1"/>
  <c r="AL55" i="1" s="1"/>
  <c r="AM43" i="1"/>
  <c r="AM55" i="1" s="1"/>
  <c r="AN43" i="1"/>
  <c r="AN55" i="1" s="1"/>
  <c r="AO43" i="1"/>
  <c r="AP43" i="1"/>
  <c r="AQ43" i="1"/>
  <c r="AR43" i="1"/>
  <c r="AS43" i="1"/>
  <c r="AS55" i="1" s="1"/>
  <c r="AT43" i="1"/>
  <c r="AT55" i="1" s="1"/>
  <c r="AU43" i="1"/>
  <c r="AJ44" i="1"/>
  <c r="AK44" i="1"/>
  <c r="AL44" i="1"/>
  <c r="AM44" i="1"/>
  <c r="AN44" i="1"/>
  <c r="AO44" i="1"/>
  <c r="AO56" i="1" s="1"/>
  <c r="AP44" i="1"/>
  <c r="AP56" i="1" s="1"/>
  <c r="AQ44" i="1"/>
  <c r="AQ56" i="1" s="1"/>
  <c r="AR44" i="1"/>
  <c r="AR56" i="1" s="1"/>
  <c r="AS44" i="1"/>
  <c r="AT44" i="1"/>
  <c r="AU44" i="1"/>
  <c r="AJ45" i="1"/>
  <c r="AK45" i="1"/>
  <c r="AK57" i="1" s="1"/>
  <c r="AL45" i="1"/>
  <c r="AL57" i="1" s="1"/>
  <c r="AM45" i="1"/>
  <c r="AM57" i="1" s="1"/>
  <c r="AN45" i="1"/>
  <c r="AN57" i="1" s="1"/>
  <c r="AO45" i="1"/>
  <c r="AP45" i="1"/>
  <c r="AQ45" i="1"/>
  <c r="AR45" i="1"/>
  <c r="AS45" i="1"/>
  <c r="AS57" i="1" s="1"/>
  <c r="AT45" i="1"/>
  <c r="AU45" i="1"/>
  <c r="AJ46" i="1"/>
  <c r="AK46" i="1"/>
  <c r="AL46" i="1"/>
  <c r="AM46" i="1"/>
  <c r="AN46" i="1"/>
  <c r="AO46" i="1"/>
  <c r="AO58" i="1" s="1"/>
  <c r="AP46" i="1"/>
  <c r="AP58" i="1" s="1"/>
  <c r="AQ46" i="1"/>
  <c r="AQ58" i="1" s="1"/>
  <c r="AR46" i="1"/>
  <c r="AS46" i="1"/>
  <c r="AT46" i="1"/>
  <c r="AU46" i="1"/>
  <c r="AK54" i="1"/>
  <c r="AP54" i="1"/>
  <c r="AS54" i="1"/>
  <c r="AT54" i="1"/>
  <c r="AT56" i="1"/>
  <c r="AT57" i="1"/>
  <c r="N29" i="20"/>
  <c r="N41" i="20" s="1"/>
  <c r="O29" i="20"/>
  <c r="O41" i="20" s="1"/>
  <c r="P29" i="20"/>
  <c r="P41" i="20" s="1"/>
  <c r="Q29" i="20"/>
  <c r="Q41" i="20" s="1"/>
  <c r="R29" i="20"/>
  <c r="S29" i="20"/>
  <c r="T29" i="20"/>
  <c r="U29" i="20"/>
  <c r="V29" i="20"/>
  <c r="V41" i="20" s="1"/>
  <c r="W29" i="20"/>
  <c r="W41" i="20" s="1"/>
  <c r="X29" i="20"/>
  <c r="X41" i="20" s="1"/>
  <c r="N30" i="20"/>
  <c r="N42" i="20" s="1"/>
  <c r="O30" i="20"/>
  <c r="P30" i="20"/>
  <c r="P42" i="20" s="1"/>
  <c r="Q30" i="20"/>
  <c r="Q42" i="20" s="1"/>
  <c r="R30" i="20"/>
  <c r="R42" i="20" s="1"/>
  <c r="S30" i="20"/>
  <c r="S42" i="20" s="1"/>
  <c r="T30" i="20"/>
  <c r="T42" i="20" s="1"/>
  <c r="U30" i="20"/>
  <c r="U42" i="20" s="1"/>
  <c r="V30" i="20"/>
  <c r="W30" i="20"/>
  <c r="X30" i="20"/>
  <c r="X42" i="20" s="1"/>
  <c r="Y30" i="20"/>
  <c r="Y42" i="20" s="1"/>
  <c r="N31" i="20"/>
  <c r="N43" i="20" s="1"/>
  <c r="O31" i="20"/>
  <c r="O43" i="20" s="1"/>
  <c r="P31" i="20"/>
  <c r="Q31" i="20"/>
  <c r="Q43" i="20" s="1"/>
  <c r="R31" i="20"/>
  <c r="S31" i="20"/>
  <c r="T31" i="20"/>
  <c r="T43" i="20" s="1"/>
  <c r="U31" i="20"/>
  <c r="U43" i="20" s="1"/>
  <c r="V31" i="20"/>
  <c r="V43" i="20" s="1"/>
  <c r="W31" i="20"/>
  <c r="W43" i="20" s="1"/>
  <c r="X31" i="20"/>
  <c r="Y31" i="20"/>
  <c r="Y43" i="20" s="1"/>
  <c r="N32" i="20"/>
  <c r="N44" i="20" s="1"/>
  <c r="O32" i="20"/>
  <c r="P32" i="20"/>
  <c r="P44" i="20" s="1"/>
  <c r="Q32" i="20"/>
  <c r="Q44" i="20" s="1"/>
  <c r="R32" i="20"/>
  <c r="R44" i="20" s="1"/>
  <c r="S32" i="20"/>
  <c r="S44" i="20" s="1"/>
  <c r="T32" i="20"/>
  <c r="T44" i="20" s="1"/>
  <c r="U32" i="20"/>
  <c r="U44" i="20" s="1"/>
  <c r="V32" i="20"/>
  <c r="V44" i="20" s="1"/>
  <c r="W32" i="20"/>
  <c r="X32" i="20"/>
  <c r="X44" i="20" s="1"/>
  <c r="Y32" i="20"/>
  <c r="Y44" i="20" s="1"/>
  <c r="N33" i="20"/>
  <c r="N45" i="20" s="1"/>
  <c r="O33" i="20"/>
  <c r="O45" i="20" s="1"/>
  <c r="P33" i="20"/>
  <c r="Q33" i="20"/>
  <c r="Q45" i="20" s="1"/>
  <c r="R33" i="20"/>
  <c r="R45" i="20" s="1"/>
  <c r="S33" i="20"/>
  <c r="T33" i="20"/>
  <c r="T45" i="20" s="1"/>
  <c r="U33" i="20"/>
  <c r="U45" i="20" s="1"/>
  <c r="V33" i="20"/>
  <c r="V45" i="20" s="1"/>
  <c r="W33" i="20"/>
  <c r="W45" i="20" s="1"/>
  <c r="X33" i="20"/>
  <c r="X45" i="20" s="1"/>
  <c r="Y33" i="20"/>
  <c r="Y45" i="20" s="1"/>
  <c r="R41" i="20"/>
  <c r="S41" i="20"/>
  <c r="T41" i="20"/>
  <c r="U41" i="20"/>
  <c r="O42" i="20"/>
  <c r="V42" i="20"/>
  <c r="W42" i="20"/>
  <c r="P43" i="20"/>
  <c r="R43" i="20"/>
  <c r="S43" i="20"/>
  <c r="X43" i="20"/>
  <c r="O44" i="20"/>
  <c r="W44" i="20"/>
  <c r="P45" i="20"/>
  <c r="S45" i="20"/>
  <c r="Z67" i="22"/>
  <c r="C58" i="22"/>
  <c r="B58" i="22"/>
  <c r="B65" i="22" s="1"/>
  <c r="B72" i="22" s="1"/>
  <c r="C57" i="22"/>
  <c r="B57" i="22"/>
  <c r="B64" i="22" s="1"/>
  <c r="C56" i="22"/>
  <c r="B56" i="22"/>
  <c r="B63" i="22" s="1"/>
  <c r="B70" i="22" s="1"/>
  <c r="C55" i="22"/>
  <c r="B55" i="22"/>
  <c r="B62" i="22" s="1"/>
  <c r="C54" i="22"/>
  <c r="B61" i="22"/>
  <c r="I46" i="22"/>
  <c r="H46" i="22"/>
  <c r="G46" i="22"/>
  <c r="I45" i="22"/>
  <c r="H45" i="22"/>
  <c r="G45" i="22"/>
  <c r="I44" i="22"/>
  <c r="H44" i="22"/>
  <c r="G44" i="22"/>
  <c r="I43" i="22"/>
  <c r="H43" i="22"/>
  <c r="G43" i="22"/>
  <c r="I42" i="22"/>
  <c r="H42" i="22"/>
  <c r="G42" i="22"/>
  <c r="A39" i="22"/>
  <c r="A38" i="22"/>
  <c r="A37" i="22"/>
  <c r="A36" i="22"/>
  <c r="A35" i="22"/>
  <c r="A49" i="22" s="1"/>
  <c r="J25" i="22"/>
  <c r="J58" i="22" s="1"/>
  <c r="I25" i="22"/>
  <c r="H25" i="22"/>
  <c r="G25" i="22"/>
  <c r="F25" i="22"/>
  <c r="F58" i="22" s="1"/>
  <c r="E25" i="22"/>
  <c r="E58" i="22" s="1"/>
  <c r="D25" i="22"/>
  <c r="D58" i="22" s="1"/>
  <c r="J24" i="22"/>
  <c r="I24" i="22"/>
  <c r="H24" i="22"/>
  <c r="G24" i="22"/>
  <c r="F24" i="22"/>
  <c r="E24" i="22"/>
  <c r="E57" i="22" s="1"/>
  <c r="D24" i="22"/>
  <c r="D57" i="22" s="1"/>
  <c r="J23" i="22"/>
  <c r="I23" i="22"/>
  <c r="H23" i="22"/>
  <c r="G23" i="22"/>
  <c r="F23" i="22"/>
  <c r="F56" i="22" s="1"/>
  <c r="E23" i="22"/>
  <c r="E56" i="22" s="1"/>
  <c r="D23" i="22"/>
  <c r="D56" i="22" s="1"/>
  <c r="J22" i="22"/>
  <c r="I22" i="22"/>
  <c r="H22" i="22"/>
  <c r="G22" i="22"/>
  <c r="F22" i="22"/>
  <c r="E22" i="22"/>
  <c r="E55" i="22" s="1"/>
  <c r="D22" i="22"/>
  <c r="D55" i="22" s="1"/>
  <c r="J21" i="22"/>
  <c r="J54" i="22" s="1"/>
  <c r="I21" i="22"/>
  <c r="H21" i="22"/>
  <c r="G21" i="22"/>
  <c r="G54" i="22" s="1"/>
  <c r="F21" i="22"/>
  <c r="F54" i="22" s="1"/>
  <c r="E21" i="22"/>
  <c r="E54" i="22" s="1"/>
  <c r="D21" i="22"/>
  <c r="D54" i="22" s="1"/>
  <c r="X55" i="21"/>
  <c r="E46" i="21"/>
  <c r="D46" i="21"/>
  <c r="C46" i="21"/>
  <c r="B46" i="21"/>
  <c r="B53" i="21" s="1"/>
  <c r="B60" i="21" s="1"/>
  <c r="E45" i="21"/>
  <c r="D45" i="21"/>
  <c r="C45" i="21"/>
  <c r="B45" i="21"/>
  <c r="B52" i="21" s="1"/>
  <c r="E44" i="21"/>
  <c r="D44" i="21"/>
  <c r="C44" i="21"/>
  <c r="B44" i="21"/>
  <c r="B51" i="21" s="1"/>
  <c r="E43" i="21"/>
  <c r="D43" i="21"/>
  <c r="C43" i="21"/>
  <c r="B43" i="21"/>
  <c r="B50" i="21" s="1"/>
  <c r="E42" i="21"/>
  <c r="D42" i="21"/>
  <c r="C42" i="21"/>
  <c r="B42" i="21"/>
  <c r="B49" i="21" s="1"/>
  <c r="B56" i="21" s="1"/>
  <c r="A36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F44" i="21"/>
  <c r="K43" i="21"/>
  <c r="J43" i="21"/>
  <c r="I43" i="21"/>
  <c r="H43" i="21"/>
  <c r="G43" i="21"/>
  <c r="F43" i="21"/>
  <c r="K42" i="21"/>
  <c r="J42" i="21"/>
  <c r="H42" i="21"/>
  <c r="G42" i="21"/>
  <c r="C14" i="21"/>
  <c r="D14" i="21" s="1"/>
  <c r="E14" i="21" s="1"/>
  <c r="F14" i="21" s="1"/>
  <c r="G14" i="21" s="1"/>
  <c r="H14" i="21" s="1"/>
  <c r="I14" i="21" s="1"/>
  <c r="J14" i="21" s="1"/>
  <c r="G63" i="24" l="1"/>
  <c r="G60" i="24" s="1"/>
  <c r="I57" i="22"/>
  <c r="H48" i="24"/>
  <c r="H55" i="24" s="1"/>
  <c r="G61" i="24"/>
  <c r="AI48" i="20"/>
  <c r="G58" i="22"/>
  <c r="H58" i="22"/>
  <c r="I55" i="22"/>
  <c r="H54" i="22"/>
  <c r="AL54" i="1"/>
  <c r="AT58" i="1"/>
  <c r="AL58" i="1"/>
  <c r="AL56" i="1"/>
  <c r="AP55" i="1"/>
  <c r="AP57" i="1"/>
  <c r="AM58" i="1"/>
  <c r="AQ57" i="1"/>
  <c r="AM56" i="1"/>
  <c r="AQ55" i="1"/>
  <c r="AS58" i="1"/>
  <c r="AK58" i="1"/>
  <c r="AO57" i="1"/>
  <c r="AS56" i="1"/>
  <c r="AK56" i="1"/>
  <c r="AO55" i="1"/>
  <c r="AR54" i="1"/>
  <c r="AJ54" i="1"/>
  <c r="AR57" i="1"/>
  <c r="AN56" i="1"/>
  <c r="AR58" i="1"/>
  <c r="AJ58" i="1"/>
  <c r="AJ56" i="1"/>
  <c r="AJ57" i="1"/>
  <c r="AJ55" i="1"/>
  <c r="K14" i="21"/>
  <c r="Y14" i="21" s="1"/>
  <c r="Z14" i="21" s="1"/>
  <c r="AA67" i="22"/>
  <c r="AU58" i="1"/>
  <c r="AU57" i="1"/>
  <c r="AU56" i="1"/>
  <c r="AU55" i="1"/>
  <c r="G55" i="22"/>
  <c r="G57" i="22"/>
  <c r="J56" i="22"/>
  <c r="H57" i="22"/>
  <c r="Z14" i="22"/>
  <c r="AA14" i="22" s="1"/>
  <c r="C63" i="22"/>
  <c r="C70" i="22" s="1"/>
  <c r="D63" i="22" s="1"/>
  <c r="F55" i="22"/>
  <c r="J55" i="22"/>
  <c r="H56" i="22"/>
  <c r="I56" i="22"/>
  <c r="B69" i="22"/>
  <c r="C62" i="22" s="1"/>
  <c r="H55" i="22"/>
  <c r="F57" i="22"/>
  <c r="J57" i="22"/>
  <c r="B68" i="22"/>
  <c r="B71" i="22"/>
  <c r="I54" i="22"/>
  <c r="G56" i="22"/>
  <c r="I58" i="22"/>
  <c r="C65" i="22"/>
  <c r="B57" i="21"/>
  <c r="C50" i="21" s="1"/>
  <c r="I42" i="21"/>
  <c r="G44" i="21"/>
  <c r="B59" i="21"/>
  <c r="C52" i="21" s="1"/>
  <c r="C49" i="21"/>
  <c r="B58" i="21"/>
  <c r="C51" i="21" s="1"/>
  <c r="C53" i="21"/>
  <c r="H63" i="24" l="1"/>
  <c r="H60" i="24" s="1"/>
  <c r="AI55" i="20"/>
  <c r="AJ48" i="20" s="1"/>
  <c r="AJ55" i="20" s="1"/>
  <c r="I48" i="24"/>
  <c r="I55" i="24" s="1"/>
  <c r="H61" i="24"/>
  <c r="C61" i="22"/>
  <c r="C68" i="22" s="1"/>
  <c r="D61" i="22" s="1"/>
  <c r="B76" i="22"/>
  <c r="B73" i="22" s="1"/>
  <c r="C69" i="22"/>
  <c r="D62" i="22" s="1"/>
  <c r="D70" i="22"/>
  <c r="E63" i="22" s="1"/>
  <c r="C72" i="22"/>
  <c r="C64" i="22"/>
  <c r="B74" i="22"/>
  <c r="C58" i="21"/>
  <c r="D51" i="21" s="1"/>
  <c r="C57" i="21"/>
  <c r="D50" i="21" s="1"/>
  <c r="B62" i="21"/>
  <c r="C60" i="21"/>
  <c r="D53" i="21" s="1"/>
  <c r="C59" i="21"/>
  <c r="D52" i="21" s="1"/>
  <c r="B64" i="21"/>
  <c r="C56" i="21"/>
  <c r="D49" i="21" s="1"/>
  <c r="D56" i="21" s="1"/>
  <c r="I63" i="24" l="1"/>
  <c r="I60" i="24" s="1"/>
  <c r="AK48" i="20"/>
  <c r="I61" i="24"/>
  <c r="J48" i="24"/>
  <c r="J55" i="24" s="1"/>
  <c r="J63" i="24" s="1"/>
  <c r="J60" i="24" s="1"/>
  <c r="E70" i="22"/>
  <c r="F63" i="22" s="1"/>
  <c r="D68" i="22"/>
  <c r="E61" i="22" s="1"/>
  <c r="D69" i="22"/>
  <c r="E62" i="22" s="1"/>
  <c r="D65" i="22"/>
  <c r="C71" i="22"/>
  <c r="C74" i="22" s="1"/>
  <c r="D57" i="21"/>
  <c r="E50" i="21" s="1"/>
  <c r="D59" i="21"/>
  <c r="E52" i="21" s="1"/>
  <c r="C62" i="21"/>
  <c r="D60" i="21"/>
  <c r="E53" i="21" s="1"/>
  <c r="D58" i="21"/>
  <c r="E51" i="21" s="1"/>
  <c r="E49" i="21"/>
  <c r="B61" i="21"/>
  <c r="C64" i="21"/>
  <c r="K48" i="24" l="1"/>
  <c r="K55" i="24" s="1"/>
  <c r="K63" i="24" s="1"/>
  <c r="AK55" i="20"/>
  <c r="AL48" i="20" s="1"/>
  <c r="J61" i="24"/>
  <c r="D62" i="21"/>
  <c r="D64" i="22"/>
  <c r="D71" i="22" s="1"/>
  <c r="C76" i="22"/>
  <c r="C73" i="22" s="1"/>
  <c r="D72" i="22"/>
  <c r="E68" i="22"/>
  <c r="E69" i="22"/>
  <c r="F62" i="22" s="1"/>
  <c r="F70" i="22"/>
  <c r="G63" i="22" s="1"/>
  <c r="E56" i="21"/>
  <c r="F49" i="21" s="1"/>
  <c r="E60" i="21"/>
  <c r="F53" i="21" s="1"/>
  <c r="E59" i="21"/>
  <c r="F52" i="21" s="1"/>
  <c r="C61" i="21"/>
  <c r="D64" i="21"/>
  <c r="E58" i="21"/>
  <c r="F51" i="21" s="1"/>
  <c r="E57" i="21"/>
  <c r="E64" i="22" l="1"/>
  <c r="E71" i="22" s="1"/>
  <c r="F64" i="22" s="1"/>
  <c r="L48" i="24"/>
  <c r="L55" i="24" s="1"/>
  <c r="L63" i="24" s="1"/>
  <c r="K60" i="24"/>
  <c r="K61" i="24"/>
  <c r="F61" i="22"/>
  <c r="F68" i="22" s="1"/>
  <c r="G61" i="22" s="1"/>
  <c r="E62" i="21"/>
  <c r="D76" i="22"/>
  <c r="D73" i="22" s="1"/>
  <c r="D74" i="22"/>
  <c r="F69" i="22"/>
  <c r="G62" i="22" s="1"/>
  <c r="G70" i="22"/>
  <c r="H63" i="22" s="1"/>
  <c r="E65" i="22"/>
  <c r="D61" i="21"/>
  <c r="E64" i="21"/>
  <c r="F50" i="21"/>
  <c r="F58" i="21"/>
  <c r="G51" i="21" s="1"/>
  <c r="F59" i="21"/>
  <c r="G52" i="21" s="1"/>
  <c r="F56" i="21"/>
  <c r="F60" i="21"/>
  <c r="G53" i="21" s="1"/>
  <c r="M48" i="24" l="1"/>
  <c r="L60" i="24"/>
  <c r="L61" i="24"/>
  <c r="G49" i="21"/>
  <c r="G56" i="21" s="1"/>
  <c r="H49" i="21" s="1"/>
  <c r="F71" i="22"/>
  <c r="G64" i="22" s="1"/>
  <c r="H70" i="22"/>
  <c r="I63" i="22" s="1"/>
  <c r="G69" i="22"/>
  <c r="H62" i="22" s="1"/>
  <c r="G68" i="22"/>
  <c r="H61" i="22" s="1"/>
  <c r="E72" i="22"/>
  <c r="E74" i="22" s="1"/>
  <c r="G59" i="21"/>
  <c r="H52" i="21" s="1"/>
  <c r="G60" i="21"/>
  <c r="H53" i="21" s="1"/>
  <c r="G58" i="21"/>
  <c r="H51" i="21" s="1"/>
  <c r="E61" i="21"/>
  <c r="F57" i="21"/>
  <c r="F64" i="21" s="1"/>
  <c r="M55" i="24" l="1"/>
  <c r="M63" i="24" s="1"/>
  <c r="F62" i="21"/>
  <c r="G50" i="21"/>
  <c r="G57" i="21" s="1"/>
  <c r="G62" i="21" s="1"/>
  <c r="H69" i="22"/>
  <c r="I62" i="22" s="1"/>
  <c r="I70" i="22"/>
  <c r="J63" i="22" s="1"/>
  <c r="H68" i="22"/>
  <c r="I61" i="22" s="1"/>
  <c r="G71" i="22"/>
  <c r="H64" i="22" s="1"/>
  <c r="E76" i="22"/>
  <c r="F65" i="22"/>
  <c r="H58" i="21"/>
  <c r="I51" i="21" s="1"/>
  <c r="F61" i="21"/>
  <c r="H60" i="21"/>
  <c r="I53" i="21" s="1"/>
  <c r="H56" i="21"/>
  <c r="I49" i="21" s="1"/>
  <c r="H59" i="21"/>
  <c r="I52" i="21" s="1"/>
  <c r="M61" i="24" l="1"/>
  <c r="N48" i="24"/>
  <c r="N55" i="24" s="1"/>
  <c r="M60" i="24"/>
  <c r="H50" i="21"/>
  <c r="H57" i="21" s="1"/>
  <c r="H62" i="21" s="1"/>
  <c r="G64" i="21"/>
  <c r="G61" i="21" s="1"/>
  <c r="H71" i="22"/>
  <c r="I64" i="22" s="1"/>
  <c r="E73" i="22"/>
  <c r="J70" i="22"/>
  <c r="K63" i="22" s="1"/>
  <c r="I68" i="22"/>
  <c r="I69" i="22"/>
  <c r="J62" i="22" s="1"/>
  <c r="F72" i="22"/>
  <c r="F74" i="22" s="1"/>
  <c r="I59" i="21"/>
  <c r="J52" i="21" s="1"/>
  <c r="I56" i="21"/>
  <c r="J49" i="21" s="1"/>
  <c r="I60" i="21"/>
  <c r="J53" i="21" s="1"/>
  <c r="I58" i="21"/>
  <c r="J51" i="21" s="1"/>
  <c r="N61" i="24" l="1"/>
  <c r="N63" i="24"/>
  <c r="N60" i="24" s="1"/>
  <c r="I50" i="21"/>
  <c r="I57" i="21" s="1"/>
  <c r="J50" i="21" s="1"/>
  <c r="H64" i="21"/>
  <c r="H61" i="21" s="1"/>
  <c r="K70" i="22"/>
  <c r="L63" i="22" s="1"/>
  <c r="F76" i="22"/>
  <c r="F73" i="22" s="1"/>
  <c r="G65" i="22"/>
  <c r="G72" i="22" s="1"/>
  <c r="G74" i="22" s="1"/>
  <c r="J69" i="22"/>
  <c r="K62" i="22" s="1"/>
  <c r="I71" i="22"/>
  <c r="J64" i="22" s="1"/>
  <c r="J61" i="22"/>
  <c r="J58" i="21"/>
  <c r="K51" i="21" s="1"/>
  <c r="J56" i="21"/>
  <c r="K49" i="21" s="1"/>
  <c r="J59" i="21"/>
  <c r="K52" i="21" s="1"/>
  <c r="J60" i="21"/>
  <c r="K53" i="21" s="1"/>
  <c r="K56" i="21" l="1"/>
  <c r="L49" i="21" s="1"/>
  <c r="L56" i="21" s="1"/>
  <c r="M49" i="21" s="1"/>
  <c r="L70" i="22"/>
  <c r="I62" i="21"/>
  <c r="I64" i="21"/>
  <c r="I61" i="21" s="1"/>
  <c r="K69" i="22"/>
  <c r="H65" i="22"/>
  <c r="H72" i="22" s="1"/>
  <c r="H74" i="22" s="1"/>
  <c r="G76" i="22"/>
  <c r="G73" i="22" s="1"/>
  <c r="J71" i="22"/>
  <c r="K64" i="22" s="1"/>
  <c r="J68" i="22"/>
  <c r="K61" i="22" s="1"/>
  <c r="J57" i="21"/>
  <c r="K50" i="21" s="1"/>
  <c r="J64" i="21" l="1"/>
  <c r="J61" i="21" s="1"/>
  <c r="K68" i="22"/>
  <c r="L61" i="22" s="1"/>
  <c r="K71" i="22"/>
  <c r="L64" i="22" s="1"/>
  <c r="L62" i="22"/>
  <c r="H76" i="22"/>
  <c r="H73" i="22" s="1"/>
  <c r="I65" i="22"/>
  <c r="J62" i="21"/>
  <c r="L68" i="22" l="1"/>
  <c r="L69" i="22"/>
  <c r="L71" i="22"/>
  <c r="I72" i="22"/>
  <c r="J65" i="22" s="1"/>
  <c r="J72" i="22" l="1"/>
  <c r="J74" i="22" s="1"/>
  <c r="I74" i="22"/>
  <c r="I76" i="22"/>
  <c r="K65" i="22" l="1"/>
  <c r="J76" i="22"/>
  <c r="I73" i="22"/>
  <c r="K72" i="22" l="1"/>
  <c r="K74" i="22" s="1"/>
  <c r="J73" i="22"/>
  <c r="L65" i="22" l="1"/>
  <c r="K76" i="22"/>
  <c r="L72" i="22" l="1"/>
  <c r="L74" i="22" s="1"/>
  <c r="K73" i="22"/>
  <c r="L76" i="22" l="1"/>
  <c r="AB49" i="1"/>
  <c r="AA49" i="1"/>
  <c r="Z49" i="1"/>
  <c r="L73" i="22" l="1"/>
  <c r="G29" i="20" l="1"/>
  <c r="K60" i="21" l="1"/>
  <c r="K58" i="21"/>
  <c r="K59" i="21"/>
  <c r="G4" i="23"/>
  <c r="L52" i="21" l="1"/>
  <c r="L59" i="21" s="1"/>
  <c r="L51" i="21"/>
  <c r="L58" i="21" s="1"/>
  <c r="L53" i="21"/>
  <c r="L60" i="21" s="1"/>
  <c r="M4" i="23"/>
  <c r="S4" i="23"/>
  <c r="G15" i="13" s="1"/>
  <c r="D54" i="1"/>
  <c r="B4" i="11"/>
  <c r="M51" i="21" l="1"/>
  <c r="M58" i="21" s="1"/>
  <c r="N51" i="21" s="1"/>
  <c r="M53" i="21"/>
  <c r="M60" i="21" s="1"/>
  <c r="N53" i="21" s="1"/>
  <c r="M52" i="21"/>
  <c r="M59" i="21" s="1"/>
  <c r="N52" i="21" s="1"/>
  <c r="K57" i="21"/>
  <c r="G31" i="5"/>
  <c r="G21" i="5"/>
  <c r="N58" i="21" l="1"/>
  <c r="O51" i="21" s="1"/>
  <c r="N59" i="21"/>
  <c r="O52" i="21" s="1"/>
  <c r="N60" i="21"/>
  <c r="O53" i="21" s="1"/>
  <c r="O60" i="21" s="1"/>
  <c r="L50" i="21"/>
  <c r="L57" i="21" s="1"/>
  <c r="K64" i="21"/>
  <c r="K61" i="21" s="1"/>
  <c r="K62" i="21"/>
  <c r="L64" i="21" l="1"/>
  <c r="L62" i="21"/>
  <c r="M56" i="21"/>
  <c r="N49" i="21" s="1"/>
  <c r="P53" i="21"/>
  <c r="O59" i="21"/>
  <c r="P52" i="21" s="1"/>
  <c r="O58" i="21"/>
  <c r="P51" i="21" s="1"/>
  <c r="N56" i="21" l="1"/>
  <c r="L61" i="21"/>
  <c r="M50" i="21"/>
  <c r="M57" i="21" s="1"/>
  <c r="M62" i="21" s="1"/>
  <c r="P59" i="21"/>
  <c r="Q52" i="21" s="1"/>
  <c r="P60" i="21"/>
  <c r="Q53" i="21" s="1"/>
  <c r="P58" i="21"/>
  <c r="Q51" i="21" s="1"/>
  <c r="B16" i="16"/>
  <c r="O49" i="21" l="1"/>
  <c r="O56" i="21" s="1"/>
  <c r="N50" i="21"/>
  <c r="N57" i="21" s="1"/>
  <c r="N62" i="21" s="1"/>
  <c r="M64" i="21"/>
  <c r="Q58" i="21"/>
  <c r="R51" i="21" s="1"/>
  <c r="Q60" i="21"/>
  <c r="R53" i="21" s="1"/>
  <c r="Q59" i="21"/>
  <c r="R52" i="21" s="1"/>
  <c r="AI67" i="1"/>
  <c r="N64" i="21" l="1"/>
  <c r="N61" i="21" s="1"/>
  <c r="M61" i="21"/>
  <c r="O50" i="21"/>
  <c r="R59" i="21"/>
  <c r="S52" i="21" s="1"/>
  <c r="R60" i="21"/>
  <c r="S53" i="21" s="1"/>
  <c r="R58" i="21"/>
  <c r="S51" i="21" s="1"/>
  <c r="AI21" i="1"/>
  <c r="P49" i="21" l="1"/>
  <c r="S60" i="21"/>
  <c r="T53" i="21" s="1"/>
  <c r="S59" i="21"/>
  <c r="T52" i="21" s="1"/>
  <c r="S58" i="21"/>
  <c r="T51" i="21" s="1"/>
  <c r="O57" i="21"/>
  <c r="O64" i="21" s="1"/>
  <c r="L54" i="20"/>
  <c r="K54" i="20"/>
  <c r="J54" i="20"/>
  <c r="I54" i="20"/>
  <c r="H54" i="20"/>
  <c r="G54" i="20"/>
  <c r="F54" i="20"/>
  <c r="E54" i="20"/>
  <c r="D54" i="20"/>
  <c r="C54" i="20"/>
  <c r="B54" i="20"/>
  <c r="C29" i="20"/>
  <c r="C33" i="20" s="1"/>
  <c r="C30" i="20"/>
  <c r="C31" i="20"/>
  <c r="C32" i="20"/>
  <c r="B31" i="20"/>
  <c r="B32" i="20"/>
  <c r="B30" i="20"/>
  <c r="B29" i="20"/>
  <c r="B41" i="20" s="1"/>
  <c r="O62" i="21" l="1"/>
  <c r="P56" i="21"/>
  <c r="Q49" i="21" s="1"/>
  <c r="P50" i="21"/>
  <c r="T59" i="21"/>
  <c r="U52" i="21" s="1"/>
  <c r="T58" i="21"/>
  <c r="U51" i="21" s="1"/>
  <c r="T60" i="21"/>
  <c r="U53" i="21" s="1"/>
  <c r="O61" i="21"/>
  <c r="B33" i="20"/>
  <c r="L29" i="20"/>
  <c r="L41" i="20" s="1"/>
  <c r="M29" i="20"/>
  <c r="M41" i="20" s="1"/>
  <c r="L30" i="20"/>
  <c r="L42" i="20" s="1"/>
  <c r="M30" i="20"/>
  <c r="M42" i="20" s="1"/>
  <c r="L31" i="20"/>
  <c r="L43" i="20" s="1"/>
  <c r="M31" i="20"/>
  <c r="M43" i="20" s="1"/>
  <c r="L32" i="20"/>
  <c r="L44" i="20" s="1"/>
  <c r="M32" i="20"/>
  <c r="M44" i="20" s="1"/>
  <c r="L33" i="20"/>
  <c r="L45" i="20" s="1"/>
  <c r="M33" i="20"/>
  <c r="M45" i="20" s="1"/>
  <c r="Q56" i="21" l="1"/>
  <c r="R49" i="21" s="1"/>
  <c r="U60" i="21"/>
  <c r="V53" i="21" s="1"/>
  <c r="U58" i="21"/>
  <c r="V51" i="21" s="1"/>
  <c r="U59" i="21"/>
  <c r="V52" i="21" s="1"/>
  <c r="P57" i="21"/>
  <c r="P62" i="21" s="1"/>
  <c r="A36" i="20"/>
  <c r="K33" i="20"/>
  <c r="K45" i="20" s="1"/>
  <c r="J33" i="20"/>
  <c r="J45" i="20" s="1"/>
  <c r="I33" i="20"/>
  <c r="I45" i="20" s="1"/>
  <c r="H33" i="20"/>
  <c r="H45" i="20" s="1"/>
  <c r="G33" i="20"/>
  <c r="G45" i="20" s="1"/>
  <c r="F33" i="20"/>
  <c r="F45" i="20" s="1"/>
  <c r="E33" i="20"/>
  <c r="E45" i="20" s="1"/>
  <c r="D33" i="20"/>
  <c r="C45" i="20"/>
  <c r="B45" i="20"/>
  <c r="B52" i="20" s="1"/>
  <c r="K32" i="20"/>
  <c r="K44" i="20" s="1"/>
  <c r="J32" i="20"/>
  <c r="J44" i="20" s="1"/>
  <c r="I32" i="20"/>
  <c r="I44" i="20" s="1"/>
  <c r="H32" i="20"/>
  <c r="H44" i="20" s="1"/>
  <c r="G32" i="20"/>
  <c r="G44" i="20" s="1"/>
  <c r="F32" i="20"/>
  <c r="F44" i="20" s="1"/>
  <c r="E32" i="20"/>
  <c r="E44" i="20" s="1"/>
  <c r="D32" i="20"/>
  <c r="C44" i="20"/>
  <c r="B44" i="20"/>
  <c r="B51" i="20" s="1"/>
  <c r="K31" i="20"/>
  <c r="K43" i="20" s="1"/>
  <c r="J31" i="20"/>
  <c r="J43" i="20" s="1"/>
  <c r="I31" i="20"/>
  <c r="I43" i="20" s="1"/>
  <c r="H31" i="20"/>
  <c r="H43" i="20" s="1"/>
  <c r="G31" i="20"/>
  <c r="G43" i="20" s="1"/>
  <c r="F31" i="20"/>
  <c r="F43" i="20" s="1"/>
  <c r="E31" i="20"/>
  <c r="E43" i="20" s="1"/>
  <c r="D31" i="20"/>
  <c r="C43" i="20"/>
  <c r="B43" i="20"/>
  <c r="B50" i="20" s="1"/>
  <c r="K30" i="20"/>
  <c r="K42" i="20" s="1"/>
  <c r="J30" i="20"/>
  <c r="J42" i="20" s="1"/>
  <c r="I30" i="20"/>
  <c r="I42" i="20" s="1"/>
  <c r="H30" i="20"/>
  <c r="H42" i="20" s="1"/>
  <c r="G30" i="20"/>
  <c r="G42" i="20" s="1"/>
  <c r="F30" i="20"/>
  <c r="F42" i="20" s="1"/>
  <c r="E30" i="20"/>
  <c r="E42" i="20" s="1"/>
  <c r="D30" i="20"/>
  <c r="C42" i="20"/>
  <c r="B42" i="20"/>
  <c r="B49" i="20" s="1"/>
  <c r="K29" i="20"/>
  <c r="K41" i="20" s="1"/>
  <c r="J29" i="20"/>
  <c r="J41" i="20" s="1"/>
  <c r="I29" i="20"/>
  <c r="I41" i="20" s="1"/>
  <c r="H29" i="20"/>
  <c r="H41" i="20" s="1"/>
  <c r="G41" i="20"/>
  <c r="F29" i="20"/>
  <c r="F41" i="20" s="1"/>
  <c r="E29" i="20"/>
  <c r="E41" i="20" s="1"/>
  <c r="D29" i="20"/>
  <c r="C41" i="20"/>
  <c r="C14" i="20"/>
  <c r="D14" i="20" s="1"/>
  <c r="E14" i="20" s="1"/>
  <c r="F14" i="20" s="1"/>
  <c r="G14" i="20" s="1"/>
  <c r="H14" i="20" s="1"/>
  <c r="I14" i="20" s="1"/>
  <c r="J14" i="20" s="1"/>
  <c r="K14" i="20" s="1"/>
  <c r="L14" i="20" s="1"/>
  <c r="M14" i="20" s="1"/>
  <c r="N14" i="20" s="1"/>
  <c r="O14" i="20" s="1"/>
  <c r="P14" i="20" s="1"/>
  <c r="Q14" i="20" s="1"/>
  <c r="R14" i="20" s="1"/>
  <c r="S14" i="20" s="1"/>
  <c r="T14" i="20" s="1"/>
  <c r="U14" i="20" s="1"/>
  <c r="V14" i="20" s="1"/>
  <c r="W14" i="20" s="1"/>
  <c r="X14" i="20" s="1"/>
  <c r="Y14" i="20" s="1"/>
  <c r="AM14" i="20" s="1"/>
  <c r="AN14" i="20" s="1"/>
  <c r="Q50" i="21" l="1"/>
  <c r="P64" i="21"/>
  <c r="P61" i="21" s="1"/>
  <c r="V59" i="21"/>
  <c r="V58" i="21"/>
  <c r="V60" i="21"/>
  <c r="R56" i="21"/>
  <c r="S49" i="21" s="1"/>
  <c r="D43" i="20"/>
  <c r="D45" i="20"/>
  <c r="D41" i="20"/>
  <c r="D42" i="20"/>
  <c r="D44" i="20"/>
  <c r="B48" i="20"/>
  <c r="B55" i="20" s="1"/>
  <c r="B9" i="20"/>
  <c r="B59" i="20"/>
  <c r="C52" i="20" s="1"/>
  <c r="B57" i="20"/>
  <c r="C50" i="20" s="1"/>
  <c r="B56" i="20"/>
  <c r="C49" i="20" s="1"/>
  <c r="B58" i="20"/>
  <c r="W51" i="21" l="1"/>
  <c r="W52" i="21"/>
  <c r="W53" i="21"/>
  <c r="Q57" i="21"/>
  <c r="R50" i="21" s="1"/>
  <c r="D8" i="20"/>
  <c r="D5" i="20"/>
  <c r="D7" i="20"/>
  <c r="D6" i="20"/>
  <c r="B63" i="20"/>
  <c r="B60" i="20" s="1"/>
  <c r="B61" i="20"/>
  <c r="C59" i="20"/>
  <c r="D52" i="20" s="1"/>
  <c r="C57" i="20"/>
  <c r="D50" i="20" s="1"/>
  <c r="C48" i="20"/>
  <c r="C56" i="20"/>
  <c r="D49" i="20" s="1"/>
  <c r="C51" i="20"/>
  <c r="W60" i="21" l="1"/>
  <c r="W59" i="21"/>
  <c r="W58" i="21"/>
  <c r="S56" i="21"/>
  <c r="T49" i="21" s="1"/>
  <c r="Q62" i="21"/>
  <c r="Q64" i="21"/>
  <c r="D9" i="20"/>
  <c r="C9" i="20"/>
  <c r="D59" i="20"/>
  <c r="E52" i="20" s="1"/>
  <c r="D56" i="20"/>
  <c r="C55" i="20"/>
  <c r="D48" i="20" s="1"/>
  <c r="D57" i="20"/>
  <c r="C58" i="20"/>
  <c r="D51" i="20" s="1"/>
  <c r="R57" i="21" l="1"/>
  <c r="R64" i="21" s="1"/>
  <c r="Q61" i="21"/>
  <c r="D55" i="20"/>
  <c r="E48" i="20" s="1"/>
  <c r="E59" i="20"/>
  <c r="F52" i="20" s="1"/>
  <c r="D58" i="20"/>
  <c r="E51" i="20" s="1"/>
  <c r="E50" i="20"/>
  <c r="C61" i="20"/>
  <c r="C63" i="20"/>
  <c r="E49" i="20"/>
  <c r="R62" i="21" l="1"/>
  <c r="S50" i="21"/>
  <c r="T56" i="21"/>
  <c r="U49" i="21" s="1"/>
  <c r="R61" i="21"/>
  <c r="F59" i="20"/>
  <c r="E55" i="20"/>
  <c r="F48" i="20" s="1"/>
  <c r="D61" i="20"/>
  <c r="E56" i="20"/>
  <c r="F49" i="20" s="1"/>
  <c r="C60" i="20"/>
  <c r="D63" i="20"/>
  <c r="E58" i="20"/>
  <c r="F51" i="20" s="1"/>
  <c r="E57" i="20"/>
  <c r="AI29" i="11"/>
  <c r="AI42" i="11" s="1"/>
  <c r="AI30" i="11"/>
  <c r="AI43" i="11" s="1"/>
  <c r="AI31" i="11"/>
  <c r="AI44" i="11" s="1"/>
  <c r="AI32" i="11"/>
  <c r="AI45" i="11" s="1"/>
  <c r="AI33" i="11"/>
  <c r="AI46" i="11" s="1"/>
  <c r="AI55" i="11"/>
  <c r="X29" i="11"/>
  <c r="X42" i="11" s="1"/>
  <c r="Y29" i="11"/>
  <c r="Y42" i="11" s="1"/>
  <c r="Z29" i="11"/>
  <c r="Z42" i="11" s="1"/>
  <c r="AA29" i="11"/>
  <c r="AA42" i="11" s="1"/>
  <c r="AB29" i="11"/>
  <c r="AB42" i="11" s="1"/>
  <c r="AC29" i="11"/>
  <c r="AD29" i="11"/>
  <c r="AD42" i="11" s="1"/>
  <c r="AE29" i="11"/>
  <c r="AE42" i="11" s="1"/>
  <c r="AF29" i="11"/>
  <c r="AF42" i="11" s="1"/>
  <c r="AG29" i="11"/>
  <c r="AG42" i="11" s="1"/>
  <c r="AH29" i="11"/>
  <c r="X30" i="11"/>
  <c r="X43" i="11" s="1"/>
  <c r="Y30" i="11"/>
  <c r="Y43" i="11" s="1"/>
  <c r="Z30" i="11"/>
  <c r="AA30" i="11"/>
  <c r="AA43" i="11" s="1"/>
  <c r="AB30" i="11"/>
  <c r="AB43" i="11" s="1"/>
  <c r="AC30" i="11"/>
  <c r="AC43" i="11" s="1"/>
  <c r="AD30" i="11"/>
  <c r="AD43" i="11" s="1"/>
  <c r="AE30" i="11"/>
  <c r="AE43" i="11" s="1"/>
  <c r="AF30" i="11"/>
  <c r="AF43" i="11" s="1"/>
  <c r="AG30" i="11"/>
  <c r="AG43" i="11" s="1"/>
  <c r="AH30" i="11"/>
  <c r="X31" i="11"/>
  <c r="X44" i="11" s="1"/>
  <c r="Y31" i="11"/>
  <c r="Y44" i="11" s="1"/>
  <c r="Z31" i="11"/>
  <c r="Z44" i="11" s="1"/>
  <c r="AA31" i="11"/>
  <c r="AA44" i="11" s="1"/>
  <c r="AB31" i="11"/>
  <c r="AB44" i="11" s="1"/>
  <c r="AC31" i="11"/>
  <c r="AC44" i="11" s="1"/>
  <c r="AD31" i="11"/>
  <c r="AD44" i="11" s="1"/>
  <c r="AE31" i="11"/>
  <c r="AF31" i="11"/>
  <c r="AF44" i="11" s="1"/>
  <c r="AG31" i="11"/>
  <c r="AG44" i="11" s="1"/>
  <c r="AH31" i="11"/>
  <c r="AH44" i="11" s="1"/>
  <c r="X32" i="11"/>
  <c r="X45" i="11" s="1"/>
  <c r="Y32" i="11"/>
  <c r="Y45" i="11" s="1"/>
  <c r="Z32" i="11"/>
  <c r="Z45" i="11" s="1"/>
  <c r="AA32" i="11"/>
  <c r="AA45" i="11" s="1"/>
  <c r="AB32" i="11"/>
  <c r="AC32" i="11"/>
  <c r="AC45" i="11" s="1"/>
  <c r="AD32" i="11"/>
  <c r="AD45" i="11" s="1"/>
  <c r="AE32" i="11"/>
  <c r="AE45" i="11" s="1"/>
  <c r="AF32" i="11"/>
  <c r="AF45" i="11" s="1"/>
  <c r="AG32" i="11"/>
  <c r="AG45" i="11" s="1"/>
  <c r="AH32" i="11"/>
  <c r="AH45" i="11" s="1"/>
  <c r="X33" i="11"/>
  <c r="X46" i="11" s="1"/>
  <c r="Y33" i="11"/>
  <c r="Z33" i="11"/>
  <c r="Z46" i="11" s="1"/>
  <c r="AA33" i="11"/>
  <c r="AA46" i="11" s="1"/>
  <c r="AB33" i="11"/>
  <c r="AB46" i="11" s="1"/>
  <c r="AC33" i="11"/>
  <c r="AC46" i="11" s="1"/>
  <c r="AD33" i="11"/>
  <c r="AD46" i="11" s="1"/>
  <c r="AE33" i="11"/>
  <c r="AE46" i="11" s="1"/>
  <c r="AF33" i="11"/>
  <c r="AF46" i="11" s="1"/>
  <c r="AG33" i="11"/>
  <c r="AG46" i="11" s="1"/>
  <c r="AH33" i="11"/>
  <c r="AH46" i="11" s="1"/>
  <c r="AC42" i="11"/>
  <c r="AH42" i="11"/>
  <c r="Z43" i="11"/>
  <c r="AH43" i="11"/>
  <c r="AE44" i="11"/>
  <c r="AB45" i="11"/>
  <c r="Y46" i="11"/>
  <c r="X55" i="11"/>
  <c r="Y55" i="11"/>
  <c r="Z55" i="11"/>
  <c r="AA55" i="11"/>
  <c r="AB55" i="11"/>
  <c r="AC55" i="11"/>
  <c r="AD55" i="11"/>
  <c r="AE55" i="11"/>
  <c r="AF55" i="11"/>
  <c r="AG55" i="11"/>
  <c r="AH55" i="11"/>
  <c r="AH67" i="1"/>
  <c r="AG67" i="1"/>
  <c r="AF67" i="1"/>
  <c r="AE67" i="1"/>
  <c r="AD67" i="1"/>
  <c r="AC67" i="1"/>
  <c r="AB67" i="1"/>
  <c r="AA67" i="1"/>
  <c r="Z67" i="1"/>
  <c r="Y67" i="1"/>
  <c r="X67" i="1"/>
  <c r="S57" i="21" l="1"/>
  <c r="T50" i="21" s="1"/>
  <c r="F56" i="20"/>
  <c r="G49" i="20" s="1"/>
  <c r="F55" i="20"/>
  <c r="G48" i="20" s="1"/>
  <c r="F58" i="20"/>
  <c r="G51" i="20" s="1"/>
  <c r="E61" i="20"/>
  <c r="F50" i="20"/>
  <c r="D60" i="20"/>
  <c r="E63" i="20"/>
  <c r="G52" i="20"/>
  <c r="U56" i="21" l="1"/>
  <c r="V49" i="21" s="1"/>
  <c r="S62" i="21"/>
  <c r="S64" i="21"/>
  <c r="G55" i="20"/>
  <c r="H48" i="20" s="1"/>
  <c r="F57" i="20"/>
  <c r="F63" i="20" s="1"/>
  <c r="E60" i="20"/>
  <c r="G58" i="20"/>
  <c r="H51" i="20" s="1"/>
  <c r="G56" i="20"/>
  <c r="H49" i="20" s="1"/>
  <c r="G59" i="20"/>
  <c r="H52" i="20" s="1"/>
  <c r="S61" i="21" l="1"/>
  <c r="T57" i="21"/>
  <c r="G50" i="20"/>
  <c r="G57" i="20" s="1"/>
  <c r="G61" i="20" s="1"/>
  <c r="F61" i="20"/>
  <c r="H58" i="20"/>
  <c r="I51" i="20" s="1"/>
  <c r="F60" i="20"/>
  <c r="H59" i="20"/>
  <c r="I52" i="20" s="1"/>
  <c r="H55" i="20"/>
  <c r="I48" i="20" s="1"/>
  <c r="H56" i="20"/>
  <c r="I49" i="20" s="1"/>
  <c r="T62" i="21" l="1"/>
  <c r="U50" i="21"/>
  <c r="V56" i="21"/>
  <c r="W49" i="21" s="1"/>
  <c r="T64" i="21"/>
  <c r="H50" i="20"/>
  <c r="H57" i="20" s="1"/>
  <c r="H61" i="20" s="1"/>
  <c r="G63" i="20"/>
  <c r="G60" i="20" s="1"/>
  <c r="I56" i="20"/>
  <c r="J49" i="20" s="1"/>
  <c r="I55" i="20"/>
  <c r="J48" i="20" s="1"/>
  <c r="I59" i="20"/>
  <c r="J52" i="20" s="1"/>
  <c r="I58" i="20"/>
  <c r="J51" i="20" s="1"/>
  <c r="T61" i="21" l="1"/>
  <c r="U57" i="21"/>
  <c r="U62" i="21" s="1"/>
  <c r="W56" i="21"/>
  <c r="H63" i="20"/>
  <c r="H60" i="20" s="1"/>
  <c r="J56" i="20"/>
  <c r="K49" i="20" s="1"/>
  <c r="J59" i="20"/>
  <c r="K52" i="20" s="1"/>
  <c r="J55" i="20"/>
  <c r="K48" i="20" s="1"/>
  <c r="I50" i="20"/>
  <c r="J58" i="20"/>
  <c r="K51" i="20" s="1"/>
  <c r="V50" i="21" l="1"/>
  <c r="U64" i="21"/>
  <c r="U61" i="21" s="1"/>
  <c r="K59" i="20"/>
  <c r="L52" i="20" s="1"/>
  <c r="K55" i="20"/>
  <c r="L48" i="20" s="1"/>
  <c r="K58" i="20"/>
  <c r="K56" i="20"/>
  <c r="L49" i="20" s="1"/>
  <c r="L56" i="20" s="1"/>
  <c r="M49" i="20" s="1"/>
  <c r="I57" i="20"/>
  <c r="J50" i="20" s="1"/>
  <c r="V57" i="21" l="1"/>
  <c r="W50" i="21" s="1"/>
  <c r="M56" i="20"/>
  <c r="N49" i="20" s="1"/>
  <c r="N56" i="20" s="1"/>
  <c r="O49" i="20" s="1"/>
  <c r="O56" i="20" s="1"/>
  <c r="P49" i="20" s="1"/>
  <c r="P56" i="20" s="1"/>
  <c r="Q49" i="20" s="1"/>
  <c r="Q56" i="20" s="1"/>
  <c r="R49" i="20" s="1"/>
  <c r="L55" i="20"/>
  <c r="M48" i="20" s="1"/>
  <c r="L59" i="20"/>
  <c r="M52" i="20" s="1"/>
  <c r="L51" i="20"/>
  <c r="J57" i="20"/>
  <c r="J61" i="20" s="1"/>
  <c r="I61" i="20"/>
  <c r="I63" i="20"/>
  <c r="AH21" i="1"/>
  <c r="AH22" i="1"/>
  <c r="AI22" i="1"/>
  <c r="AH23" i="1"/>
  <c r="AI23" i="1"/>
  <c r="AH24" i="1"/>
  <c r="AI24" i="1"/>
  <c r="AH25" i="1"/>
  <c r="AI25" i="1"/>
  <c r="AH42" i="1"/>
  <c r="AH54" i="1" s="1"/>
  <c r="AI42" i="1"/>
  <c r="AH43" i="1"/>
  <c r="AI43" i="1"/>
  <c r="AH44" i="1"/>
  <c r="AH56" i="1" s="1"/>
  <c r="AI44" i="1"/>
  <c r="AH45" i="1"/>
  <c r="AI45" i="1"/>
  <c r="AH46" i="1"/>
  <c r="AI46" i="1"/>
  <c r="X21" i="1"/>
  <c r="Y21" i="1"/>
  <c r="Z21" i="1"/>
  <c r="AA21" i="1"/>
  <c r="AB21" i="1"/>
  <c r="AC21" i="1"/>
  <c r="AD21" i="1"/>
  <c r="AE21" i="1"/>
  <c r="AF21" i="1"/>
  <c r="AG21" i="1"/>
  <c r="X22" i="1"/>
  <c r="Y22" i="1"/>
  <c r="Z22" i="1"/>
  <c r="AA22" i="1"/>
  <c r="AB22" i="1"/>
  <c r="AC22" i="1"/>
  <c r="AD22" i="1"/>
  <c r="AE22" i="1"/>
  <c r="AF22" i="1"/>
  <c r="AG22" i="1"/>
  <c r="X23" i="1"/>
  <c r="Y23" i="1"/>
  <c r="Y56" i="1" s="1"/>
  <c r="Z23" i="1"/>
  <c r="AA23" i="1"/>
  <c r="AB23" i="1"/>
  <c r="AC23" i="1"/>
  <c r="AD23" i="1"/>
  <c r="AE23" i="1"/>
  <c r="AF23" i="1"/>
  <c r="AG23" i="1"/>
  <c r="X24" i="1"/>
  <c r="Y24" i="1"/>
  <c r="Z24" i="1"/>
  <c r="AA24" i="1"/>
  <c r="AB24" i="1"/>
  <c r="AC24" i="1"/>
  <c r="AD24" i="1"/>
  <c r="AE24" i="1"/>
  <c r="AF24" i="1"/>
  <c r="AG24" i="1"/>
  <c r="X25" i="1"/>
  <c r="Y25" i="1"/>
  <c r="Z25" i="1"/>
  <c r="AA25" i="1"/>
  <c r="AB25" i="1"/>
  <c r="AC25" i="1"/>
  <c r="AD25" i="1"/>
  <c r="AE25" i="1"/>
  <c r="AF25" i="1"/>
  <c r="AG25" i="1"/>
  <c r="X42" i="1"/>
  <c r="X54" i="1" s="1"/>
  <c r="Y42" i="1"/>
  <c r="Y54" i="1" s="1"/>
  <c r="Z42" i="1"/>
  <c r="AA42" i="1"/>
  <c r="AB42" i="1"/>
  <c r="AC42" i="1"/>
  <c r="AD42" i="1"/>
  <c r="AE42" i="1"/>
  <c r="AF42" i="1"/>
  <c r="AF54" i="1" s="1"/>
  <c r="AG42" i="1"/>
  <c r="X43" i="1"/>
  <c r="Y43" i="1"/>
  <c r="Z43" i="1"/>
  <c r="AA43" i="1"/>
  <c r="AB43" i="1"/>
  <c r="AC43" i="1"/>
  <c r="AC55" i="1" s="1"/>
  <c r="AD43" i="1"/>
  <c r="AD55" i="1" s="1"/>
  <c r="AE43" i="1"/>
  <c r="AE55" i="1" s="1"/>
  <c r="AF43" i="1"/>
  <c r="AG43" i="1"/>
  <c r="X44" i="1"/>
  <c r="Y44" i="1"/>
  <c r="Z44" i="1"/>
  <c r="Z56" i="1" s="1"/>
  <c r="AA44" i="1"/>
  <c r="AB44" i="1"/>
  <c r="AB56" i="1" s="1"/>
  <c r="AC44" i="1"/>
  <c r="AC56" i="1" s="1"/>
  <c r="AD44" i="1"/>
  <c r="AE44" i="1"/>
  <c r="AF44" i="1"/>
  <c r="AG44" i="1"/>
  <c r="X45" i="1"/>
  <c r="Y45" i="1"/>
  <c r="Z45" i="1"/>
  <c r="Z57" i="1" s="1"/>
  <c r="AA45" i="1"/>
  <c r="AA57" i="1" s="1"/>
  <c r="AB45" i="1"/>
  <c r="AC45" i="1"/>
  <c r="AD45" i="1"/>
  <c r="AE45" i="1"/>
  <c r="AF45" i="1"/>
  <c r="AG45" i="1"/>
  <c r="X46" i="1"/>
  <c r="X58" i="1" s="1"/>
  <c r="Y46" i="1"/>
  <c r="Y58" i="1" s="1"/>
  <c r="Z46" i="1"/>
  <c r="AA46" i="1"/>
  <c r="AB46" i="1"/>
  <c r="AC46" i="1"/>
  <c r="AD46" i="1"/>
  <c r="AE46" i="1"/>
  <c r="AF46" i="1"/>
  <c r="AF58" i="1" s="1"/>
  <c r="AG46" i="1"/>
  <c r="AG58" i="1" s="1"/>
  <c r="AD54" i="1"/>
  <c r="X55" i="1"/>
  <c r="AB55" i="1"/>
  <c r="X57" i="1"/>
  <c r="Y57" i="1"/>
  <c r="AF57" i="1"/>
  <c r="AD58" i="1"/>
  <c r="V62" i="21" l="1"/>
  <c r="V64" i="21"/>
  <c r="W57" i="21"/>
  <c r="AF55" i="1"/>
  <c r="AC58" i="1"/>
  <c r="AE57" i="1"/>
  <c r="AG56" i="1"/>
  <c r="AA55" i="1"/>
  <c r="AC54" i="1"/>
  <c r="AE58" i="1"/>
  <c r="AB58" i="1"/>
  <c r="AD57" i="1"/>
  <c r="AF56" i="1"/>
  <c r="X56" i="1"/>
  <c r="Z55" i="1"/>
  <c r="AB54" i="1"/>
  <c r="Z58" i="1"/>
  <c r="AB57" i="1"/>
  <c r="AD56" i="1"/>
  <c r="Z54" i="1"/>
  <c r="AH58" i="1"/>
  <c r="R56" i="20"/>
  <c r="S49" i="20" s="1"/>
  <c r="S56" i="20" s="1"/>
  <c r="T49" i="20" s="1"/>
  <c r="T56" i="20" s="1"/>
  <c r="U49" i="20" s="1"/>
  <c r="U56" i="20" s="1"/>
  <c r="V49" i="20" s="1"/>
  <c r="V56" i="20" s="1"/>
  <c r="W49" i="20" s="1"/>
  <c r="W56" i="20" s="1"/>
  <c r="X49" i="20" s="1"/>
  <c r="X56" i="20" s="1"/>
  <c r="Y49" i="20" s="1"/>
  <c r="AG57" i="1"/>
  <c r="AC57" i="1"/>
  <c r="AE56" i="1"/>
  <c r="AG55" i="1"/>
  <c r="Y55" i="1"/>
  <c r="AE54" i="1"/>
  <c r="AG54" i="1"/>
  <c r="AA58" i="1"/>
  <c r="AA56" i="1"/>
  <c r="AA54" i="1"/>
  <c r="M59" i="20"/>
  <c r="N52" i="20" s="1"/>
  <c r="M55" i="20"/>
  <c r="N48" i="20" s="1"/>
  <c r="N55" i="20" s="1"/>
  <c r="AI58" i="1"/>
  <c r="BH55" i="11"/>
  <c r="AI56" i="1"/>
  <c r="L58" i="20"/>
  <c r="M51" i="20" s="1"/>
  <c r="K50" i="20"/>
  <c r="J63" i="20"/>
  <c r="I60" i="20"/>
  <c r="AI57" i="1"/>
  <c r="AI55" i="1"/>
  <c r="AH57" i="1"/>
  <c r="AH55" i="1"/>
  <c r="AI54" i="1"/>
  <c r="W62" i="21" l="1"/>
  <c r="W64" i="21"/>
  <c r="V61" i="21"/>
  <c r="N59" i="20"/>
  <c r="O52" i="20" s="1"/>
  <c r="O59" i="20" s="1"/>
  <c r="P52" i="20" s="1"/>
  <c r="P59" i="20" s="1"/>
  <c r="Q52" i="20" s="1"/>
  <c r="Q59" i="20" s="1"/>
  <c r="R52" i="20" s="1"/>
  <c r="O48" i="20"/>
  <c r="Y56" i="20"/>
  <c r="M58" i="20"/>
  <c r="N51" i="20" s="1"/>
  <c r="N58" i="20" s="1"/>
  <c r="O51" i="20" s="1"/>
  <c r="O58" i="20" s="1"/>
  <c r="P51" i="20" s="1"/>
  <c r="P58" i="20" s="1"/>
  <c r="Q51" i="20" s="1"/>
  <c r="Q58" i="20" s="1"/>
  <c r="R51" i="20" s="1"/>
  <c r="K57" i="20"/>
  <c r="K61" i="20" s="1"/>
  <c r="J60" i="20"/>
  <c r="W61" i="21" l="1"/>
  <c r="Z49" i="20"/>
  <c r="Z56" i="20" s="1"/>
  <c r="O55" i="20"/>
  <c r="P48" i="20" s="1"/>
  <c r="R58" i="20"/>
  <c r="S51" i="20" s="1"/>
  <c r="S58" i="20" s="1"/>
  <c r="T51" i="20" s="1"/>
  <c r="T58" i="20" s="1"/>
  <c r="U51" i="20" s="1"/>
  <c r="U58" i="20" s="1"/>
  <c r="V51" i="20" s="1"/>
  <c r="R59" i="20"/>
  <c r="S52" i="20" s="1"/>
  <c r="S59" i="20" s="1"/>
  <c r="T52" i="20" s="1"/>
  <c r="T59" i="20" s="1"/>
  <c r="U52" i="20" s="1"/>
  <c r="U59" i="20" s="1"/>
  <c r="V52" i="20" s="1"/>
  <c r="V59" i="20" s="1"/>
  <c r="W52" i="20" s="1"/>
  <c r="W59" i="20" s="1"/>
  <c r="X52" i="20" s="1"/>
  <c r="X59" i="20" s="1"/>
  <c r="Y52" i="20" s="1"/>
  <c r="K63" i="20"/>
  <c r="K60" i="20" s="1"/>
  <c r="L50" i="20"/>
  <c r="AA49" i="20" l="1"/>
  <c r="AA56" i="20" s="1"/>
  <c r="V58" i="20"/>
  <c r="W51" i="20" s="1"/>
  <c r="W58" i="20" s="1"/>
  <c r="X51" i="20" s="1"/>
  <c r="X58" i="20" s="1"/>
  <c r="Y51" i="20" s="1"/>
  <c r="Y59" i="20"/>
  <c r="P55" i="20"/>
  <c r="Q48" i="20" s="1"/>
  <c r="Q55" i="20" s="1"/>
  <c r="L57" i="20"/>
  <c r="AB49" i="20" l="1"/>
  <c r="AB56" i="20" s="1"/>
  <c r="Z52" i="20"/>
  <c r="Y58" i="20"/>
  <c r="R48" i="20"/>
  <c r="M50" i="20"/>
  <c r="L61" i="20"/>
  <c r="L63" i="20"/>
  <c r="Z59" i="20" l="1"/>
  <c r="AA52" i="20" s="1"/>
  <c r="Z51" i="20"/>
  <c r="Z58" i="20" s="1"/>
  <c r="AC49" i="20"/>
  <c r="AC56" i="20" s="1"/>
  <c r="R55" i="20"/>
  <c r="S48" i="20"/>
  <c r="M57" i="20"/>
  <c r="M61" i="20" s="1"/>
  <c r="L60" i="20"/>
  <c r="AA51" i="20" l="1"/>
  <c r="AA58" i="20" s="1"/>
  <c r="AB51" i="20" s="1"/>
  <c r="AB58" i="20" s="1"/>
  <c r="AC51" i="20" s="1"/>
  <c r="AC58" i="20" s="1"/>
  <c r="AD51" i="20" s="1"/>
  <c r="AD58" i="20" s="1"/>
  <c r="AE51" i="20" s="1"/>
  <c r="AE58" i="20" s="1"/>
  <c r="AF51" i="20" s="1"/>
  <c r="AF58" i="20" s="1"/>
  <c r="AG51" i="20" s="1"/>
  <c r="AG58" i="20" s="1"/>
  <c r="AH51" i="20" s="1"/>
  <c r="AH58" i="20" s="1"/>
  <c r="AI51" i="20" s="1"/>
  <c r="AI58" i="20" s="1"/>
  <c r="AJ51" i="20" s="1"/>
  <c r="AA59" i="20"/>
  <c r="AB52" i="20" s="1"/>
  <c r="AD49" i="20"/>
  <c r="AD56" i="20" s="1"/>
  <c r="N50" i="20"/>
  <c r="N57" i="20" s="1"/>
  <c r="O50" i="20" s="1"/>
  <c r="O57" i="20" s="1"/>
  <c r="S55" i="20"/>
  <c r="T48" i="20" s="1"/>
  <c r="M63" i="20"/>
  <c r="AJ58" i="20" l="1"/>
  <c r="AK51" i="20" s="1"/>
  <c r="AE49" i="20"/>
  <c r="AE56" i="20" s="1"/>
  <c r="AB59" i="20"/>
  <c r="AC52" i="20" s="1"/>
  <c r="N61" i="20"/>
  <c r="P50" i="20"/>
  <c r="O61" i="20"/>
  <c r="M60" i="20"/>
  <c r="N63" i="20"/>
  <c r="T55" i="20"/>
  <c r="AK58" i="20" l="1"/>
  <c r="AL51" i="20" s="1"/>
  <c r="AC59" i="20"/>
  <c r="AD52" i="20" s="1"/>
  <c r="AF49" i="20"/>
  <c r="AF56" i="20" s="1"/>
  <c r="P57" i="20"/>
  <c r="P61" i="20" s="1"/>
  <c r="U48" i="20"/>
  <c r="N60" i="20"/>
  <c r="O63" i="20"/>
  <c r="AL58" i="20" l="1"/>
  <c r="AM51" i="20" s="1"/>
  <c r="AG49" i="20"/>
  <c r="AG56" i="20" s="1"/>
  <c r="AD59" i="20"/>
  <c r="AE52" i="20" s="1"/>
  <c r="Q50" i="20"/>
  <c r="Q57" i="20" s="1"/>
  <c r="Q61" i="20" s="1"/>
  <c r="O60" i="20"/>
  <c r="P63" i="20"/>
  <c r="U55" i="20"/>
  <c r="V48" i="20" s="1"/>
  <c r="AE59" i="20" l="1"/>
  <c r="AF52" i="20" s="1"/>
  <c r="AH49" i="20"/>
  <c r="AH56" i="20" s="1"/>
  <c r="R50" i="20"/>
  <c r="R57" i="20" s="1"/>
  <c r="R61" i="20" s="1"/>
  <c r="Q63" i="20"/>
  <c r="P60" i="20"/>
  <c r="V55" i="20"/>
  <c r="AI49" i="20" l="1"/>
  <c r="AI56" i="20" s="1"/>
  <c r="AF59" i="20"/>
  <c r="AG52" i="20" s="1"/>
  <c r="S50" i="20"/>
  <c r="S57" i="20" s="1"/>
  <c r="W48" i="20"/>
  <c r="Q60" i="20"/>
  <c r="R63" i="20"/>
  <c r="AG59" i="20" l="1"/>
  <c r="AH52" i="20" s="1"/>
  <c r="AJ49" i="20"/>
  <c r="T50" i="20"/>
  <c r="T57" i="20" s="1"/>
  <c r="S61" i="20"/>
  <c r="W55" i="20"/>
  <c r="R60" i="20"/>
  <c r="S63" i="20"/>
  <c r="W29" i="11"/>
  <c r="W42" i="11" s="1"/>
  <c r="R29" i="11"/>
  <c r="R42" i="11" s="1"/>
  <c r="S42" i="11"/>
  <c r="T29" i="11"/>
  <c r="T42" i="11" s="1"/>
  <c r="U29" i="11"/>
  <c r="V29" i="11"/>
  <c r="R30" i="11"/>
  <c r="R43" i="11" s="1"/>
  <c r="S30" i="11"/>
  <c r="S43" i="11" s="1"/>
  <c r="T30" i="11"/>
  <c r="T43" i="11" s="1"/>
  <c r="U30" i="11"/>
  <c r="U43" i="11" s="1"/>
  <c r="V30" i="11"/>
  <c r="V43" i="11" s="1"/>
  <c r="W30" i="11"/>
  <c r="W43" i="11" s="1"/>
  <c r="R31" i="11"/>
  <c r="R44" i="11" s="1"/>
  <c r="S31" i="11"/>
  <c r="S44" i="11" s="1"/>
  <c r="T31" i="11"/>
  <c r="T44" i="11" s="1"/>
  <c r="U31" i="11"/>
  <c r="U44" i="11" s="1"/>
  <c r="V31" i="11"/>
  <c r="V44" i="11" s="1"/>
  <c r="W31" i="11"/>
  <c r="W44" i="11" s="1"/>
  <c r="R32" i="11"/>
  <c r="R45" i="11" s="1"/>
  <c r="S32" i="11"/>
  <c r="S45" i="11" s="1"/>
  <c r="T32" i="11"/>
  <c r="U32" i="11"/>
  <c r="U45" i="11" s="1"/>
  <c r="V32" i="11"/>
  <c r="V45" i="11" s="1"/>
  <c r="W32" i="11"/>
  <c r="W45" i="11" s="1"/>
  <c r="R33" i="11"/>
  <c r="R46" i="11" s="1"/>
  <c r="S33" i="11"/>
  <c r="S46" i="11" s="1"/>
  <c r="T33" i="11"/>
  <c r="T46" i="11" s="1"/>
  <c r="U33" i="11"/>
  <c r="U46" i="11" s="1"/>
  <c r="V33" i="11"/>
  <c r="V46" i="11" s="1"/>
  <c r="W33" i="11"/>
  <c r="W46" i="11" s="1"/>
  <c r="Q33" i="11"/>
  <c r="Q32" i="11"/>
  <c r="Q31" i="11"/>
  <c r="Q30" i="11"/>
  <c r="Q43" i="11" s="1"/>
  <c r="C42" i="11"/>
  <c r="D42" i="11"/>
  <c r="E42" i="11"/>
  <c r="F42" i="11"/>
  <c r="G42" i="11"/>
  <c r="C43" i="11"/>
  <c r="D43" i="11"/>
  <c r="E43" i="11"/>
  <c r="F43" i="11"/>
  <c r="C44" i="11"/>
  <c r="D44" i="11"/>
  <c r="E44" i="11"/>
  <c r="C45" i="11"/>
  <c r="D45" i="11"/>
  <c r="E45" i="11"/>
  <c r="C46" i="11"/>
  <c r="D46" i="11"/>
  <c r="E46" i="11"/>
  <c r="B43" i="11"/>
  <c r="B44" i="11"/>
  <c r="B45" i="11"/>
  <c r="B46" i="11"/>
  <c r="B42" i="11"/>
  <c r="P33" i="11"/>
  <c r="P46" i="11" s="1"/>
  <c r="O33" i="11"/>
  <c r="O46" i="11" s="1"/>
  <c r="N33" i="11"/>
  <c r="N46" i="11" s="1"/>
  <c r="M33" i="11"/>
  <c r="M46" i="11" s="1"/>
  <c r="L33" i="11"/>
  <c r="L46" i="11" s="1"/>
  <c r="K33" i="11"/>
  <c r="K46" i="11" s="1"/>
  <c r="J33" i="11"/>
  <c r="J46" i="11" s="1"/>
  <c r="I33" i="11"/>
  <c r="I46" i="11" s="1"/>
  <c r="H33" i="11"/>
  <c r="H46" i="11" s="1"/>
  <c r="G33" i="11"/>
  <c r="G46" i="11" s="1"/>
  <c r="F33" i="11"/>
  <c r="F46" i="11" s="1"/>
  <c r="T45" i="11"/>
  <c r="P32" i="11"/>
  <c r="P45" i="11" s="1"/>
  <c r="O32" i="11"/>
  <c r="O45" i="11" s="1"/>
  <c r="N32" i="11"/>
  <c r="N45" i="11" s="1"/>
  <c r="M32" i="11"/>
  <c r="M45" i="11" s="1"/>
  <c r="L32" i="11"/>
  <c r="L45" i="11" s="1"/>
  <c r="K32" i="11"/>
  <c r="K45" i="11" s="1"/>
  <c r="J32" i="11"/>
  <c r="J45" i="11" s="1"/>
  <c r="I32" i="11"/>
  <c r="I45" i="11" s="1"/>
  <c r="H32" i="11"/>
  <c r="H45" i="11" s="1"/>
  <c r="G32" i="11"/>
  <c r="G45" i="11" s="1"/>
  <c r="F32" i="11"/>
  <c r="F45" i="11" s="1"/>
  <c r="P31" i="11"/>
  <c r="P44" i="11" s="1"/>
  <c r="O31" i="11"/>
  <c r="O44" i="11" s="1"/>
  <c r="N31" i="11"/>
  <c r="N44" i="11" s="1"/>
  <c r="M31" i="11"/>
  <c r="M44" i="11" s="1"/>
  <c r="L31" i="11"/>
  <c r="L44" i="11" s="1"/>
  <c r="K31" i="11"/>
  <c r="K44" i="11" s="1"/>
  <c r="J31" i="11"/>
  <c r="J44" i="11" s="1"/>
  <c r="I31" i="11"/>
  <c r="I44" i="11" s="1"/>
  <c r="H31" i="11"/>
  <c r="H44" i="11" s="1"/>
  <c r="G31" i="11"/>
  <c r="G44" i="11" s="1"/>
  <c r="F31" i="11"/>
  <c r="F44" i="11" s="1"/>
  <c r="P30" i="11"/>
  <c r="P43" i="11" s="1"/>
  <c r="O30" i="11"/>
  <c r="O43" i="11" s="1"/>
  <c r="N30" i="11"/>
  <c r="N43" i="11" s="1"/>
  <c r="M30" i="11"/>
  <c r="M43" i="11" s="1"/>
  <c r="L30" i="11"/>
  <c r="L43" i="11" s="1"/>
  <c r="K30" i="11"/>
  <c r="K43" i="11" s="1"/>
  <c r="J30" i="11"/>
  <c r="J43" i="11" s="1"/>
  <c r="I30" i="11"/>
  <c r="I43" i="11" s="1"/>
  <c r="H30" i="11"/>
  <c r="H43" i="11" s="1"/>
  <c r="G30" i="11"/>
  <c r="G43" i="11" s="1"/>
  <c r="V42" i="11"/>
  <c r="U42" i="11"/>
  <c r="P29" i="11"/>
  <c r="P42" i="11" s="1"/>
  <c r="O29" i="11"/>
  <c r="O42" i="11" s="1"/>
  <c r="N29" i="11"/>
  <c r="N42" i="11" s="1"/>
  <c r="M29" i="11"/>
  <c r="M42" i="11" s="1"/>
  <c r="L29" i="11"/>
  <c r="L42" i="11" s="1"/>
  <c r="K29" i="11"/>
  <c r="K42" i="11" s="1"/>
  <c r="J29" i="11"/>
  <c r="J42" i="11" s="1"/>
  <c r="I29" i="11"/>
  <c r="I42" i="11" s="1"/>
  <c r="H29" i="11"/>
  <c r="H42" i="11" s="1"/>
  <c r="A36" i="11"/>
  <c r="AJ56" i="20" l="1"/>
  <c r="AH59" i="20"/>
  <c r="AI52" i="20" s="1"/>
  <c r="U50" i="20"/>
  <c r="U57" i="20" s="1"/>
  <c r="T61" i="20"/>
  <c r="S60" i="20"/>
  <c r="T63" i="20"/>
  <c r="Q42" i="11"/>
  <c r="Q46" i="11"/>
  <c r="Q45" i="11"/>
  <c r="Q44" i="11"/>
  <c r="AK49" i="20" l="1"/>
  <c r="AI59" i="20"/>
  <c r="AJ52" i="20" s="1"/>
  <c r="V50" i="20"/>
  <c r="V57" i="20" s="1"/>
  <c r="U61" i="20"/>
  <c r="T60" i="20"/>
  <c r="U63" i="20"/>
  <c r="AK56" i="20" l="1"/>
  <c r="AL49" i="20" s="1"/>
  <c r="AJ59" i="20"/>
  <c r="AK52" i="20" s="1"/>
  <c r="AL55" i="20"/>
  <c r="W50" i="20"/>
  <c r="W57" i="20" s="1"/>
  <c r="V61" i="20"/>
  <c r="U60" i="20"/>
  <c r="V63" i="20"/>
  <c r="AK59" i="20" l="1"/>
  <c r="AL52" i="20" s="1"/>
  <c r="AL56" i="20"/>
  <c r="AM49" i="20" s="1"/>
  <c r="AM48" i="20"/>
  <c r="X50" i="20"/>
  <c r="X57" i="20" s="1"/>
  <c r="W61" i="20"/>
  <c r="V60" i="20"/>
  <c r="W63" i="20"/>
  <c r="AL59" i="20" l="1"/>
  <c r="AM52" i="20" s="1"/>
  <c r="Y50" i="20"/>
  <c r="X61" i="20"/>
  <c r="W60" i="20"/>
  <c r="X63" i="20"/>
  <c r="Y57" i="20" l="1"/>
  <c r="X60" i="20"/>
  <c r="Y61" i="20" l="1"/>
  <c r="Z50" i="20"/>
  <c r="Z57" i="20" s="1"/>
  <c r="Y63" i="20"/>
  <c r="Y60" i="20" s="1"/>
  <c r="F43" i="1"/>
  <c r="F42" i="1"/>
  <c r="AA50" i="20" l="1"/>
  <c r="AA57" i="20" s="1"/>
  <c r="Z61" i="20"/>
  <c r="Z63" i="20"/>
  <c r="Z60" i="20" s="1"/>
  <c r="V25" i="1"/>
  <c r="V24" i="1"/>
  <c r="V23" i="1"/>
  <c r="V22" i="1"/>
  <c r="V21" i="1"/>
  <c r="W67" i="1"/>
  <c r="AB50" i="20" l="1"/>
  <c r="AB57" i="20" s="1"/>
  <c r="AA63" i="20"/>
  <c r="AA60" i="20" s="1"/>
  <c r="AA61" i="20"/>
  <c r="AC50" i="20" l="1"/>
  <c r="AC57" i="20" s="1"/>
  <c r="AB61" i="20"/>
  <c r="AB63" i="20"/>
  <c r="AB60" i="20" s="1"/>
  <c r="AD50" i="20" l="1"/>
  <c r="AD57" i="20" s="1"/>
  <c r="AC61" i="20"/>
  <c r="AC63" i="20"/>
  <c r="AC60" i="20" s="1"/>
  <c r="AE50" i="20" l="1"/>
  <c r="AE57" i="20" s="1"/>
  <c r="AD61" i="20"/>
  <c r="AD63" i="20"/>
  <c r="AD60" i="20" s="1"/>
  <c r="W55" i="11"/>
  <c r="AF50" i="20" l="1"/>
  <c r="AF57" i="20" s="1"/>
  <c r="AE61" i="20"/>
  <c r="AE63" i="20"/>
  <c r="AE60" i="20" s="1"/>
  <c r="V67" i="1"/>
  <c r="U67" i="1"/>
  <c r="T67" i="1"/>
  <c r="AG50" i="20" l="1"/>
  <c r="AG57" i="20" s="1"/>
  <c r="AF61" i="20"/>
  <c r="AF63" i="20"/>
  <c r="AF60" i="20" s="1"/>
  <c r="T55" i="11"/>
  <c r="U55" i="11"/>
  <c r="V55" i="11"/>
  <c r="S67" i="1"/>
  <c r="R67" i="1"/>
  <c r="Q67" i="1"/>
  <c r="P67" i="1"/>
  <c r="O67" i="1"/>
  <c r="N67" i="1"/>
  <c r="M67" i="1"/>
  <c r="M55" i="11" s="1"/>
  <c r="K67" i="1"/>
  <c r="L67" i="1"/>
  <c r="L55" i="11" s="1"/>
  <c r="Q42" i="1"/>
  <c r="AH50" i="20" l="1"/>
  <c r="AH57" i="20" s="1"/>
  <c r="AG61" i="20"/>
  <c r="AG63" i="20"/>
  <c r="AG60" i="20" s="1"/>
  <c r="R55" i="11"/>
  <c r="S55" i="11"/>
  <c r="N55" i="11"/>
  <c r="O55" i="11"/>
  <c r="P55" i="11"/>
  <c r="Q55" i="11"/>
  <c r="G42" i="1"/>
  <c r="AI50" i="20" l="1"/>
  <c r="AI57" i="20" s="1"/>
  <c r="AH61" i="20"/>
  <c r="AH63" i="20"/>
  <c r="AH60" i="20" s="1"/>
  <c r="AJ50" i="20" l="1"/>
  <c r="AI61" i="20"/>
  <c r="AI63" i="20"/>
  <c r="AI60" i="20" s="1"/>
  <c r="AJ57" i="20" l="1"/>
  <c r="AJ63" i="20" s="1"/>
  <c r="AJ60" i="20" l="1"/>
  <c r="AJ61" i="20"/>
  <c r="AK50" i="20"/>
  <c r="D21" i="1"/>
  <c r="D25" i="1"/>
  <c r="E25" i="1"/>
  <c r="E58" i="1" s="1"/>
  <c r="F25" i="1"/>
  <c r="G25" i="1"/>
  <c r="H25" i="1"/>
  <c r="I25" i="1"/>
  <c r="J25" i="1"/>
  <c r="W25" i="1"/>
  <c r="K25" i="1"/>
  <c r="L25" i="1"/>
  <c r="M25" i="1"/>
  <c r="N25" i="1"/>
  <c r="O25" i="1"/>
  <c r="P25" i="1"/>
  <c r="Q25" i="1"/>
  <c r="R25" i="1"/>
  <c r="S25" i="1"/>
  <c r="T25" i="1"/>
  <c r="U25" i="1"/>
  <c r="B58" i="1"/>
  <c r="B65" i="1" s="1"/>
  <c r="C58" i="1"/>
  <c r="D67" i="1"/>
  <c r="D55" i="11" s="1"/>
  <c r="E67" i="1"/>
  <c r="E55" i="11" s="1"/>
  <c r="F46" i="1"/>
  <c r="F67" i="1"/>
  <c r="F55" i="11" s="1"/>
  <c r="G46" i="1"/>
  <c r="G67" i="1"/>
  <c r="H46" i="1"/>
  <c r="H67" i="1"/>
  <c r="H55" i="11" s="1"/>
  <c r="I46" i="1"/>
  <c r="I67" i="1"/>
  <c r="I55" i="11" s="1"/>
  <c r="J46" i="1"/>
  <c r="J67" i="1"/>
  <c r="J55" i="11" s="1"/>
  <c r="K46" i="1"/>
  <c r="K58" i="1" s="1"/>
  <c r="L46" i="1"/>
  <c r="M46" i="1"/>
  <c r="N46" i="1"/>
  <c r="O46" i="1"/>
  <c r="O58" i="1" s="1"/>
  <c r="P46" i="1"/>
  <c r="Q46" i="1"/>
  <c r="R46" i="1"/>
  <c r="S46" i="1"/>
  <c r="T46" i="1"/>
  <c r="U46" i="1"/>
  <c r="V46" i="1"/>
  <c r="V58" i="1" s="1"/>
  <c r="W46" i="1"/>
  <c r="AM54" i="20"/>
  <c r="B55" i="11"/>
  <c r="C55" i="11"/>
  <c r="G55" i="11"/>
  <c r="K55" i="11"/>
  <c r="D24" i="1"/>
  <c r="D57" i="1" s="1"/>
  <c r="E24" i="1"/>
  <c r="E57" i="1" s="1"/>
  <c r="F24" i="1"/>
  <c r="G24" i="1"/>
  <c r="H24" i="1"/>
  <c r="I24" i="1"/>
  <c r="J24" i="1"/>
  <c r="W24" i="1"/>
  <c r="K24" i="1"/>
  <c r="L24" i="1"/>
  <c r="M24" i="1"/>
  <c r="N24" i="1"/>
  <c r="O24" i="1"/>
  <c r="P24" i="1"/>
  <c r="Q24" i="1"/>
  <c r="R24" i="1"/>
  <c r="S24" i="1"/>
  <c r="T24" i="1"/>
  <c r="U24" i="1"/>
  <c r="B57" i="1"/>
  <c r="B64" i="1" s="1"/>
  <c r="C57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D23" i="1"/>
  <c r="E23" i="1"/>
  <c r="F23" i="1"/>
  <c r="G23" i="1"/>
  <c r="H23" i="1"/>
  <c r="I23" i="1"/>
  <c r="J23" i="1"/>
  <c r="W23" i="1"/>
  <c r="K23" i="1"/>
  <c r="L23" i="1"/>
  <c r="M23" i="1"/>
  <c r="N23" i="1"/>
  <c r="O23" i="1"/>
  <c r="P23" i="1"/>
  <c r="Q23" i="1"/>
  <c r="R23" i="1"/>
  <c r="S23" i="1"/>
  <c r="T23" i="1"/>
  <c r="U23" i="1"/>
  <c r="B56" i="1"/>
  <c r="B63" i="1" s="1"/>
  <c r="C56" i="1"/>
  <c r="E56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D22" i="1"/>
  <c r="D55" i="1" s="1"/>
  <c r="E22" i="1"/>
  <c r="E55" i="1" s="1"/>
  <c r="F22" i="1"/>
  <c r="F55" i="1" s="1"/>
  <c r="G22" i="1"/>
  <c r="H22" i="1"/>
  <c r="I22" i="1"/>
  <c r="J22" i="1"/>
  <c r="W22" i="1"/>
  <c r="K22" i="1"/>
  <c r="L22" i="1"/>
  <c r="M22" i="1"/>
  <c r="N22" i="1"/>
  <c r="O22" i="1"/>
  <c r="P22" i="1"/>
  <c r="Q22" i="1"/>
  <c r="R22" i="1"/>
  <c r="S22" i="1"/>
  <c r="T22" i="1"/>
  <c r="U22" i="1"/>
  <c r="B55" i="1"/>
  <c r="B62" i="1" s="1"/>
  <c r="B69" i="1" s="1"/>
  <c r="C55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V55" i="1" s="1"/>
  <c r="W43" i="1"/>
  <c r="E21" i="1"/>
  <c r="F21" i="1"/>
  <c r="F54" i="1" s="1"/>
  <c r="G21" i="1"/>
  <c r="G54" i="1" s="1"/>
  <c r="H21" i="1"/>
  <c r="I21" i="1"/>
  <c r="J21" i="1"/>
  <c r="K21" i="1"/>
  <c r="L21" i="1"/>
  <c r="M21" i="1"/>
  <c r="N21" i="1"/>
  <c r="O21" i="1"/>
  <c r="P21" i="1"/>
  <c r="Q21" i="1"/>
  <c r="Q54" i="1" s="1"/>
  <c r="R21" i="1"/>
  <c r="S21" i="1"/>
  <c r="T21" i="1"/>
  <c r="U21" i="1"/>
  <c r="W21" i="1"/>
  <c r="B54" i="1"/>
  <c r="B61" i="1" s="1"/>
  <c r="C54" i="1"/>
  <c r="H42" i="1"/>
  <c r="I42" i="1"/>
  <c r="J42" i="1"/>
  <c r="K42" i="1"/>
  <c r="K54" i="1" s="1"/>
  <c r="L42" i="1"/>
  <c r="M42" i="1"/>
  <c r="N42" i="1"/>
  <c r="O42" i="1"/>
  <c r="P42" i="1"/>
  <c r="R42" i="1"/>
  <c r="S42" i="1"/>
  <c r="T42" i="1"/>
  <c r="U42" i="1"/>
  <c r="V42" i="1"/>
  <c r="W42" i="1"/>
  <c r="C9" i="5"/>
  <c r="D9" i="5"/>
  <c r="G8" i="5"/>
  <c r="G7" i="5"/>
  <c r="G6" i="5"/>
  <c r="G5" i="5"/>
  <c r="B53" i="11"/>
  <c r="B52" i="11"/>
  <c r="B51" i="11"/>
  <c r="B50" i="11"/>
  <c r="B49" i="11"/>
  <c r="C14" i="11"/>
  <c r="D14" i="11" s="1"/>
  <c r="E14" i="11" s="1"/>
  <c r="F14" i="11" s="1"/>
  <c r="G14" i="11" s="1"/>
  <c r="H14" i="11" s="1"/>
  <c r="I14" i="11" s="1"/>
  <c r="J14" i="11" s="1"/>
  <c r="K14" i="11" s="1"/>
  <c r="A35" i="1"/>
  <c r="A49" i="1" s="1"/>
  <c r="A39" i="1"/>
  <c r="A38" i="1"/>
  <c r="A37" i="1"/>
  <c r="A36" i="1"/>
  <c r="C14" i="1"/>
  <c r="D14" i="1" s="1"/>
  <c r="E14" i="1" s="1"/>
  <c r="F14" i="1" s="1"/>
  <c r="G14" i="1" s="1"/>
  <c r="H14" i="1" s="1"/>
  <c r="I14" i="1" s="1"/>
  <c r="J14" i="1" s="1"/>
  <c r="K14" i="1" s="1"/>
  <c r="G15" i="4"/>
  <c r="G14" i="4"/>
  <c r="G13" i="4"/>
  <c r="G12" i="4"/>
  <c r="H11" i="4"/>
  <c r="G11" i="4"/>
  <c r="G9" i="4"/>
  <c r="B10" i="4"/>
  <c r="I8" i="4"/>
  <c r="I15" i="4" s="1"/>
  <c r="H8" i="4"/>
  <c r="H15" i="4" s="1"/>
  <c r="I7" i="4"/>
  <c r="J7" i="4" s="1"/>
  <c r="J14" i="4" s="1"/>
  <c r="H7" i="4"/>
  <c r="H14" i="4" s="1"/>
  <c r="I6" i="4"/>
  <c r="J6" i="4" s="1"/>
  <c r="J13" i="4" s="1"/>
  <c r="H6" i="4"/>
  <c r="H13" i="4" s="1"/>
  <c r="I5" i="4"/>
  <c r="J5" i="4" s="1"/>
  <c r="J12" i="4" s="1"/>
  <c r="H5" i="4"/>
  <c r="AK57" i="20" l="1"/>
  <c r="AK61" i="20" s="1"/>
  <c r="AM56" i="20"/>
  <c r="AN49" i="20" s="1"/>
  <c r="AM59" i="20"/>
  <c r="AN52" i="20" s="1"/>
  <c r="AM58" i="20"/>
  <c r="AM55" i="20"/>
  <c r="O54" i="1"/>
  <c r="H58" i="1"/>
  <c r="G57" i="1"/>
  <c r="P54" i="24"/>
  <c r="Y55" i="21"/>
  <c r="G56" i="1"/>
  <c r="I57" i="1"/>
  <c r="G55" i="1"/>
  <c r="F56" i="1"/>
  <c r="I12" i="4"/>
  <c r="I14" i="4"/>
  <c r="C8" i="4" s="1"/>
  <c r="I9" i="4"/>
  <c r="H9" i="4"/>
  <c r="I11" i="4"/>
  <c r="I13" i="4"/>
  <c r="C7" i="4" s="1"/>
  <c r="R55" i="1"/>
  <c r="N55" i="1"/>
  <c r="B58" i="11"/>
  <c r="C51" i="11" s="1"/>
  <c r="C58" i="11" s="1"/>
  <c r="D51" i="11" s="1"/>
  <c r="B60" i="11"/>
  <c r="C53" i="11" s="1"/>
  <c r="C60" i="11" s="1"/>
  <c r="D53" i="11" s="1"/>
  <c r="BJ67" i="1"/>
  <c r="AN54" i="20" s="1"/>
  <c r="L14" i="1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56" i="11"/>
  <c r="S58" i="1"/>
  <c r="I56" i="1"/>
  <c r="H55" i="1"/>
  <c r="T56" i="1"/>
  <c r="P56" i="1"/>
  <c r="L56" i="1"/>
  <c r="T57" i="1"/>
  <c r="P57" i="1"/>
  <c r="L57" i="1"/>
  <c r="H57" i="1"/>
  <c r="G58" i="1"/>
  <c r="V56" i="1"/>
  <c r="N56" i="1"/>
  <c r="F57" i="1"/>
  <c r="J21" i="5"/>
  <c r="K57" i="1"/>
  <c r="S54" i="1"/>
  <c r="R57" i="1"/>
  <c r="N57" i="1"/>
  <c r="R58" i="1"/>
  <c r="N58" i="1"/>
  <c r="B57" i="11"/>
  <c r="C50" i="11" s="1"/>
  <c r="C57" i="11" s="1"/>
  <c r="B59" i="11"/>
  <c r="C52" i="11" s="1"/>
  <c r="C59" i="11" s="1"/>
  <c r="D52" i="11" s="1"/>
  <c r="J57" i="1"/>
  <c r="I58" i="1"/>
  <c r="I55" i="1"/>
  <c r="N54" i="1"/>
  <c r="H54" i="1"/>
  <c r="Q56" i="1"/>
  <c r="J56" i="1"/>
  <c r="V54" i="1"/>
  <c r="R54" i="1"/>
  <c r="J54" i="1"/>
  <c r="K55" i="1"/>
  <c r="S57" i="1"/>
  <c r="T55" i="1"/>
  <c r="P55" i="1"/>
  <c r="L55" i="1"/>
  <c r="O55" i="1"/>
  <c r="L58" i="1"/>
  <c r="K56" i="1"/>
  <c r="H56" i="1"/>
  <c r="P54" i="1"/>
  <c r="L54" i="1"/>
  <c r="M54" i="1"/>
  <c r="I54" i="1"/>
  <c r="C62" i="1"/>
  <c r="C69" i="1" s="1"/>
  <c r="D62" i="1" s="1"/>
  <c r="J55" i="1"/>
  <c r="S55" i="1"/>
  <c r="U56" i="1"/>
  <c r="R56" i="1"/>
  <c r="T58" i="1"/>
  <c r="P58" i="1"/>
  <c r="M56" i="1"/>
  <c r="V57" i="1"/>
  <c r="W58" i="1"/>
  <c r="W56" i="1"/>
  <c r="W55" i="1"/>
  <c r="W57" i="1"/>
  <c r="Q58" i="1"/>
  <c r="T54" i="1"/>
  <c r="O57" i="1"/>
  <c r="U55" i="1"/>
  <c r="Q55" i="1"/>
  <c r="M55" i="1"/>
  <c r="S56" i="1"/>
  <c r="O56" i="1"/>
  <c r="U58" i="1"/>
  <c r="M58" i="1"/>
  <c r="U57" i="1"/>
  <c r="Q57" i="1"/>
  <c r="M57" i="1"/>
  <c r="W54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J8" i="4"/>
  <c r="J15" i="4" s="1"/>
  <c r="C9" i="4" s="1"/>
  <c r="H12" i="4"/>
  <c r="G4" i="5"/>
  <c r="D56" i="1"/>
  <c r="B70" i="1"/>
  <c r="C63" i="1" s="1"/>
  <c r="B71" i="1"/>
  <c r="C64" i="1" s="1"/>
  <c r="U54" i="1"/>
  <c r="E54" i="1"/>
  <c r="B72" i="1"/>
  <c r="C65" i="1" s="1"/>
  <c r="H31" i="13"/>
  <c r="J58" i="1"/>
  <c r="B68" i="1"/>
  <c r="F58" i="1"/>
  <c r="D58" i="1"/>
  <c r="BI55" i="11"/>
  <c r="AL50" i="20" l="1"/>
  <c r="AL57" i="20" s="1"/>
  <c r="AK63" i="20"/>
  <c r="AK60" i="20" s="1"/>
  <c r="AN51" i="20"/>
  <c r="AN58" i="20" s="1"/>
  <c r="E7" i="20" s="1"/>
  <c r="F7" i="20" s="1"/>
  <c r="F29" i="5" s="1"/>
  <c r="C6" i="4"/>
  <c r="AN48" i="20"/>
  <c r="AN55" i="20" s="1"/>
  <c r="E4" i="20" s="1"/>
  <c r="AN59" i="20"/>
  <c r="E8" i="20" s="1"/>
  <c r="F8" i="20" s="1"/>
  <c r="F30" i="5" s="1"/>
  <c r="AN56" i="20"/>
  <c r="E5" i="20" s="1"/>
  <c r="F5" i="20" s="1"/>
  <c r="F27" i="5" s="1"/>
  <c r="Q54" i="24"/>
  <c r="Z55" i="21"/>
  <c r="C19" i="5"/>
  <c r="C20" i="5"/>
  <c r="C18" i="5"/>
  <c r="X14" i="11"/>
  <c r="Y14" i="11" s="1"/>
  <c r="Z14" i="11" s="1"/>
  <c r="AA14" i="11" s="1"/>
  <c r="AB14" i="11" s="1"/>
  <c r="AC14" i="11" s="1"/>
  <c r="AD14" i="11" s="1"/>
  <c r="AE14" i="11" s="1"/>
  <c r="AF14" i="11" s="1"/>
  <c r="AG14" i="11" s="1"/>
  <c r="AH14" i="11" s="1"/>
  <c r="AI14" i="11" s="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C49" i="11"/>
  <c r="C56" i="11" s="1"/>
  <c r="C62" i="11" s="1"/>
  <c r="B64" i="11"/>
  <c r="B61" i="11" s="1"/>
  <c r="BJ55" i="11"/>
  <c r="C61" i="1"/>
  <c r="B76" i="1"/>
  <c r="B73" i="1" s="1"/>
  <c r="D50" i="11"/>
  <c r="D57" i="11" s="1"/>
  <c r="E50" i="11" s="1"/>
  <c r="B62" i="11"/>
  <c r="D69" i="1"/>
  <c r="E62" i="1" s="1"/>
  <c r="C68" i="1"/>
  <c r="D61" i="1" s="1"/>
  <c r="C70" i="1"/>
  <c r="D63" i="1" s="1"/>
  <c r="B74" i="1"/>
  <c r="C72" i="1"/>
  <c r="D65" i="1" s="1"/>
  <c r="J9" i="4"/>
  <c r="J11" i="4"/>
  <c r="C5" i="4" s="1"/>
  <c r="C71" i="1"/>
  <c r="D64" i="1" s="1"/>
  <c r="D59" i="11"/>
  <c r="D58" i="11"/>
  <c r="D60" i="11"/>
  <c r="AM50" i="20" l="1"/>
  <c r="AM57" i="20" s="1"/>
  <c r="AJ14" i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BI14" i="1" s="1"/>
  <c r="BJ14" i="1" s="1"/>
  <c r="AJ14" i="11"/>
  <c r="AK14" i="11" s="1"/>
  <c r="AL14" i="11" s="1"/>
  <c r="AM14" i="11" s="1"/>
  <c r="AN14" i="11" s="1"/>
  <c r="AO14" i="11" s="1"/>
  <c r="AP14" i="11" s="1"/>
  <c r="AQ14" i="11" s="1"/>
  <c r="AR14" i="11" s="1"/>
  <c r="AS14" i="11" s="1"/>
  <c r="AT14" i="11" s="1"/>
  <c r="AU14" i="11" s="1"/>
  <c r="BI14" i="11" s="1"/>
  <c r="BJ14" i="11" s="1"/>
  <c r="C17" i="5"/>
  <c r="D49" i="11"/>
  <c r="D56" i="11" s="1"/>
  <c r="E49" i="11" s="1"/>
  <c r="E56" i="11" s="1"/>
  <c r="F49" i="11" s="1"/>
  <c r="C64" i="11"/>
  <c r="C61" i="11" s="1"/>
  <c r="D71" i="1"/>
  <c r="E64" i="1" s="1"/>
  <c r="C76" i="1"/>
  <c r="D68" i="1"/>
  <c r="E69" i="1"/>
  <c r="F62" i="1" s="1"/>
  <c r="C16" i="5"/>
  <c r="C10" i="4"/>
  <c r="C11" i="4" s="1"/>
  <c r="C74" i="1"/>
  <c r="D72" i="1"/>
  <c r="E65" i="1" s="1"/>
  <c r="D70" i="1"/>
  <c r="E63" i="1" s="1"/>
  <c r="E52" i="11"/>
  <c r="E57" i="11"/>
  <c r="F50" i="11" s="1"/>
  <c r="E53" i="11"/>
  <c r="E51" i="11"/>
  <c r="AN50" i="20" l="1"/>
  <c r="AN57" i="20" s="1"/>
  <c r="E61" i="1"/>
  <c r="E68" i="1" s="1"/>
  <c r="D74" i="1"/>
  <c r="F4" i="20"/>
  <c r="D62" i="11"/>
  <c r="D64" i="11"/>
  <c r="D61" i="11" s="1"/>
  <c r="E70" i="1"/>
  <c r="F63" i="1" s="1"/>
  <c r="E72" i="1"/>
  <c r="F65" i="1" s="1"/>
  <c r="F72" i="1" s="1"/>
  <c r="G65" i="1" s="1"/>
  <c r="F69" i="1"/>
  <c r="G62" i="1" s="1"/>
  <c r="D76" i="1"/>
  <c r="C73" i="1"/>
  <c r="E71" i="1"/>
  <c r="F64" i="1" s="1"/>
  <c r="E60" i="11"/>
  <c r="F53" i="11" s="1"/>
  <c r="F57" i="11"/>
  <c r="G50" i="11" s="1"/>
  <c r="E58" i="11"/>
  <c r="F51" i="11" s="1"/>
  <c r="E59" i="11"/>
  <c r="F52" i="11" s="1"/>
  <c r="F56" i="11"/>
  <c r="G49" i="11" s="1"/>
  <c r="E6" i="20" l="1"/>
  <c r="F26" i="5"/>
  <c r="E74" i="1"/>
  <c r="G69" i="1"/>
  <c r="H62" i="1" s="1"/>
  <c r="H69" i="1" s="1"/>
  <c r="I62" i="1" s="1"/>
  <c r="G72" i="1"/>
  <c r="H65" i="1" s="1"/>
  <c r="H72" i="1" s="1"/>
  <c r="I65" i="1" s="1"/>
  <c r="I72" i="1" s="1"/>
  <c r="J65" i="1" s="1"/>
  <c r="J72" i="1" s="1"/>
  <c r="K65" i="1" s="1"/>
  <c r="F61" i="1"/>
  <c r="F71" i="1"/>
  <c r="G64" i="1" s="1"/>
  <c r="G71" i="1" s="1"/>
  <c r="H64" i="1" s="1"/>
  <c r="E76" i="1"/>
  <c r="D73" i="1"/>
  <c r="F70" i="1"/>
  <c r="G63" i="1" s="1"/>
  <c r="E62" i="11"/>
  <c r="G57" i="11"/>
  <c r="H50" i="11" s="1"/>
  <c r="F58" i="11"/>
  <c r="G51" i="11" s="1"/>
  <c r="F59" i="11"/>
  <c r="E64" i="11"/>
  <c r="F60" i="11"/>
  <c r="G53" i="11" s="1"/>
  <c r="G56" i="11"/>
  <c r="F6" i="20" l="1"/>
  <c r="E9" i="20"/>
  <c r="B6" i="24"/>
  <c r="F4" i="5"/>
  <c r="S4" i="5" s="1"/>
  <c r="H71" i="1"/>
  <c r="I64" i="1" s="1"/>
  <c r="I71" i="1" s="1"/>
  <c r="G70" i="1"/>
  <c r="H63" i="1" s="1"/>
  <c r="H70" i="1" s="1"/>
  <c r="F68" i="1"/>
  <c r="F74" i="1" s="1"/>
  <c r="E73" i="1"/>
  <c r="F62" i="11"/>
  <c r="K72" i="1"/>
  <c r="L65" i="1" s="1"/>
  <c r="E61" i="11"/>
  <c r="F64" i="11"/>
  <c r="I69" i="1"/>
  <c r="J62" i="1" s="1"/>
  <c r="G58" i="11"/>
  <c r="H51" i="11" s="1"/>
  <c r="H57" i="11"/>
  <c r="I50" i="11" s="1"/>
  <c r="G52" i="11"/>
  <c r="H49" i="11"/>
  <c r="G60" i="11"/>
  <c r="H53" i="11" s="1"/>
  <c r="F28" i="5" l="1"/>
  <c r="F6" i="5" s="1"/>
  <c r="F9" i="20"/>
  <c r="M4" i="5"/>
  <c r="F8" i="5"/>
  <c r="F7" i="5"/>
  <c r="F5" i="5"/>
  <c r="G61" i="1"/>
  <c r="G68" i="1" s="1"/>
  <c r="G74" i="1" s="1"/>
  <c r="I63" i="1"/>
  <c r="I70" i="1" s="1"/>
  <c r="J63" i="1" s="1"/>
  <c r="J64" i="1"/>
  <c r="J71" i="1" s="1"/>
  <c r="K64" i="1" s="1"/>
  <c r="F76" i="1"/>
  <c r="J69" i="1"/>
  <c r="K62" i="1" s="1"/>
  <c r="L72" i="1"/>
  <c r="M65" i="1" s="1"/>
  <c r="H60" i="11"/>
  <c r="I53" i="11" s="1"/>
  <c r="G59" i="11"/>
  <c r="G62" i="11" s="1"/>
  <c r="H58" i="11"/>
  <c r="I51" i="11" s="1"/>
  <c r="F61" i="11"/>
  <c r="H56" i="11"/>
  <c r="I49" i="11" s="1"/>
  <c r="I57" i="11"/>
  <c r="J50" i="11" s="1"/>
  <c r="G5" i="13" l="1"/>
  <c r="G26" i="13" s="1"/>
  <c r="S5" i="5"/>
  <c r="M5" i="5"/>
  <c r="S7" i="5"/>
  <c r="M7" i="5"/>
  <c r="S8" i="5"/>
  <c r="M8" i="5"/>
  <c r="S6" i="5"/>
  <c r="M6" i="5"/>
  <c r="G64" i="11"/>
  <c r="G61" i="11" s="1"/>
  <c r="H61" i="1"/>
  <c r="F73" i="1"/>
  <c r="G76" i="1"/>
  <c r="H52" i="11"/>
  <c r="H59" i="11" s="1"/>
  <c r="K71" i="1"/>
  <c r="L64" i="1" s="1"/>
  <c r="I60" i="11"/>
  <c r="J53" i="11" s="1"/>
  <c r="K69" i="1"/>
  <c r="L62" i="1" s="1"/>
  <c r="I56" i="11"/>
  <c r="J49" i="11" s="1"/>
  <c r="M72" i="1"/>
  <c r="N65" i="1" s="1"/>
  <c r="J70" i="1"/>
  <c r="I58" i="11"/>
  <c r="J51" i="11" s="1"/>
  <c r="J57" i="11"/>
  <c r="K50" i="11" s="1"/>
  <c r="B5" i="24" l="1"/>
  <c r="G9" i="13"/>
  <c r="G30" i="13" s="1"/>
  <c r="G7" i="13"/>
  <c r="G28" i="13" s="1"/>
  <c r="G8" i="13"/>
  <c r="G29" i="13" s="1"/>
  <c r="G6" i="13"/>
  <c r="G27" i="13" s="1"/>
  <c r="H64" i="11"/>
  <c r="H61" i="11" s="1"/>
  <c r="G73" i="1"/>
  <c r="H68" i="1"/>
  <c r="I52" i="11"/>
  <c r="I59" i="11" s="1"/>
  <c r="J52" i="11" s="1"/>
  <c r="H62" i="11"/>
  <c r="J58" i="11"/>
  <c r="K51" i="11" s="1"/>
  <c r="J56" i="11"/>
  <c r="K49" i="11" s="1"/>
  <c r="J60" i="11"/>
  <c r="K53" i="11" s="1"/>
  <c r="K63" i="1"/>
  <c r="N72" i="1"/>
  <c r="L69" i="1"/>
  <c r="M62" i="1" s="1"/>
  <c r="L71" i="1"/>
  <c r="M64" i="1" s="1"/>
  <c r="K57" i="11"/>
  <c r="B8" i="24" l="1"/>
  <c r="L50" i="11"/>
  <c r="L57" i="11" s="1"/>
  <c r="M50" i="11" s="1"/>
  <c r="H74" i="1"/>
  <c r="I61" i="1"/>
  <c r="I68" i="1" s="1"/>
  <c r="H76" i="1"/>
  <c r="H73" i="1" s="1"/>
  <c r="M69" i="1"/>
  <c r="N62" i="1" s="1"/>
  <c r="J59" i="11"/>
  <c r="K52" i="11" s="1"/>
  <c r="I64" i="11"/>
  <c r="K56" i="11"/>
  <c r="L49" i="11" s="1"/>
  <c r="K70" i="1"/>
  <c r="I62" i="11"/>
  <c r="K58" i="11"/>
  <c r="M71" i="1"/>
  <c r="K60" i="11"/>
  <c r="L53" i="11" l="1"/>
  <c r="L60" i="11" s="1"/>
  <c r="M53" i="11" s="1"/>
  <c r="M60" i="11" s="1"/>
  <c r="N53" i="11" s="1"/>
  <c r="L56" i="11"/>
  <c r="M49" i="11" s="1"/>
  <c r="M57" i="11"/>
  <c r="N50" i="11" s="1"/>
  <c r="L51" i="11"/>
  <c r="L58" i="11" s="1"/>
  <c r="M51" i="11" s="1"/>
  <c r="I76" i="1"/>
  <c r="J61" i="1"/>
  <c r="J68" i="1" s="1"/>
  <c r="I74" i="1"/>
  <c r="J62" i="11"/>
  <c r="N71" i="1"/>
  <c r="N69" i="1"/>
  <c r="K59" i="11"/>
  <c r="L63" i="1"/>
  <c r="I61" i="11"/>
  <c r="J64" i="11"/>
  <c r="N57" i="11" l="1"/>
  <c r="N60" i="11"/>
  <c r="M58" i="11"/>
  <c r="N51" i="11" s="1"/>
  <c r="M56" i="11"/>
  <c r="N49" i="11" s="1"/>
  <c r="L52" i="11"/>
  <c r="L59" i="11" s="1"/>
  <c r="M52" i="11" s="1"/>
  <c r="M59" i="11" s="1"/>
  <c r="N52" i="11" s="1"/>
  <c r="I73" i="1"/>
  <c r="J76" i="1"/>
  <c r="K61" i="1"/>
  <c r="K68" i="1" s="1"/>
  <c r="K74" i="1" s="1"/>
  <c r="J74" i="1"/>
  <c r="K62" i="11"/>
  <c r="L70" i="1"/>
  <c r="J61" i="11"/>
  <c r="K64" i="11"/>
  <c r="L62" i="11" l="1"/>
  <c r="L64" i="11"/>
  <c r="L61" i="11" s="1"/>
  <c r="N56" i="11"/>
  <c r="N58" i="11"/>
  <c r="N59" i="11"/>
  <c r="M62" i="11"/>
  <c r="J73" i="1"/>
  <c r="K61" i="11"/>
  <c r="M63" i="1"/>
  <c r="M64" i="11" l="1"/>
  <c r="M61" i="11" s="1"/>
  <c r="N62" i="11"/>
  <c r="L61" i="1"/>
  <c r="L68" i="1" s="1"/>
  <c r="M61" i="1" s="1"/>
  <c r="K76" i="1"/>
  <c r="K73" i="1" s="1"/>
  <c r="M68" i="1" l="1"/>
  <c r="N61" i="1" s="1"/>
  <c r="N64" i="11"/>
  <c r="N61" i="11" s="1"/>
  <c r="L74" i="1"/>
  <c r="L76" i="1"/>
  <c r="L73" i="1" s="1"/>
  <c r="M74" i="1" l="1"/>
  <c r="N68" i="1"/>
  <c r="M76" i="1"/>
  <c r="M73" i="1" l="1"/>
  <c r="B7" i="24" l="1"/>
  <c r="P65" i="1" l="1"/>
  <c r="P72" i="1" s="1"/>
  <c r="Q65" i="1" s="1"/>
  <c r="Q72" i="1" s="1"/>
  <c r="R65" i="1" s="1"/>
  <c r="R72" i="1" s="1"/>
  <c r="S65" i="1" s="1"/>
  <c r="S72" i="1" s="1"/>
  <c r="T65" i="1" s="1"/>
  <c r="T72" i="1" s="1"/>
  <c r="U65" i="1" s="1"/>
  <c r="U72" i="1" s="1"/>
  <c r="V65" i="1" s="1"/>
  <c r="V72" i="1" s="1"/>
  <c r="W65" i="1" s="1"/>
  <c r="B8" i="1"/>
  <c r="O71" i="1"/>
  <c r="P64" i="1" s="1"/>
  <c r="P71" i="1" s="1"/>
  <c r="Q64" i="1" s="1"/>
  <c r="Q71" i="1" s="1"/>
  <c r="R64" i="1" s="1"/>
  <c r="R71" i="1" s="1"/>
  <c r="S64" i="1" s="1"/>
  <c r="S71" i="1" s="1"/>
  <c r="T64" i="1" s="1"/>
  <c r="T71" i="1" s="1"/>
  <c r="U64" i="1" s="1"/>
  <c r="U71" i="1" s="1"/>
  <c r="V64" i="1" s="1"/>
  <c r="V71" i="1" s="1"/>
  <c r="W64" i="1" s="1"/>
  <c r="B7" i="1"/>
  <c r="W71" i="1" l="1"/>
  <c r="X64" i="1"/>
  <c r="W72" i="1"/>
  <c r="O70" i="1"/>
  <c r="B6" i="1"/>
  <c r="X65" i="1" l="1"/>
  <c r="X72" i="1" s="1"/>
  <c r="X71" i="1"/>
  <c r="Y64" i="1" s="1"/>
  <c r="Y71" i="1" s="1"/>
  <c r="Z64" i="1" s="1"/>
  <c r="Z71" i="1" s="1"/>
  <c r="AA64" i="1" s="1"/>
  <c r="AA71" i="1" s="1"/>
  <c r="AB64" i="1" s="1"/>
  <c r="AB71" i="1" s="1"/>
  <c r="AC64" i="1" s="1"/>
  <c r="AC71" i="1" s="1"/>
  <c r="AD64" i="1" s="1"/>
  <c r="AD71" i="1" s="1"/>
  <c r="AE64" i="1" s="1"/>
  <c r="AE71" i="1" s="1"/>
  <c r="AF64" i="1" s="1"/>
  <c r="AF71" i="1" s="1"/>
  <c r="AG64" i="1" s="1"/>
  <c r="AG71" i="1" s="1"/>
  <c r="AH64" i="1" s="1"/>
  <c r="AH71" i="1" s="1"/>
  <c r="AI64" i="1" s="1"/>
  <c r="P63" i="1"/>
  <c r="Y65" i="1" l="1"/>
  <c r="Y72" i="1" s="1"/>
  <c r="Z65" i="1" s="1"/>
  <c r="Z72" i="1" s="1"/>
  <c r="AA65" i="1" s="1"/>
  <c r="AA72" i="1" s="1"/>
  <c r="AB65" i="1" s="1"/>
  <c r="AB72" i="1" s="1"/>
  <c r="AC65" i="1" s="1"/>
  <c r="AC72" i="1" s="1"/>
  <c r="AD65" i="1" s="1"/>
  <c r="AD72" i="1" s="1"/>
  <c r="AE65" i="1" s="1"/>
  <c r="AE72" i="1" s="1"/>
  <c r="AF65" i="1" s="1"/>
  <c r="AF72" i="1" s="1"/>
  <c r="AG65" i="1" s="1"/>
  <c r="AG72" i="1" s="1"/>
  <c r="AH65" i="1" s="1"/>
  <c r="AH72" i="1" s="1"/>
  <c r="AI65" i="1" s="1"/>
  <c r="AI71" i="1"/>
  <c r="O62" i="1"/>
  <c r="O69" i="1" s="1"/>
  <c r="P62" i="1" s="1"/>
  <c r="P69" i="1" s="1"/>
  <c r="Q62" i="1" s="1"/>
  <c r="Q69" i="1" s="1"/>
  <c r="R62" i="1" s="1"/>
  <c r="R69" i="1" s="1"/>
  <c r="S62" i="1" s="1"/>
  <c r="S69" i="1" s="1"/>
  <c r="T62" i="1" s="1"/>
  <c r="T69" i="1" s="1"/>
  <c r="U62" i="1" s="1"/>
  <c r="U69" i="1" s="1"/>
  <c r="V62" i="1" s="1"/>
  <c r="V69" i="1" s="1"/>
  <c r="W62" i="1" s="1"/>
  <c r="B5" i="1"/>
  <c r="P70" i="1"/>
  <c r="AI72" i="1" l="1"/>
  <c r="AJ65" i="1" s="1"/>
  <c r="AJ64" i="1"/>
  <c r="W69" i="1"/>
  <c r="X62" i="1" s="1"/>
  <c r="Q63" i="1"/>
  <c r="AJ71" i="1" l="1"/>
  <c r="AK64" i="1" s="1"/>
  <c r="AJ72" i="1"/>
  <c r="AK65" i="1" s="1"/>
  <c r="X69" i="1"/>
  <c r="Y62" i="1" s="1"/>
  <c r="Y69" i="1" s="1"/>
  <c r="Z62" i="1" s="1"/>
  <c r="Z69" i="1" s="1"/>
  <c r="AA62" i="1" s="1"/>
  <c r="AA69" i="1" s="1"/>
  <c r="AB62" i="1" s="1"/>
  <c r="AB69" i="1" s="1"/>
  <c r="AC62" i="1" s="1"/>
  <c r="AC69" i="1" s="1"/>
  <c r="AD62" i="1" s="1"/>
  <c r="AD69" i="1" s="1"/>
  <c r="AE62" i="1" s="1"/>
  <c r="AE69" i="1" s="1"/>
  <c r="AF62" i="1" s="1"/>
  <c r="AF69" i="1" s="1"/>
  <c r="AG62" i="1" s="1"/>
  <c r="AG69" i="1" s="1"/>
  <c r="AH62" i="1" s="1"/>
  <c r="AH69" i="1" s="1"/>
  <c r="AI62" i="1" s="1"/>
  <c r="B8" i="11"/>
  <c r="Q70" i="1"/>
  <c r="R63" i="1" s="1"/>
  <c r="R70" i="1" s="1"/>
  <c r="S63" i="1" s="1"/>
  <c r="AK72" i="1" l="1"/>
  <c r="AL65" i="1" s="1"/>
  <c r="AL72" i="1" s="1"/>
  <c r="AM65" i="1" s="1"/>
  <c r="AM72" i="1" s="1"/>
  <c r="AN65" i="1" s="1"/>
  <c r="AN72" i="1" s="1"/>
  <c r="AO65" i="1" s="1"/>
  <c r="AK71" i="1"/>
  <c r="AL64" i="1" s="1"/>
  <c r="AL71" i="1" s="1"/>
  <c r="AM64" i="1" s="1"/>
  <c r="AM71" i="1" s="1"/>
  <c r="AN64" i="1" s="1"/>
  <c r="AN71" i="1" s="1"/>
  <c r="AO64" i="1" s="1"/>
  <c r="AO71" i="1" s="1"/>
  <c r="AP64" i="1" s="1"/>
  <c r="AI69" i="1"/>
  <c r="AJ62" i="1" s="1"/>
  <c r="O53" i="11"/>
  <c r="O60" i="11" s="1"/>
  <c r="B5" i="11"/>
  <c r="O50" i="11"/>
  <c r="O57" i="11" s="1"/>
  <c r="S70" i="1"/>
  <c r="T63" i="1"/>
  <c r="AJ69" i="1" l="1"/>
  <c r="AK62" i="1"/>
  <c r="AK69" i="1" s="1"/>
  <c r="AL62" i="1" s="1"/>
  <c r="AL69" i="1" s="1"/>
  <c r="AM62" i="1" s="1"/>
  <c r="AM69" i="1" s="1"/>
  <c r="AN62" i="1" s="1"/>
  <c r="AN69" i="1" s="1"/>
  <c r="AO62" i="1" s="1"/>
  <c r="AO69" i="1" s="1"/>
  <c r="AP62" i="1" s="1"/>
  <c r="AP69" i="1" s="1"/>
  <c r="AQ62" i="1" s="1"/>
  <c r="AQ69" i="1" s="1"/>
  <c r="AR62" i="1" s="1"/>
  <c r="AR69" i="1" s="1"/>
  <c r="AS62" i="1" s="1"/>
  <c r="AS69" i="1" s="1"/>
  <c r="AT62" i="1" s="1"/>
  <c r="AT69" i="1" s="1"/>
  <c r="AU62" i="1" s="1"/>
  <c r="AP71" i="1"/>
  <c r="AQ64" i="1" s="1"/>
  <c r="AQ71" i="1" s="1"/>
  <c r="AR64" i="1" s="1"/>
  <c r="AR71" i="1" s="1"/>
  <c r="AS64" i="1" s="1"/>
  <c r="AS71" i="1" s="1"/>
  <c r="AT64" i="1" s="1"/>
  <c r="AT71" i="1" s="1"/>
  <c r="AU64" i="1" s="1"/>
  <c r="AO72" i="1"/>
  <c r="AP65" i="1"/>
  <c r="AP72" i="1" s="1"/>
  <c r="AQ65" i="1" s="1"/>
  <c r="AQ72" i="1" s="1"/>
  <c r="AR65" i="1" s="1"/>
  <c r="P53" i="11"/>
  <c r="P60" i="11" s="1"/>
  <c r="Q53" i="11" s="1"/>
  <c r="Q60" i="11" s="1"/>
  <c r="R53" i="11" s="1"/>
  <c r="R60" i="11" s="1"/>
  <c r="S53" i="11" s="1"/>
  <c r="S60" i="11" s="1"/>
  <c r="T53" i="11" s="1"/>
  <c r="T60" i="11" s="1"/>
  <c r="U53" i="11" s="1"/>
  <c r="U60" i="11" s="1"/>
  <c r="V53" i="11" s="1"/>
  <c r="V60" i="11" s="1"/>
  <c r="W53" i="11" s="1"/>
  <c r="B7" i="11"/>
  <c r="O52" i="11"/>
  <c r="O59" i="11" s="1"/>
  <c r="P52" i="11" s="1"/>
  <c r="P59" i="11" s="1"/>
  <c r="Q52" i="11" s="1"/>
  <c r="Q59" i="11" s="1"/>
  <c r="R52" i="11" s="1"/>
  <c r="R59" i="11" s="1"/>
  <c r="S52" i="11" s="1"/>
  <c r="S59" i="11" s="1"/>
  <c r="T52" i="11" s="1"/>
  <c r="T59" i="11" s="1"/>
  <c r="U52" i="11" s="1"/>
  <c r="U59" i="11" s="1"/>
  <c r="V52" i="11" s="1"/>
  <c r="P50" i="11"/>
  <c r="T70" i="1"/>
  <c r="U63" i="1" s="1"/>
  <c r="AU71" i="1" l="1"/>
  <c r="AR72" i="1"/>
  <c r="AS65" i="1"/>
  <c r="AS72" i="1" s="1"/>
  <c r="AT65" i="1" s="1"/>
  <c r="AT72" i="1" s="1"/>
  <c r="AU65" i="1" s="1"/>
  <c r="AU69" i="1"/>
  <c r="W60" i="11"/>
  <c r="X53" i="11"/>
  <c r="V59" i="11"/>
  <c r="W52" i="11" s="1"/>
  <c r="P57" i="11"/>
  <c r="Q50" i="11" s="1"/>
  <c r="Q57" i="11" s="1"/>
  <c r="R50" i="11" s="1"/>
  <c r="R57" i="11" s="1"/>
  <c r="S50" i="11" s="1"/>
  <c r="S57" i="11" s="1"/>
  <c r="T50" i="11" s="1"/>
  <c r="T57" i="11" s="1"/>
  <c r="U50" i="11" s="1"/>
  <c r="U70" i="1"/>
  <c r="V63" i="1" s="1"/>
  <c r="AU72" i="1" l="1"/>
  <c r="X60" i="11"/>
  <c r="W59" i="11"/>
  <c r="X52" i="11" s="1"/>
  <c r="U57" i="11"/>
  <c r="V50" i="11" s="1"/>
  <c r="V57" i="11" s="1"/>
  <c r="W50" i="11" s="1"/>
  <c r="V70" i="1"/>
  <c r="W63" i="1" s="1"/>
  <c r="X59" i="11" l="1"/>
  <c r="Y52" i="11" s="1"/>
  <c r="Y59" i="11" s="1"/>
  <c r="Z52" i="11" s="1"/>
  <c r="Z59" i="11" s="1"/>
  <c r="AA52" i="11" s="1"/>
  <c r="Y53" i="11"/>
  <c r="W57" i="11"/>
  <c r="W70" i="1"/>
  <c r="X50" i="11" l="1"/>
  <c r="AA59" i="11"/>
  <c r="AB52" i="11" s="1"/>
  <c r="Y60" i="11"/>
  <c r="Z53" i="11" s="1"/>
  <c r="Z60" i="11" s="1"/>
  <c r="AA53" i="11" s="1"/>
  <c r="AA60" i="11" s="1"/>
  <c r="AB53" i="11" s="1"/>
  <c r="X63" i="1"/>
  <c r="X70" i="1" s="1"/>
  <c r="B4" i="24" l="1"/>
  <c r="B9" i="24" s="1"/>
  <c r="AB60" i="11"/>
  <c r="AC53" i="11" s="1"/>
  <c r="X57" i="11"/>
  <c r="Y50" i="11" s="1"/>
  <c r="Y57" i="11" s="1"/>
  <c r="Z50" i="11" s="1"/>
  <c r="AB59" i="11"/>
  <c r="AC52" i="11" s="1"/>
  <c r="AC59" i="11" s="1"/>
  <c r="AD52" i="11" s="1"/>
  <c r="AD59" i="11" s="1"/>
  <c r="AE52" i="11" s="1"/>
  <c r="Y63" i="1"/>
  <c r="Y70" i="1" s="1"/>
  <c r="Z63" i="1" s="1"/>
  <c r="Z70" i="1" s="1"/>
  <c r="AA63" i="1" s="1"/>
  <c r="AA70" i="1" s="1"/>
  <c r="AB63" i="1" s="1"/>
  <c r="AB70" i="1" s="1"/>
  <c r="AC63" i="1" s="1"/>
  <c r="AC70" i="1" s="1"/>
  <c r="AD63" i="1" s="1"/>
  <c r="AD70" i="1" s="1"/>
  <c r="AE63" i="1" s="1"/>
  <c r="AE70" i="1" s="1"/>
  <c r="AF63" i="1" s="1"/>
  <c r="AF70" i="1" s="1"/>
  <c r="AG63" i="1" s="1"/>
  <c r="AG70" i="1" s="1"/>
  <c r="AH63" i="1" s="1"/>
  <c r="AH70" i="1" s="1"/>
  <c r="AI63" i="1" s="1"/>
  <c r="AI70" i="1" l="1"/>
  <c r="AJ63" i="1" s="1"/>
  <c r="Z57" i="11"/>
  <c r="AA50" i="11" s="1"/>
  <c r="AA57" i="11" s="1"/>
  <c r="AB50" i="11" s="1"/>
  <c r="AB57" i="11" s="1"/>
  <c r="AC50" i="11" s="1"/>
  <c r="AE59" i="11"/>
  <c r="AC60" i="11"/>
  <c r="AD53" i="11" s="1"/>
  <c r="AJ70" i="1" l="1"/>
  <c r="AK63" i="1"/>
  <c r="AK70" i="1" s="1"/>
  <c r="AL63" i="1" s="1"/>
  <c r="AL70" i="1" s="1"/>
  <c r="AM63" i="1" s="1"/>
  <c r="AM70" i="1" s="1"/>
  <c r="AN63" i="1" s="1"/>
  <c r="AN70" i="1" s="1"/>
  <c r="AO63" i="1" s="1"/>
  <c r="AO70" i="1" s="1"/>
  <c r="AP63" i="1" s="1"/>
  <c r="AP70" i="1" s="1"/>
  <c r="AQ63" i="1" s="1"/>
  <c r="AQ70" i="1" s="1"/>
  <c r="AR63" i="1" s="1"/>
  <c r="AR70" i="1" s="1"/>
  <c r="AS63" i="1" s="1"/>
  <c r="AS70" i="1" s="1"/>
  <c r="AT63" i="1" s="1"/>
  <c r="AT70" i="1" s="1"/>
  <c r="AU63" i="1" s="1"/>
  <c r="AC57" i="11"/>
  <c r="AD50" i="11" s="1"/>
  <c r="AD60" i="11"/>
  <c r="AE53" i="11" s="1"/>
  <c r="AE60" i="11" s="1"/>
  <c r="AF53" i="11" s="1"/>
  <c r="AF52" i="11"/>
  <c r="AU70" i="1" l="1"/>
  <c r="AF59" i="11"/>
  <c r="AG52" i="11" s="1"/>
  <c r="AG59" i="11" s="1"/>
  <c r="AH52" i="11" s="1"/>
  <c r="AD57" i="11"/>
  <c r="AF60" i="11"/>
  <c r="AG53" i="11" s="1"/>
  <c r="AH59" i="11" l="1"/>
  <c r="AI52" i="11" s="1"/>
  <c r="AG60" i="11"/>
  <c r="AH53" i="11" s="1"/>
  <c r="AE50" i="11"/>
  <c r="AE57" i="11" s="1"/>
  <c r="AF50" i="11" s="1"/>
  <c r="AF57" i="11" s="1"/>
  <c r="AG50" i="11" s="1"/>
  <c r="AI59" i="11" l="1"/>
  <c r="AJ52" i="11" s="1"/>
  <c r="AH60" i="11"/>
  <c r="AI53" i="11" s="1"/>
  <c r="AG57" i="11"/>
  <c r="AH50" i="11" s="1"/>
  <c r="AJ59" i="11" l="1"/>
  <c r="AK52" i="11"/>
  <c r="AI60" i="11"/>
  <c r="AJ53" i="11" s="1"/>
  <c r="AH57" i="11"/>
  <c r="AI50" i="11" s="1"/>
  <c r="O49" i="11"/>
  <c r="O56" i="11" s="1"/>
  <c r="P49" i="11" s="1"/>
  <c r="AJ60" i="11" l="1"/>
  <c r="AK53" i="11" s="1"/>
  <c r="AK59" i="11"/>
  <c r="AI57" i="11"/>
  <c r="AJ50" i="11" s="1"/>
  <c r="P56" i="11"/>
  <c r="Q49" i="11" s="1"/>
  <c r="Q56" i="11" s="1"/>
  <c r="AK60" i="11" l="1"/>
  <c r="AL53" i="11" s="1"/>
  <c r="AL52" i="11"/>
  <c r="AJ57" i="11"/>
  <c r="AK50" i="11" s="1"/>
  <c r="R49" i="11"/>
  <c r="AK57" i="11" l="1"/>
  <c r="AL50" i="11" s="1"/>
  <c r="AL60" i="11"/>
  <c r="AL59" i="11"/>
  <c r="R56" i="11"/>
  <c r="S49" i="11" s="1"/>
  <c r="AL57" i="11" l="1"/>
  <c r="AM53" i="11"/>
  <c r="AM52" i="11"/>
  <c r="T49" i="11"/>
  <c r="T56" i="11" s="1"/>
  <c r="AM59" i="11" l="1"/>
  <c r="AM60" i="11"/>
  <c r="AN53" i="11" s="1"/>
  <c r="AM50" i="11"/>
  <c r="U49" i="11"/>
  <c r="U56" i="11" s="1"/>
  <c r="AN60" i="11" l="1"/>
  <c r="AM57" i="11"/>
  <c r="AN50" i="11" s="1"/>
  <c r="AN52" i="11"/>
  <c r="V49" i="11"/>
  <c r="AN57" i="11" l="1"/>
  <c r="AO50" i="11" s="1"/>
  <c r="AN59" i="11"/>
  <c r="AO52" i="11" s="1"/>
  <c r="AO53" i="11"/>
  <c r="O61" i="1"/>
  <c r="V56" i="11"/>
  <c r="W49" i="11" s="1"/>
  <c r="AO59" i="11" l="1"/>
  <c r="AP52" i="11" s="1"/>
  <c r="AO57" i="11"/>
  <c r="AO60" i="11"/>
  <c r="O74" i="1"/>
  <c r="O73" i="1"/>
  <c r="P61" i="1"/>
  <c r="B9" i="1"/>
  <c r="W56" i="11"/>
  <c r="AP59" i="11" l="1"/>
  <c r="AQ52" i="11" s="1"/>
  <c r="AP50" i="11"/>
  <c r="AP53" i="11"/>
  <c r="X49" i="11"/>
  <c r="P68" i="1"/>
  <c r="Q61" i="1" s="1"/>
  <c r="P76" i="1"/>
  <c r="AQ59" i="11" l="1"/>
  <c r="AR52" i="11" s="1"/>
  <c r="AP60" i="11"/>
  <c r="AP57" i="11"/>
  <c r="AQ50" i="11" s="1"/>
  <c r="X56" i="11"/>
  <c r="Y49" i="11" s="1"/>
  <c r="Q68" i="1"/>
  <c r="Q74" i="1" s="1"/>
  <c r="P74" i="1"/>
  <c r="P73" i="1"/>
  <c r="AQ57" i="11" l="1"/>
  <c r="AR50" i="11" s="1"/>
  <c r="AR57" i="11" s="1"/>
  <c r="AR59" i="11"/>
  <c r="AS52" i="11" s="1"/>
  <c r="AQ53" i="11"/>
  <c r="Y56" i="11"/>
  <c r="Q76" i="1"/>
  <c r="Q73" i="1" s="1"/>
  <c r="R61" i="1"/>
  <c r="R68" i="1" s="1"/>
  <c r="AS59" i="11" l="1"/>
  <c r="AT52" i="11" s="1"/>
  <c r="AS50" i="11"/>
  <c r="AQ60" i="11"/>
  <c r="AR53" i="11" s="1"/>
  <c r="Z49" i="11"/>
  <c r="B6" i="11"/>
  <c r="O51" i="11"/>
  <c r="O58" i="11" s="1"/>
  <c r="R76" i="1"/>
  <c r="R73" i="1" s="1"/>
  <c r="S61" i="1"/>
  <c r="S68" i="1" s="1"/>
  <c r="S74" i="1" s="1"/>
  <c r="R74" i="1"/>
  <c r="AR60" i="11" l="1"/>
  <c r="AS53" i="11" s="1"/>
  <c r="AS57" i="11"/>
  <c r="AT50" i="11" s="1"/>
  <c r="AT59" i="11"/>
  <c r="AU52" i="11" s="1"/>
  <c r="Z56" i="11"/>
  <c r="AA49" i="11" s="1"/>
  <c r="O64" i="11"/>
  <c r="O61" i="11" s="1"/>
  <c r="P51" i="11"/>
  <c r="P58" i="11" s="1"/>
  <c r="O62" i="11"/>
  <c r="S76" i="1"/>
  <c r="S73" i="1" s="1"/>
  <c r="T61" i="1"/>
  <c r="T68" i="1" s="1"/>
  <c r="AU59" i="11" l="1"/>
  <c r="AT57" i="11"/>
  <c r="AU50" i="11" s="1"/>
  <c r="AS60" i="11"/>
  <c r="AT53" i="11" s="1"/>
  <c r="AA56" i="11"/>
  <c r="AB49" i="11" s="1"/>
  <c r="Q51" i="11"/>
  <c r="Q58" i="11" s="1"/>
  <c r="P62" i="11"/>
  <c r="P64" i="11"/>
  <c r="T76" i="1"/>
  <c r="T73" i="1" s="1"/>
  <c r="U61" i="1"/>
  <c r="U68" i="1" s="1"/>
  <c r="T74" i="1"/>
  <c r="AV52" i="11" l="1"/>
  <c r="AV59" i="11" s="1"/>
  <c r="AW52" i="11" s="1"/>
  <c r="AW59" i="11" s="1"/>
  <c r="AX52" i="11" s="1"/>
  <c r="AX59" i="11" s="1"/>
  <c r="AY52" i="11" s="1"/>
  <c r="AY59" i="11" s="1"/>
  <c r="AZ52" i="11" s="1"/>
  <c r="AZ59" i="11" s="1"/>
  <c r="BA52" i="11" s="1"/>
  <c r="BA59" i="11" s="1"/>
  <c r="BB52" i="11" s="1"/>
  <c r="BB59" i="11" s="1"/>
  <c r="BC52" i="11" s="1"/>
  <c r="BC59" i="11" s="1"/>
  <c r="BD52" i="11" s="1"/>
  <c r="BD59" i="11" s="1"/>
  <c r="BE52" i="11" s="1"/>
  <c r="BE59" i="11" s="1"/>
  <c r="BF52" i="11" s="1"/>
  <c r="AU57" i="11"/>
  <c r="AT60" i="11"/>
  <c r="AU53" i="11" s="1"/>
  <c r="AB56" i="11"/>
  <c r="P61" i="11"/>
  <c r="Q64" i="11"/>
  <c r="R51" i="11"/>
  <c r="Q62" i="11"/>
  <c r="U74" i="1"/>
  <c r="V61" i="1"/>
  <c r="U76" i="1"/>
  <c r="U73" i="1" s="1"/>
  <c r="BF59" i="11" l="1"/>
  <c r="BG52" i="11" s="1"/>
  <c r="AV50" i="11"/>
  <c r="AV57" i="11" s="1"/>
  <c r="AW50" i="11" s="1"/>
  <c r="AW57" i="11" s="1"/>
  <c r="AX50" i="11" s="1"/>
  <c r="AX57" i="11" s="1"/>
  <c r="AY50" i="11" s="1"/>
  <c r="AY57" i="11" s="1"/>
  <c r="AZ50" i="11" s="1"/>
  <c r="AZ57" i="11" s="1"/>
  <c r="BA50" i="11" s="1"/>
  <c r="BA57" i="11" s="1"/>
  <c r="BB50" i="11" s="1"/>
  <c r="BB57" i="11" s="1"/>
  <c r="BC50" i="11" s="1"/>
  <c r="BC57" i="11" s="1"/>
  <c r="BD50" i="11" s="1"/>
  <c r="BD57" i="11" s="1"/>
  <c r="BE50" i="11" s="1"/>
  <c r="BE57" i="11" s="1"/>
  <c r="BF50" i="11" s="1"/>
  <c r="AU60" i="11"/>
  <c r="AC49" i="11"/>
  <c r="R58" i="11"/>
  <c r="S51" i="11" s="1"/>
  <c r="S58" i="11" s="1"/>
  <c r="Q61" i="11"/>
  <c r="R64" i="11"/>
  <c r="V68" i="1"/>
  <c r="V76" i="1" s="1"/>
  <c r="V73" i="1" s="1"/>
  <c r="BG59" i="11" l="1"/>
  <c r="BF57" i="11"/>
  <c r="BG50" i="11" s="1"/>
  <c r="AV53" i="11"/>
  <c r="AV60" i="11" s="1"/>
  <c r="AW53" i="11" s="1"/>
  <c r="AW60" i="11" s="1"/>
  <c r="AX53" i="11" s="1"/>
  <c r="AX60" i="11" s="1"/>
  <c r="AY53" i="11" s="1"/>
  <c r="AY60" i="11" s="1"/>
  <c r="AZ53" i="11" s="1"/>
  <c r="AZ60" i="11" s="1"/>
  <c r="BA53" i="11" s="1"/>
  <c r="BA60" i="11" s="1"/>
  <c r="BB53" i="11" s="1"/>
  <c r="BB60" i="11" s="1"/>
  <c r="BC53" i="11" s="1"/>
  <c r="BC60" i="11" s="1"/>
  <c r="BD53" i="11" s="1"/>
  <c r="BD60" i="11" s="1"/>
  <c r="BE53" i="11" s="1"/>
  <c r="BE60" i="11" s="1"/>
  <c r="BF53" i="11" s="1"/>
  <c r="AC56" i="11"/>
  <c r="AD49" i="11" s="1"/>
  <c r="V74" i="1"/>
  <c r="R61" i="11"/>
  <c r="T51" i="11"/>
  <c r="T58" i="11" s="1"/>
  <c r="S62" i="11"/>
  <c r="R62" i="11"/>
  <c r="W61" i="1"/>
  <c r="BG57" i="11" l="1"/>
  <c r="BF60" i="11"/>
  <c r="BG53" i="11" s="1"/>
  <c r="AD56" i="11"/>
  <c r="AE49" i="11" s="1"/>
  <c r="W68" i="1"/>
  <c r="X61" i="1" s="1"/>
  <c r="X68" i="1" s="1"/>
  <c r="U51" i="11"/>
  <c r="U58" i="11" s="1"/>
  <c r="T62" i="11"/>
  <c r="T64" i="11"/>
  <c r="BG60" i="11" l="1"/>
  <c r="W76" i="1"/>
  <c r="W73" i="1" s="1"/>
  <c r="W74" i="1"/>
  <c r="AE56" i="11"/>
  <c r="AF49" i="11" s="1"/>
  <c r="T61" i="11"/>
  <c r="U64" i="11"/>
  <c r="V51" i="11"/>
  <c r="V58" i="11" s="1"/>
  <c r="U62" i="11"/>
  <c r="AF56" i="11" l="1"/>
  <c r="AG49" i="11" s="1"/>
  <c r="X76" i="1"/>
  <c r="X74" i="1"/>
  <c r="Y61" i="1"/>
  <c r="Y68" i="1" s="1"/>
  <c r="Y74" i="1" s="1"/>
  <c r="W51" i="11"/>
  <c r="V62" i="11"/>
  <c r="U61" i="11"/>
  <c r="V64" i="11"/>
  <c r="AG56" i="11" l="1"/>
  <c r="AH49" i="11" s="1"/>
  <c r="Y76" i="1"/>
  <c r="Y73" i="1" s="1"/>
  <c r="Z61" i="1"/>
  <c r="Z68" i="1" s="1"/>
  <c r="Z74" i="1" s="1"/>
  <c r="X73" i="1"/>
  <c r="W58" i="11"/>
  <c r="X51" i="11" s="1"/>
  <c r="X58" i="11" s="1"/>
  <c r="X62" i="11" s="1"/>
  <c r="V61" i="11"/>
  <c r="AH56" i="11" l="1"/>
  <c r="AI49" i="11" s="1"/>
  <c r="Y51" i="11"/>
  <c r="Y58" i="11" s="1"/>
  <c r="AA61" i="1"/>
  <c r="AA68" i="1" s="1"/>
  <c r="Z76" i="1"/>
  <c r="Z73" i="1" s="1"/>
  <c r="W62" i="11"/>
  <c r="W64" i="11"/>
  <c r="W61" i="11" s="1"/>
  <c r="AI56" i="11" l="1"/>
  <c r="AJ49" i="11" s="1"/>
  <c r="X64" i="11"/>
  <c r="X61" i="11" s="1"/>
  <c r="Z51" i="11"/>
  <c r="Z58" i="11" s="1"/>
  <c r="Y62" i="11"/>
  <c r="AB61" i="1"/>
  <c r="AB68" i="1" s="1"/>
  <c r="AB74" i="1" s="1"/>
  <c r="AA74" i="1"/>
  <c r="AA76" i="1"/>
  <c r="AA73" i="1" s="1"/>
  <c r="AJ56" i="11" l="1"/>
  <c r="AK49" i="11" s="1"/>
  <c r="Y64" i="11"/>
  <c r="Y61" i="11" s="1"/>
  <c r="AC61" i="1"/>
  <c r="AC68" i="1" s="1"/>
  <c r="AD61" i="1" s="1"/>
  <c r="AA51" i="11"/>
  <c r="Z62" i="11"/>
  <c r="AB76" i="1"/>
  <c r="AB73" i="1" s="1"/>
  <c r="Z64" i="11" l="1"/>
  <c r="Z61" i="11" s="1"/>
  <c r="AK56" i="11"/>
  <c r="AA58" i="11"/>
  <c r="AB51" i="11" s="1"/>
  <c r="AD68" i="1"/>
  <c r="AE61" i="1" s="1"/>
  <c r="AC74" i="1"/>
  <c r="AC76" i="1"/>
  <c r="AC73" i="1" s="1"/>
  <c r="AL49" i="11" l="1"/>
  <c r="AB58" i="11"/>
  <c r="AC51" i="11" s="1"/>
  <c r="AC58" i="11" s="1"/>
  <c r="AA64" i="11"/>
  <c r="AA61" i="11" s="1"/>
  <c r="AA62" i="11"/>
  <c r="AE68" i="1"/>
  <c r="AF61" i="1" s="1"/>
  <c r="AD74" i="1"/>
  <c r="AD76" i="1"/>
  <c r="AD73" i="1" s="1"/>
  <c r="AL56" i="11" l="1"/>
  <c r="AD51" i="11"/>
  <c r="AC62" i="11"/>
  <c r="AB62" i="11"/>
  <c r="AB64" i="11"/>
  <c r="AB61" i="11" s="1"/>
  <c r="AF68" i="1"/>
  <c r="AG61" i="1" s="1"/>
  <c r="AG68" i="1" s="1"/>
  <c r="AE74" i="1"/>
  <c r="AE76" i="1"/>
  <c r="AE73" i="1" s="1"/>
  <c r="AM49" i="11" l="1"/>
  <c r="AC64" i="11"/>
  <c r="AC61" i="11" s="1"/>
  <c r="AD58" i="11"/>
  <c r="AE51" i="11" s="1"/>
  <c r="AH61" i="1"/>
  <c r="AG74" i="1"/>
  <c r="AF74" i="1"/>
  <c r="AF76" i="1"/>
  <c r="AF73" i="1" s="1"/>
  <c r="AM56" i="11" l="1"/>
  <c r="AE58" i="11"/>
  <c r="AD64" i="11"/>
  <c r="AD61" i="11" s="1"/>
  <c r="AD62" i="11"/>
  <c r="AG76" i="1"/>
  <c r="AG73" i="1" s="1"/>
  <c r="AH68" i="1"/>
  <c r="AI61" i="1" s="1"/>
  <c r="AN49" i="11" l="1"/>
  <c r="AI68" i="1"/>
  <c r="AI74" i="1" s="1"/>
  <c r="AE64" i="11"/>
  <c r="AE61" i="11" s="1"/>
  <c r="AE62" i="11"/>
  <c r="AF51" i="11"/>
  <c r="AF58" i="11" s="1"/>
  <c r="AH74" i="1"/>
  <c r="AH76" i="1"/>
  <c r="AJ61" i="1" l="1"/>
  <c r="AJ68" i="1" s="1"/>
  <c r="AJ74" i="1" s="1"/>
  <c r="AN56" i="11"/>
  <c r="AH73" i="1"/>
  <c r="AI76" i="1"/>
  <c r="AG51" i="11"/>
  <c r="AG58" i="11" s="1"/>
  <c r="AF64" i="11"/>
  <c r="AF61" i="11" s="1"/>
  <c r="AF62" i="11"/>
  <c r="AK61" i="1" l="1"/>
  <c r="AK68" i="1" s="1"/>
  <c r="AK74" i="1" s="1"/>
  <c r="AI73" i="1"/>
  <c r="AJ76" i="1"/>
  <c r="AO49" i="11"/>
  <c r="AH51" i="11"/>
  <c r="AG62" i="11"/>
  <c r="AG64" i="11"/>
  <c r="AG61" i="11" s="1"/>
  <c r="AL61" i="1" l="1"/>
  <c r="AJ73" i="1"/>
  <c r="AK76" i="1"/>
  <c r="AL68" i="1"/>
  <c r="AL74" i="1" s="1"/>
  <c r="AO56" i="11"/>
  <c r="AH58" i="11"/>
  <c r="AI51" i="11" s="1"/>
  <c r="AH62" i="11"/>
  <c r="AH64" i="11"/>
  <c r="AM61" i="1" l="1"/>
  <c r="AK73" i="1"/>
  <c r="AL76" i="1"/>
  <c r="AP49" i="11"/>
  <c r="AI58" i="11"/>
  <c r="AJ51" i="11" s="1"/>
  <c r="AI62" i="11"/>
  <c r="AH61" i="11"/>
  <c r="AI64" i="11"/>
  <c r="AL73" i="1" l="1"/>
  <c r="AM68" i="1"/>
  <c r="AM74" i="1" s="1"/>
  <c r="AN61" i="1"/>
  <c r="AP56" i="11"/>
  <c r="AJ58" i="11"/>
  <c r="AK51" i="11"/>
  <c r="AI61" i="11"/>
  <c r="AN68" i="1" l="1"/>
  <c r="AN74" i="1" s="1"/>
  <c r="AM76" i="1"/>
  <c r="AJ62" i="11"/>
  <c r="AJ64" i="11"/>
  <c r="AJ61" i="11" s="1"/>
  <c r="AK58" i="11"/>
  <c r="AL51" i="11" s="1"/>
  <c r="AQ49" i="11"/>
  <c r="AO61" i="1" l="1"/>
  <c r="AO68" i="1" s="1"/>
  <c r="AO74" i="1" s="1"/>
  <c r="AM73" i="1"/>
  <c r="AN76" i="1"/>
  <c r="AL58" i="11"/>
  <c r="AQ56" i="11"/>
  <c r="AK62" i="11"/>
  <c r="AK64" i="11"/>
  <c r="AK61" i="11" s="1"/>
  <c r="AP61" i="1" l="1"/>
  <c r="AN73" i="1"/>
  <c r="AO76" i="1"/>
  <c r="AP68" i="1"/>
  <c r="AP74" i="1" s="1"/>
  <c r="AL64" i="11"/>
  <c r="AL61" i="11" s="1"/>
  <c r="AL62" i="11"/>
  <c r="AR49" i="11"/>
  <c r="AM51" i="11"/>
  <c r="AR56" i="11" l="1"/>
  <c r="AS49" i="11"/>
  <c r="AS56" i="11" s="1"/>
  <c r="AQ61" i="1"/>
  <c r="AQ68" i="1" s="1"/>
  <c r="AQ74" i="1" s="1"/>
  <c r="AO73" i="1"/>
  <c r="AP76" i="1"/>
  <c r="AM58" i="11"/>
  <c r="AR61" i="1" l="1"/>
  <c r="AP73" i="1"/>
  <c r="AQ76" i="1"/>
  <c r="AR68" i="1"/>
  <c r="AR74" i="1" s="1"/>
  <c r="AM64" i="11"/>
  <c r="AM61" i="11" s="1"/>
  <c r="AM62" i="11"/>
  <c r="AN51" i="11"/>
  <c r="AS61" i="1" l="1"/>
  <c r="AS68" i="1" s="1"/>
  <c r="AQ73" i="1"/>
  <c r="AR76" i="1"/>
  <c r="AN58" i="11"/>
  <c r="AT49" i="11"/>
  <c r="AS74" i="1" l="1"/>
  <c r="AT61" i="1"/>
  <c r="AT68" i="1" s="1"/>
  <c r="AT74" i="1" s="1"/>
  <c r="AR73" i="1"/>
  <c r="AS76" i="1"/>
  <c r="AN64" i="11"/>
  <c r="AN61" i="11" s="1"/>
  <c r="AN62" i="11"/>
  <c r="AO51" i="11"/>
  <c r="AT56" i="11"/>
  <c r="AS73" i="1" l="1"/>
  <c r="AT76" i="1"/>
  <c r="AU61" i="1"/>
  <c r="AO58" i="11"/>
  <c r="AU49" i="11"/>
  <c r="AU56" i="11" l="1"/>
  <c r="AV49" i="11" s="1"/>
  <c r="AU68" i="1"/>
  <c r="AU74" i="1" s="1"/>
  <c r="AT73" i="1"/>
  <c r="AO64" i="11"/>
  <c r="AO61" i="11" s="1"/>
  <c r="AO62" i="11"/>
  <c r="AP51" i="11"/>
  <c r="AV56" i="11" l="1"/>
  <c r="AU76" i="1"/>
  <c r="AP58" i="11"/>
  <c r="AW49" i="11" l="1"/>
  <c r="AW56" i="11" s="1"/>
  <c r="AX49" i="11" s="1"/>
  <c r="AX56" i="11" s="1"/>
  <c r="AU73" i="1"/>
  <c r="AP62" i="11"/>
  <c r="AP64" i="11"/>
  <c r="AP61" i="11" s="1"/>
  <c r="AQ51" i="11"/>
  <c r="AY49" i="11" l="1"/>
  <c r="AQ58" i="11"/>
  <c r="AY56" i="11" l="1"/>
  <c r="AZ49" i="11" s="1"/>
  <c r="AQ64" i="11"/>
  <c r="AQ61" i="11" s="1"/>
  <c r="AQ62" i="11"/>
  <c r="AR51" i="11"/>
  <c r="AZ56" i="11" l="1"/>
  <c r="BA49" i="11" s="1"/>
  <c r="AR58" i="11"/>
  <c r="AR62" i="11" s="1"/>
  <c r="BA56" i="11" l="1"/>
  <c r="BB49" i="11" s="1"/>
  <c r="AR64" i="11"/>
  <c r="AR61" i="11" s="1"/>
  <c r="AS51" i="11"/>
  <c r="BB56" i="11" l="1"/>
  <c r="BC49" i="11" s="1"/>
  <c r="AS58" i="11"/>
  <c r="BC56" i="11" l="1"/>
  <c r="BD49" i="11" s="1"/>
  <c r="AS62" i="11"/>
  <c r="AS64" i="11"/>
  <c r="AS61" i="11" s="1"/>
  <c r="AT51" i="11"/>
  <c r="BD56" i="11" l="1"/>
  <c r="BE49" i="11" s="1"/>
  <c r="AT58" i="11"/>
  <c r="BE56" i="11" l="1"/>
  <c r="BF49" i="11"/>
  <c r="AT62" i="11"/>
  <c r="AT64" i="11"/>
  <c r="AU51" i="11"/>
  <c r="BF56" i="11" l="1"/>
  <c r="BG49" i="11"/>
  <c r="AU58" i="11"/>
  <c r="AU64" i="11" s="1"/>
  <c r="AT61" i="11"/>
  <c r="BG56" i="11" l="1"/>
  <c r="AV51" i="11"/>
  <c r="AV58" i="11" s="1"/>
  <c r="AV62" i="11" s="1"/>
  <c r="AU62" i="11"/>
  <c r="AU61" i="11"/>
  <c r="AW51" i="11" l="1"/>
  <c r="AW58" i="11" s="1"/>
  <c r="AV64" i="11"/>
  <c r="AW64" i="11" l="1"/>
  <c r="AW61" i="11" s="1"/>
  <c r="AX51" i="11"/>
  <c r="AX58" i="11" s="1"/>
  <c r="AW62" i="11"/>
  <c r="AV61" i="11"/>
  <c r="AY51" i="11" l="1"/>
  <c r="AY58" i="11" s="1"/>
  <c r="AX62" i="11"/>
  <c r="AX64" i="11"/>
  <c r="AX61" i="11" s="1"/>
  <c r="AZ51" i="11" l="1"/>
  <c r="AZ58" i="11" s="1"/>
  <c r="AY62" i="11"/>
  <c r="AY64" i="11"/>
  <c r="AY61" i="11" s="1"/>
  <c r="BA51" i="11" l="1"/>
  <c r="BA58" i="11" s="1"/>
  <c r="AZ62" i="11"/>
  <c r="AZ64" i="11"/>
  <c r="AZ61" i="11" s="1"/>
  <c r="BB51" i="11" l="1"/>
  <c r="BB58" i="11" s="1"/>
  <c r="BA62" i="11"/>
  <c r="BA64" i="11"/>
  <c r="BA61" i="11" s="1"/>
  <c r="BC51" i="11" l="1"/>
  <c r="BC58" i="11" s="1"/>
  <c r="BB62" i="11"/>
  <c r="BB64" i="11"/>
  <c r="BB61" i="11" s="1"/>
  <c r="BD51" i="11" l="1"/>
  <c r="BD58" i="11" s="1"/>
  <c r="BC62" i="11"/>
  <c r="BC64" i="11"/>
  <c r="BC61" i="11" s="1"/>
  <c r="BE51" i="11" l="1"/>
  <c r="BE58" i="11" s="1"/>
  <c r="BD62" i="11"/>
  <c r="BD64" i="11"/>
  <c r="BD61" i="11" s="1"/>
  <c r="BF51" i="11" l="1"/>
  <c r="BE62" i="11"/>
  <c r="BE64" i="11"/>
  <c r="BE61" i="11" s="1"/>
  <c r="BF58" i="11" l="1"/>
  <c r="BG51" i="11" s="1"/>
  <c r="BF64" i="11" l="1"/>
  <c r="BF62" i="11"/>
  <c r="BG58" i="11"/>
  <c r="BG62" i="11" l="1"/>
  <c r="BF61" i="11"/>
  <c r="BG64" i="11"/>
  <c r="BG61" i="11" l="1"/>
  <c r="V21" i="22" l="1"/>
  <c r="V54" i="22" s="1"/>
  <c r="U21" i="22"/>
  <c r="U54" i="22" s="1"/>
  <c r="T25" i="22" l="1"/>
  <c r="T58" i="22" s="1"/>
  <c r="T24" i="22"/>
  <c r="T57" i="22" s="1"/>
  <c r="T23" i="22"/>
  <c r="T56" i="22" s="1"/>
  <c r="T22" i="22"/>
  <c r="T55" i="22" s="1"/>
  <c r="M25" i="22"/>
  <c r="M24" i="22"/>
  <c r="M23" i="22"/>
  <c r="M22" i="22"/>
  <c r="U23" i="22"/>
  <c r="U56" i="22" s="1"/>
  <c r="U22" i="22"/>
  <c r="U55" i="22" s="1"/>
  <c r="U25" i="22"/>
  <c r="U58" i="22" s="1"/>
  <c r="U24" i="22"/>
  <c r="U57" i="22" s="1"/>
  <c r="N25" i="22"/>
  <c r="N58" i="22" s="1"/>
  <c r="N24" i="22"/>
  <c r="N57" i="22" s="1"/>
  <c r="N22" i="22"/>
  <c r="N55" i="22" s="1"/>
  <c r="N23" i="22"/>
  <c r="N56" i="22" s="1"/>
  <c r="V25" i="22"/>
  <c r="V58" i="22" s="1"/>
  <c r="V24" i="22"/>
  <c r="V57" i="22" s="1"/>
  <c r="V23" i="22"/>
  <c r="V56" i="22" s="1"/>
  <c r="V22" i="22"/>
  <c r="V55" i="22" s="1"/>
  <c r="O24" i="22"/>
  <c r="O57" i="22" s="1"/>
  <c r="O25" i="22"/>
  <c r="O58" i="22" s="1"/>
  <c r="O22" i="22"/>
  <c r="O55" i="22" s="1"/>
  <c r="O23" i="22"/>
  <c r="O56" i="22" s="1"/>
  <c r="W25" i="22"/>
  <c r="W58" i="22" s="1"/>
  <c r="W24" i="22"/>
  <c r="W57" i="22" s="1"/>
  <c r="W23" i="22"/>
  <c r="W56" i="22" s="1"/>
  <c r="W22" i="22"/>
  <c r="W55" i="22" s="1"/>
  <c r="P23" i="22"/>
  <c r="P56" i="22" s="1"/>
  <c r="P25" i="22"/>
  <c r="P58" i="22" s="1"/>
  <c r="P24" i="22"/>
  <c r="P57" i="22" s="1"/>
  <c r="P22" i="22"/>
  <c r="P55" i="22" s="1"/>
  <c r="Q25" i="22"/>
  <c r="Q58" i="22" s="1"/>
  <c r="Q24" i="22"/>
  <c r="Q57" i="22" s="1"/>
  <c r="Q22" i="22"/>
  <c r="Q55" i="22" s="1"/>
  <c r="Q23" i="22"/>
  <c r="Q56" i="22" s="1"/>
  <c r="W21" i="22"/>
  <c r="R25" i="22"/>
  <c r="R58" i="22" s="1"/>
  <c r="R23" i="22"/>
  <c r="R56" i="22" s="1"/>
  <c r="R22" i="22"/>
  <c r="R55" i="22" s="1"/>
  <c r="R24" i="22"/>
  <c r="R57" i="22" s="1"/>
  <c r="S25" i="22"/>
  <c r="S58" i="22" s="1"/>
  <c r="S24" i="22"/>
  <c r="S57" i="22" s="1"/>
  <c r="S22" i="22"/>
  <c r="S55" i="22" s="1"/>
  <c r="S23" i="22"/>
  <c r="S56" i="22" s="1"/>
  <c r="BA21" i="1" l="1"/>
  <c r="BA54" i="1" s="1"/>
  <c r="AW21" i="1"/>
  <c r="AW54" i="1" s="1"/>
  <c r="BB21" i="1"/>
  <c r="BB54" i="1" s="1"/>
  <c r="AZ25" i="1"/>
  <c r="AZ58" i="1" s="1"/>
  <c r="AY23" i="1"/>
  <c r="AY56" i="1" s="1"/>
  <c r="BB22" i="1"/>
  <c r="BB55" i="1" s="1"/>
  <c r="BB25" i="1"/>
  <c r="BB58" i="1" s="1"/>
  <c r="BB23" i="1"/>
  <c r="BB56" i="1" s="1"/>
  <c r="BB24" i="1"/>
  <c r="BB57" i="1" s="1"/>
  <c r="BC23" i="1"/>
  <c r="BC56" i="1" s="1"/>
  <c r="BC22" i="1"/>
  <c r="BC55" i="1" s="1"/>
  <c r="BC25" i="1"/>
  <c r="BC58" i="1" s="1"/>
  <c r="BC24" i="1"/>
  <c r="BC57" i="1" s="1"/>
  <c r="BD23" i="1"/>
  <c r="BD56" i="1" s="1"/>
  <c r="BD24" i="1"/>
  <c r="BD57" i="1" s="1"/>
  <c r="BD22" i="1"/>
  <c r="BD55" i="1" s="1"/>
  <c r="BD25" i="1"/>
  <c r="BD58" i="1" s="1"/>
  <c r="BE25" i="1"/>
  <c r="BE58" i="1" s="1"/>
  <c r="BE22" i="1"/>
  <c r="BE55" i="1" s="1"/>
  <c r="BE23" i="1"/>
  <c r="BE56" i="1" s="1"/>
  <c r="BE24" i="1"/>
  <c r="BE57" i="1" s="1"/>
  <c r="AX21" i="1"/>
  <c r="AX54" i="1" s="1"/>
  <c r="BF21" i="1"/>
  <c r="BF54" i="1" s="1"/>
  <c r="AY21" i="1"/>
  <c r="AY54" i="1" s="1"/>
  <c r="AX23" i="1"/>
  <c r="AX56" i="1" s="1"/>
  <c r="AX22" i="1"/>
  <c r="AX55" i="1" s="1"/>
  <c r="AX24" i="1"/>
  <c r="AX57" i="1" s="1"/>
  <c r="AX25" i="1"/>
  <c r="AX58" i="1" s="1"/>
  <c r="BF24" i="1"/>
  <c r="BF57" i="1" s="1"/>
  <c r="BF23" i="1"/>
  <c r="BF56" i="1" s="1"/>
  <c r="BF25" i="1"/>
  <c r="BF58" i="1" s="1"/>
  <c r="BF22" i="1"/>
  <c r="BF55" i="1" s="1"/>
  <c r="R21" i="22"/>
  <c r="R54" i="22" s="1"/>
  <c r="O21" i="22"/>
  <c r="O54" i="22" s="1"/>
  <c r="T21" i="22"/>
  <c r="T54" i="22" s="1"/>
  <c r="S21" i="22"/>
  <c r="S54" i="22" s="1"/>
  <c r="Q21" i="22"/>
  <c r="Q54" i="22" s="1"/>
  <c r="M21" i="22"/>
  <c r="W54" i="22"/>
  <c r="M55" i="22"/>
  <c r="M62" i="22" s="1"/>
  <c r="M69" i="22" s="1"/>
  <c r="P21" i="22"/>
  <c r="P54" i="22" s="1"/>
  <c r="M56" i="22"/>
  <c r="M63" i="22" s="1"/>
  <c r="M70" i="22" s="1"/>
  <c r="M57" i="22"/>
  <c r="M64" i="22" s="1"/>
  <c r="N21" i="22"/>
  <c r="N54" i="22" s="1"/>
  <c r="M58" i="22"/>
  <c r="M65" i="22" s="1"/>
  <c r="AZ24" i="1" l="1"/>
  <c r="AZ57" i="1" s="1"/>
  <c r="AZ21" i="1"/>
  <c r="AZ54" i="1" s="1"/>
  <c r="AZ22" i="1"/>
  <c r="AZ55" i="1" s="1"/>
  <c r="AZ23" i="1"/>
  <c r="AZ56" i="1" s="1"/>
  <c r="AW23" i="1"/>
  <c r="AW56" i="1" s="1"/>
  <c r="AW24" i="1"/>
  <c r="AW57" i="1" s="1"/>
  <c r="AW22" i="1"/>
  <c r="AW55" i="1" s="1"/>
  <c r="AW25" i="1"/>
  <c r="AW58" i="1" s="1"/>
  <c r="BC21" i="1"/>
  <c r="BC54" i="1" s="1"/>
  <c r="BA25" i="1"/>
  <c r="BA58" i="1" s="1"/>
  <c r="BA24" i="1"/>
  <c r="BA57" i="1" s="1"/>
  <c r="BA22" i="1"/>
  <c r="BA55" i="1" s="1"/>
  <c r="BA23" i="1"/>
  <c r="BA56" i="1" s="1"/>
  <c r="AY24" i="1"/>
  <c r="AY57" i="1" s="1"/>
  <c r="AY22" i="1"/>
  <c r="AY55" i="1" s="1"/>
  <c r="BE21" i="1"/>
  <c r="BE54" i="1" s="1"/>
  <c r="AY25" i="1"/>
  <c r="AY58" i="1" s="1"/>
  <c r="BD21" i="1"/>
  <c r="BD54" i="1" s="1"/>
  <c r="M71" i="22"/>
  <c r="N64" i="22" s="1"/>
  <c r="N71" i="22" s="1"/>
  <c r="O64" i="22" s="1"/>
  <c r="M54" i="22"/>
  <c r="M61" i="22" s="1"/>
  <c r="N62" i="22"/>
  <c r="N63" i="22"/>
  <c r="M72" i="22"/>
  <c r="N65" i="22" s="1"/>
  <c r="N69" i="22" l="1"/>
  <c r="O62" i="22" s="1"/>
  <c r="O69" i="22" s="1"/>
  <c r="P62" i="22" s="1"/>
  <c r="P69" i="22" s="1"/>
  <c r="Q62" i="22" s="1"/>
  <c r="Q69" i="22" s="1"/>
  <c r="R62" i="22" s="1"/>
  <c r="R69" i="22" s="1"/>
  <c r="S62" i="22" s="1"/>
  <c r="S69" i="22" s="1"/>
  <c r="T62" i="22" s="1"/>
  <c r="T69" i="22" s="1"/>
  <c r="U62" i="22" s="1"/>
  <c r="U69" i="22" s="1"/>
  <c r="V62" i="22" s="1"/>
  <c r="V69" i="22" s="1"/>
  <c r="W62" i="22" s="1"/>
  <c r="O71" i="22"/>
  <c r="P64" i="22" s="1"/>
  <c r="P71" i="22" s="1"/>
  <c r="N70" i="22"/>
  <c r="O63" i="22" s="1"/>
  <c r="O70" i="22" s="1"/>
  <c r="P63" i="22" s="1"/>
  <c r="P70" i="22" s="1"/>
  <c r="Q63" i="22" s="1"/>
  <c r="Q70" i="22" s="1"/>
  <c r="R63" i="22" s="1"/>
  <c r="R70" i="22" s="1"/>
  <c r="S63" i="22" s="1"/>
  <c r="S70" i="22" s="1"/>
  <c r="T63" i="22" s="1"/>
  <c r="T70" i="22" s="1"/>
  <c r="U63" i="22" s="1"/>
  <c r="U70" i="22" s="1"/>
  <c r="V63" i="22" s="1"/>
  <c r="V70" i="22" s="1"/>
  <c r="W63" i="22" s="1"/>
  <c r="M68" i="22"/>
  <c r="N72" i="22"/>
  <c r="O65" i="22" s="1"/>
  <c r="N61" i="22" l="1"/>
  <c r="N68" i="22" s="1"/>
  <c r="N74" i="22" s="1"/>
  <c r="M74" i="22"/>
  <c r="W70" i="22"/>
  <c r="X63" i="22" s="1"/>
  <c r="W69" i="22"/>
  <c r="Q64" i="22"/>
  <c r="Q71" i="22" s="1"/>
  <c r="R64" i="22" s="1"/>
  <c r="R71" i="22" s="1"/>
  <c r="S64" i="22" s="1"/>
  <c r="S71" i="22" s="1"/>
  <c r="T64" i="22" s="1"/>
  <c r="T71" i="22" s="1"/>
  <c r="U64" i="22" s="1"/>
  <c r="U71" i="22" s="1"/>
  <c r="V64" i="22" s="1"/>
  <c r="V71" i="22" s="1"/>
  <c r="W64" i="22" s="1"/>
  <c r="O72" i="22"/>
  <c r="P65" i="22" s="1"/>
  <c r="M76" i="22"/>
  <c r="M73" i="22" s="1"/>
  <c r="X70" i="22" l="1"/>
  <c r="W71" i="22"/>
  <c r="X64" i="22" s="1"/>
  <c r="X62" i="22"/>
  <c r="N76" i="22"/>
  <c r="N73" i="22" s="1"/>
  <c r="P72" i="22"/>
  <c r="Q65" i="22" s="1"/>
  <c r="O61" i="22"/>
  <c r="X69" i="22" l="1"/>
  <c r="X71" i="22"/>
  <c r="O68" i="22"/>
  <c r="P61" i="22" s="1"/>
  <c r="Q72" i="22"/>
  <c r="R65" i="22" s="1"/>
  <c r="P68" i="22" l="1"/>
  <c r="R72" i="22"/>
  <c r="S65" i="22" s="1"/>
  <c r="O74" i="22"/>
  <c r="O76" i="22"/>
  <c r="O73" i="22" s="1"/>
  <c r="S72" i="22" l="1"/>
  <c r="T65" i="22" s="1"/>
  <c r="P74" i="22"/>
  <c r="P76" i="22"/>
  <c r="P73" i="22" s="1"/>
  <c r="Q61" i="22"/>
  <c r="T72" i="22" l="1"/>
  <c r="U65" i="22" s="1"/>
  <c r="Q68" i="22"/>
  <c r="R61" i="22" s="1"/>
  <c r="R68" i="22" s="1"/>
  <c r="S61" i="22" l="1"/>
  <c r="R74" i="22"/>
  <c r="Q74" i="22"/>
  <c r="Q76" i="22"/>
  <c r="Q73" i="22" s="1"/>
  <c r="U72" i="22"/>
  <c r="V65" i="22" s="1"/>
  <c r="R76" i="22" l="1"/>
  <c r="R73" i="22" s="1"/>
  <c r="V72" i="22"/>
  <c r="W65" i="22" s="1"/>
  <c r="S68" i="22"/>
  <c r="T61" i="22" s="1"/>
  <c r="W72" i="22" l="1"/>
  <c r="X65" i="22" s="1"/>
  <c r="T68" i="22"/>
  <c r="S74" i="22"/>
  <c r="S76" i="22"/>
  <c r="S73" i="22" s="1"/>
  <c r="X72" i="22" l="1"/>
  <c r="T74" i="22"/>
  <c r="T76" i="22"/>
  <c r="T73" i="22" s="1"/>
  <c r="U61" i="22"/>
  <c r="U68" i="22" l="1"/>
  <c r="V61" i="22" s="1"/>
  <c r="V68" i="22" s="1"/>
  <c r="AV22" i="1" l="1"/>
  <c r="AV24" i="1"/>
  <c r="AV23" i="1"/>
  <c r="AV25" i="1"/>
  <c r="AV21" i="1"/>
  <c r="W61" i="22"/>
  <c r="V74" i="22"/>
  <c r="U74" i="22"/>
  <c r="U76" i="22"/>
  <c r="U73" i="22" s="1"/>
  <c r="W68" i="22" l="1"/>
  <c r="W74" i="22" s="1"/>
  <c r="AV56" i="1"/>
  <c r="AV63" i="1" s="1"/>
  <c r="AV70" i="1" s="1"/>
  <c r="AV54" i="1"/>
  <c r="AV61" i="1" s="1"/>
  <c r="AV58" i="1"/>
  <c r="AV65" i="1" s="1"/>
  <c r="AV72" i="1" s="1"/>
  <c r="AV57" i="1"/>
  <c r="AV64" i="1" s="1"/>
  <c r="AV71" i="1" s="1"/>
  <c r="AV55" i="1"/>
  <c r="AV62" i="1" s="1"/>
  <c r="AV69" i="1" s="1"/>
  <c r="V76" i="22"/>
  <c r="V73" i="22" s="1"/>
  <c r="X61" i="22" l="1"/>
  <c r="X68" i="22" s="1"/>
  <c r="AV68" i="1"/>
  <c r="AW61" i="1" s="1"/>
  <c r="AW64" i="1"/>
  <c r="AW71" i="1" s="1"/>
  <c r="AX64" i="1" s="1"/>
  <c r="AX71" i="1" s="1"/>
  <c r="AY64" i="1" s="1"/>
  <c r="AY71" i="1" s="1"/>
  <c r="AZ64" i="1" s="1"/>
  <c r="AZ71" i="1" s="1"/>
  <c r="BA64" i="1" s="1"/>
  <c r="BA71" i="1" s="1"/>
  <c r="BB64" i="1" s="1"/>
  <c r="BB71" i="1" s="1"/>
  <c r="BC64" i="1" s="1"/>
  <c r="BC71" i="1" s="1"/>
  <c r="BD64" i="1" s="1"/>
  <c r="BD71" i="1" s="1"/>
  <c r="BE64" i="1" s="1"/>
  <c r="BE71" i="1" s="1"/>
  <c r="BF64" i="1" s="1"/>
  <c r="AW65" i="1"/>
  <c r="AW72" i="1" s="1"/>
  <c r="AX65" i="1" s="1"/>
  <c r="AX72" i="1" s="1"/>
  <c r="AY65" i="1" s="1"/>
  <c r="AY72" i="1" s="1"/>
  <c r="AZ65" i="1" s="1"/>
  <c r="AZ72" i="1" s="1"/>
  <c r="BA65" i="1" s="1"/>
  <c r="BA72" i="1" s="1"/>
  <c r="BB65" i="1" s="1"/>
  <c r="BB72" i="1" s="1"/>
  <c r="BC65" i="1" s="1"/>
  <c r="BC72" i="1" s="1"/>
  <c r="BD65" i="1" s="1"/>
  <c r="BD72" i="1" s="1"/>
  <c r="BE65" i="1" s="1"/>
  <c r="BE72" i="1" s="1"/>
  <c r="BF65" i="1" s="1"/>
  <c r="AW62" i="1"/>
  <c r="AW63" i="1"/>
  <c r="AW70" i="1" s="1"/>
  <c r="AX63" i="1" s="1"/>
  <c r="AX70" i="1" s="1"/>
  <c r="AY63" i="1" s="1"/>
  <c r="AY70" i="1" s="1"/>
  <c r="AZ63" i="1" s="1"/>
  <c r="AZ70" i="1" s="1"/>
  <c r="BA63" i="1" s="1"/>
  <c r="BA70" i="1" s="1"/>
  <c r="BB63" i="1" s="1"/>
  <c r="BB70" i="1" s="1"/>
  <c r="BC63" i="1" s="1"/>
  <c r="BC70" i="1" s="1"/>
  <c r="BD63" i="1" s="1"/>
  <c r="BD70" i="1" s="1"/>
  <c r="BE63" i="1" s="1"/>
  <c r="BE70" i="1" s="1"/>
  <c r="BF63" i="1" s="1"/>
  <c r="W76" i="22"/>
  <c r="X74" i="22" l="1"/>
  <c r="X76" i="22"/>
  <c r="X73" i="22" s="1"/>
  <c r="W73" i="22"/>
  <c r="BF71" i="1"/>
  <c r="BG64" i="1" s="1"/>
  <c r="BF72" i="1"/>
  <c r="BF70" i="1"/>
  <c r="BG63" i="1" s="1"/>
  <c r="AW68" i="1"/>
  <c r="AW69" i="1"/>
  <c r="AX62" i="1" s="1"/>
  <c r="AX69" i="1" s="1"/>
  <c r="AY62" i="1" s="1"/>
  <c r="AV74" i="1"/>
  <c r="AV76" i="1"/>
  <c r="AV73" i="1" s="1"/>
  <c r="BG71" i="1" l="1"/>
  <c r="BG70" i="1"/>
  <c r="BG65" i="1"/>
  <c r="AW74" i="1"/>
  <c r="AW76" i="1"/>
  <c r="AW73" i="1" s="1"/>
  <c r="AX61" i="1"/>
  <c r="AY69" i="1"/>
  <c r="AZ62" i="1" s="1"/>
  <c r="BG72" i="1" l="1"/>
  <c r="AZ69" i="1"/>
  <c r="BA62" i="1" s="1"/>
  <c r="AX68" i="1"/>
  <c r="AY61" i="1" s="1"/>
  <c r="AX74" i="1" l="1"/>
  <c r="AX76" i="1"/>
  <c r="AX73" i="1" s="1"/>
  <c r="AY68" i="1"/>
  <c r="AZ61" i="1" s="1"/>
  <c r="BA69" i="1"/>
  <c r="BB62" i="1" s="1"/>
  <c r="AZ68" i="1" l="1"/>
  <c r="BA61" i="1" s="1"/>
  <c r="AY74" i="1"/>
  <c r="AY76" i="1"/>
  <c r="AY73" i="1" s="1"/>
  <c r="BB69" i="1"/>
  <c r="BC62" i="1" s="1"/>
  <c r="BC69" i="1" l="1"/>
  <c r="BD62" i="1" s="1"/>
  <c r="BD69" i="1" s="1"/>
  <c r="BE62" i="1" s="1"/>
  <c r="BE69" i="1" s="1"/>
  <c r="BF62" i="1" s="1"/>
  <c r="BA68" i="1"/>
  <c r="BB61" i="1" s="1"/>
  <c r="AZ74" i="1"/>
  <c r="AZ76" i="1"/>
  <c r="AZ73" i="1" s="1"/>
  <c r="BF69" i="1" l="1"/>
  <c r="BG62" i="1" s="1"/>
  <c r="BB68" i="1"/>
  <c r="BC61" i="1" s="1"/>
  <c r="BA74" i="1"/>
  <c r="BA76" i="1"/>
  <c r="BA73" i="1" s="1"/>
  <c r="BG69" i="1" l="1"/>
  <c r="BC68" i="1"/>
  <c r="BD61" i="1" s="1"/>
  <c r="BB74" i="1"/>
  <c r="BB76" i="1"/>
  <c r="BB73" i="1" s="1"/>
  <c r="BD68" i="1" l="1"/>
  <c r="BE61" i="1" s="1"/>
  <c r="BC74" i="1"/>
  <c r="BC76" i="1"/>
  <c r="BC73" i="1" s="1"/>
  <c r="BE68" i="1" l="1"/>
  <c r="BF61" i="1" s="1"/>
  <c r="BD74" i="1"/>
  <c r="BD76" i="1"/>
  <c r="BD73" i="1" s="1"/>
  <c r="BF68" i="1" l="1"/>
  <c r="BG61" i="1" s="1"/>
  <c r="BE74" i="1"/>
  <c r="BE76" i="1"/>
  <c r="BE73" i="1" s="1"/>
  <c r="BG68" i="1" l="1"/>
  <c r="BG74" i="1" s="1"/>
  <c r="BF74" i="1"/>
  <c r="BF76" i="1"/>
  <c r="BF73" i="1" l="1"/>
  <c r="BG76" i="1"/>
  <c r="BG73" i="1" l="1"/>
  <c r="F47" i="16" l="1"/>
  <c r="G42" i="16" s="1"/>
  <c r="G44" i="16" l="1"/>
  <c r="H44" i="16" s="1"/>
  <c r="C50" i="16" s="1"/>
  <c r="E18" i="23" s="1"/>
  <c r="E6" i="23" s="1"/>
  <c r="R6" i="23" s="1"/>
  <c r="F17" i="13" s="1"/>
  <c r="G46" i="16"/>
  <c r="H46" i="16" s="1"/>
  <c r="C52" i="16" s="1"/>
  <c r="E20" i="23" s="1"/>
  <c r="E8" i="23" s="1"/>
  <c r="L8" i="23" s="1"/>
  <c r="G43" i="16"/>
  <c r="H43" i="16" s="1"/>
  <c r="C49" i="16" s="1"/>
  <c r="E17" i="23" s="1"/>
  <c r="E5" i="23" s="1"/>
  <c r="R5" i="23" s="1"/>
  <c r="F16" i="13" s="1"/>
  <c r="H42" i="16"/>
  <c r="G45" i="16"/>
  <c r="H45" i="16" s="1"/>
  <c r="C51" i="16" s="1"/>
  <c r="E19" i="23" s="1"/>
  <c r="E7" i="23" s="1"/>
  <c r="R7" i="23" s="1"/>
  <c r="R8" i="23" l="1"/>
  <c r="F19" i="13" s="1"/>
  <c r="L5" i="23"/>
  <c r="L6" i="23"/>
  <c r="G47" i="16"/>
  <c r="C48" i="16"/>
  <c r="H47" i="16"/>
  <c r="F18" i="13"/>
  <c r="L7" i="23"/>
  <c r="E16" i="23" l="1"/>
  <c r="E4" i="23" s="1"/>
  <c r="C53" i="16"/>
  <c r="G21" i="23" l="1"/>
  <c r="C54" i="16"/>
  <c r="L4" i="23"/>
  <c r="R4" i="23"/>
  <c r="F15" i="13" s="1"/>
  <c r="K31" i="23" l="1"/>
  <c r="L31" i="23" s="1"/>
  <c r="G29" i="4" l="1"/>
  <c r="G30" i="4"/>
  <c r="G31" i="4"/>
  <c r="G27" i="4"/>
  <c r="G28" i="4"/>
  <c r="H28" i="4" l="1"/>
  <c r="H31" i="4"/>
  <c r="H27" i="4"/>
  <c r="H30" i="4"/>
  <c r="H29" i="4"/>
  <c r="I27" i="4"/>
  <c r="I31" i="4"/>
  <c r="I29" i="4"/>
  <c r="I30" i="4"/>
  <c r="I28" i="4"/>
  <c r="J29" i="4"/>
  <c r="J31" i="4"/>
  <c r="J27" i="4"/>
  <c r="J28" i="4"/>
  <c r="J30" i="4"/>
  <c r="D8" i="4" l="1"/>
  <c r="C19" i="23" s="1"/>
  <c r="D7" i="4"/>
  <c r="C18" i="23" s="1"/>
  <c r="D5" i="4"/>
  <c r="D9" i="4"/>
  <c r="C20" i="23" s="1"/>
  <c r="D6" i="4"/>
  <c r="C17" i="23" s="1"/>
  <c r="D10" i="4" l="1"/>
  <c r="D11" i="4" s="1"/>
  <c r="C16" i="23"/>
  <c r="P24" i="24" l="1"/>
  <c r="Z37" i="22"/>
  <c r="Z23" i="22"/>
  <c r="Y49" i="22"/>
  <c r="Y35" i="22" s="1"/>
  <c r="C4" i="22"/>
  <c r="Y21" i="22"/>
  <c r="Q25" i="24"/>
  <c r="AA38" i="22"/>
  <c r="AA24" i="22"/>
  <c r="P36" i="24"/>
  <c r="P22" i="24" s="1"/>
  <c r="AM36" i="20"/>
  <c r="AM22" i="20" s="1"/>
  <c r="AM44" i="20" s="1"/>
  <c r="Y36" i="21"/>
  <c r="BI49" i="1"/>
  <c r="BI35" i="1" s="1"/>
  <c r="BI36" i="11"/>
  <c r="BI21" i="1"/>
  <c r="BI39" i="1"/>
  <c r="AM26" i="20"/>
  <c r="Y26" i="21"/>
  <c r="BI26" i="11"/>
  <c r="BI25" i="1"/>
  <c r="Q36" i="24"/>
  <c r="Q22" i="24" s="1"/>
  <c r="AN36" i="20"/>
  <c r="AN22" i="20" s="1"/>
  <c r="Z36" i="21"/>
  <c r="BJ36" i="11"/>
  <c r="BJ49" i="1"/>
  <c r="BJ35" i="1" s="1"/>
  <c r="BJ21" i="1"/>
  <c r="Y37" i="22"/>
  <c r="O24" i="24"/>
  <c r="C6" i="22"/>
  <c r="Y23" i="22"/>
  <c r="Q24" i="24"/>
  <c r="AA37" i="22"/>
  <c r="AA23" i="22"/>
  <c r="BI38" i="1"/>
  <c r="AM25" i="20"/>
  <c r="Y25" i="21"/>
  <c r="BI25" i="11"/>
  <c r="BI24" i="1"/>
  <c r="O25" i="24"/>
  <c r="Y38" i="22"/>
  <c r="C7" i="22"/>
  <c r="Y24" i="22"/>
  <c r="P23" i="24"/>
  <c r="Z36" i="22"/>
  <c r="Z22" i="22"/>
  <c r="D4" i="1"/>
  <c r="AL36" i="20"/>
  <c r="AL22" i="20" s="1"/>
  <c r="O36" i="24"/>
  <c r="O22" i="24" s="1"/>
  <c r="X36" i="21"/>
  <c r="BH49" i="1"/>
  <c r="BH35" i="1" s="1"/>
  <c r="BH36" i="11"/>
  <c r="BH21" i="1"/>
  <c r="BJ38" i="1"/>
  <c r="AN25" i="20"/>
  <c r="Z25" i="21"/>
  <c r="BJ25" i="11"/>
  <c r="BJ24" i="1"/>
  <c r="O26" i="24"/>
  <c r="C8" i="22"/>
  <c r="Y39" i="22"/>
  <c r="Y25" i="22"/>
  <c r="Q23" i="24"/>
  <c r="AA36" i="22"/>
  <c r="AA22" i="22"/>
  <c r="BH36" i="1"/>
  <c r="X23" i="21"/>
  <c r="AL23" i="20"/>
  <c r="D5" i="1"/>
  <c r="BH23" i="11"/>
  <c r="BH22" i="1"/>
  <c r="BI37" i="1"/>
  <c r="AM24" i="20"/>
  <c r="Y24" i="21"/>
  <c r="BI24" i="11"/>
  <c r="BI23" i="1"/>
  <c r="Z49" i="22"/>
  <c r="Z35" i="22" s="1"/>
  <c r="Z21" i="22"/>
  <c r="P26" i="24"/>
  <c r="Z39" i="22"/>
  <c r="Z25" i="22"/>
  <c r="BH37" i="1"/>
  <c r="AL24" i="20"/>
  <c r="X24" i="21"/>
  <c r="D6" i="1"/>
  <c r="BH24" i="11"/>
  <c r="BH23" i="1"/>
  <c r="BJ37" i="1"/>
  <c r="AN24" i="20"/>
  <c r="Z24" i="21"/>
  <c r="BJ24" i="11"/>
  <c r="BJ23" i="1"/>
  <c r="BJ39" i="1"/>
  <c r="AN26" i="20"/>
  <c r="Z26" i="21"/>
  <c r="BJ26" i="11"/>
  <c r="BJ25" i="1"/>
  <c r="AA49" i="22"/>
  <c r="AA35" i="22" s="1"/>
  <c r="AA21" i="22"/>
  <c r="Q26" i="24"/>
  <c r="AA39" i="22"/>
  <c r="AA25" i="22"/>
  <c r="BH38" i="1"/>
  <c r="AL25" i="20"/>
  <c r="X25" i="21"/>
  <c r="BH25" i="11"/>
  <c r="D7" i="1"/>
  <c r="BH24" i="1"/>
  <c r="BI36" i="1"/>
  <c r="AM23" i="20"/>
  <c r="Y23" i="21"/>
  <c r="BI23" i="11"/>
  <c r="BI22" i="1"/>
  <c r="Y36" i="22"/>
  <c r="O23" i="24"/>
  <c r="C5" i="22"/>
  <c r="Y22" i="22"/>
  <c r="P25" i="24"/>
  <c r="Z38" i="22"/>
  <c r="Z24" i="22"/>
  <c r="BH39" i="1"/>
  <c r="AL26" i="20"/>
  <c r="X26" i="21"/>
  <c r="BH26" i="11"/>
  <c r="D8" i="1"/>
  <c r="BH25" i="1"/>
  <c r="BJ36" i="1"/>
  <c r="AN23" i="20"/>
  <c r="Z23" i="21"/>
  <c r="BJ23" i="11"/>
  <c r="BJ22" i="1"/>
  <c r="BJ22" i="11" l="1"/>
  <c r="BH30" i="11"/>
  <c r="BI22" i="11"/>
  <c r="X33" i="21"/>
  <c r="BJ31" i="11"/>
  <c r="BH22" i="11"/>
  <c r="Y22" i="21"/>
  <c r="BH33" i="11"/>
  <c r="Z31" i="21"/>
  <c r="Y31" i="21"/>
  <c r="X22" i="21"/>
  <c r="Y33" i="21"/>
  <c r="BJ33" i="11"/>
  <c r="BJ32" i="11"/>
  <c r="Y30" i="21"/>
  <c r="Z33" i="21"/>
  <c r="Z32" i="21"/>
  <c r="BJ30" i="11"/>
  <c r="BH32" i="11"/>
  <c r="Z30" i="21"/>
  <c r="X32" i="21"/>
  <c r="BH31" i="11"/>
  <c r="Z22" i="21"/>
  <c r="BI44" i="1"/>
  <c r="BI56" i="1" s="1"/>
  <c r="AA43" i="22"/>
  <c r="AA55" i="22" s="1"/>
  <c r="Q32" i="24"/>
  <c r="Q44" i="24" s="1"/>
  <c r="BI33" i="11"/>
  <c r="Z42" i="22"/>
  <c r="Z54" i="22" s="1"/>
  <c r="X31" i="21"/>
  <c r="Y43" i="22"/>
  <c r="Y55" i="22" s="1"/>
  <c r="Y62" i="22" s="1"/>
  <c r="BI31" i="11"/>
  <c r="BI32" i="11"/>
  <c r="P32" i="24"/>
  <c r="P44" i="24" s="1"/>
  <c r="BJ46" i="1"/>
  <c r="BJ58" i="1" s="1"/>
  <c r="BH46" i="1"/>
  <c r="BH58" i="1" s="1"/>
  <c r="BH65" i="1" s="1"/>
  <c r="BI30" i="11"/>
  <c r="Y32" i="21"/>
  <c r="O29" i="24"/>
  <c r="E8" i="1"/>
  <c r="D5" i="22"/>
  <c r="BI43" i="1"/>
  <c r="BI55" i="1" s="1"/>
  <c r="AA46" i="22"/>
  <c r="AA58" i="22" s="1"/>
  <c r="E5" i="1"/>
  <c r="Q30" i="24"/>
  <c r="Q42" i="24" s="1"/>
  <c r="D4" i="22"/>
  <c r="BI42" i="1"/>
  <c r="BI54" i="1" s="1"/>
  <c r="E7" i="1"/>
  <c r="Q33" i="24"/>
  <c r="Q45" i="24" s="1"/>
  <c r="D8" i="22"/>
  <c r="BJ45" i="1"/>
  <c r="BJ57" i="1" s="1"/>
  <c r="Y45" i="22"/>
  <c r="AA44" i="22"/>
  <c r="AA56" i="22" s="1"/>
  <c r="BJ42" i="1"/>
  <c r="BJ54" i="1" s="1"/>
  <c r="D7" i="22"/>
  <c r="O30" i="24"/>
  <c r="P29" i="24"/>
  <c r="Y46" i="22"/>
  <c r="E4" i="1"/>
  <c r="AL63" i="20"/>
  <c r="O32" i="24"/>
  <c r="Q31" i="24"/>
  <c r="Q43" i="24" s="1"/>
  <c r="C9" i="22"/>
  <c r="E6" i="1"/>
  <c r="AA42" i="22"/>
  <c r="AA54" i="22" s="1"/>
  <c r="D9" i="1"/>
  <c r="D6" i="22"/>
  <c r="BI46" i="1"/>
  <c r="BI58" i="1" s="1"/>
  <c r="Y42" i="22"/>
  <c r="Q29" i="24"/>
  <c r="BH44" i="1"/>
  <c r="BH56" i="1" s="1"/>
  <c r="BH63" i="1" s="1"/>
  <c r="BH70" i="1" s="1"/>
  <c r="X30" i="21"/>
  <c r="O33" i="24"/>
  <c r="P33" i="24"/>
  <c r="P45" i="24" s="1"/>
  <c r="BH43" i="1"/>
  <c r="BH55" i="1" s="1"/>
  <c r="BH62" i="1" s="1"/>
  <c r="BH42" i="1"/>
  <c r="BH54" i="1" s="1"/>
  <c r="BH61" i="1" s="1"/>
  <c r="Z43" i="22"/>
  <c r="O31" i="24"/>
  <c r="Z44" i="22"/>
  <c r="Z56" i="22" s="1"/>
  <c r="BI45" i="1"/>
  <c r="BI57" i="1" s="1"/>
  <c r="BJ43" i="1"/>
  <c r="BJ55" i="1" s="1"/>
  <c r="Z45" i="22"/>
  <c r="Z57" i="22" s="1"/>
  <c r="BH45" i="1"/>
  <c r="BH57" i="1" s="1"/>
  <c r="BH64" i="1" s="1"/>
  <c r="BH71" i="1" s="1"/>
  <c r="BJ44" i="1"/>
  <c r="BJ56" i="1" s="1"/>
  <c r="Z46" i="22"/>
  <c r="Z58" i="22" s="1"/>
  <c r="P30" i="24"/>
  <c r="P42" i="24" s="1"/>
  <c r="Y44" i="22"/>
  <c r="AA45" i="22"/>
  <c r="AA57" i="22" s="1"/>
  <c r="P31" i="24"/>
  <c r="P43" i="24" s="1"/>
  <c r="B8" i="21" l="1"/>
  <c r="Y51" i="22"/>
  <c r="BH51" i="1"/>
  <c r="BJ29" i="11"/>
  <c r="C7" i="11"/>
  <c r="C6" i="11"/>
  <c r="C5" i="11"/>
  <c r="B7" i="21"/>
  <c r="C8" i="11"/>
  <c r="BH29" i="11"/>
  <c r="P41" i="24"/>
  <c r="X29" i="21"/>
  <c r="BI29" i="11"/>
  <c r="Q41" i="24"/>
  <c r="B6" i="21"/>
  <c r="Z29" i="21"/>
  <c r="Y29" i="21"/>
  <c r="B5" i="22"/>
  <c r="E5" i="22" s="1"/>
  <c r="C7" i="1"/>
  <c r="F7" i="1" s="1"/>
  <c r="B4" i="22"/>
  <c r="E4" i="22" s="1"/>
  <c r="BH69" i="1"/>
  <c r="BI62" i="1" s="1"/>
  <c r="BI69" i="1" s="1"/>
  <c r="BJ62" i="1" s="1"/>
  <c r="BJ69" i="1" s="1"/>
  <c r="G5" i="1" s="1"/>
  <c r="BH68" i="1"/>
  <c r="O43" i="24"/>
  <c r="O50" i="24" s="1"/>
  <c r="O57" i="24" s="1"/>
  <c r="P50" i="24" s="1"/>
  <c r="P57" i="24" s="1"/>
  <c r="Q50" i="24" s="1"/>
  <c r="Q57" i="24" s="1"/>
  <c r="F6" i="24" s="1"/>
  <c r="C6" i="24"/>
  <c r="E6" i="24" s="1"/>
  <c r="B8" i="22"/>
  <c r="E8" i="22" s="1"/>
  <c r="B7" i="22"/>
  <c r="E7" i="22" s="1"/>
  <c r="Z55" i="22"/>
  <c r="BI63" i="1"/>
  <c r="BI70" i="1" s="1"/>
  <c r="BJ63" i="1" s="1"/>
  <c r="BJ70" i="1" s="1"/>
  <c r="Y69" i="22"/>
  <c r="BI64" i="1"/>
  <c r="BI71" i="1" s="1"/>
  <c r="BJ64" i="1" s="1"/>
  <c r="BJ71" i="1" s="1"/>
  <c r="B6" i="22"/>
  <c r="E6" i="22" s="1"/>
  <c r="C8" i="24"/>
  <c r="E8" i="24" s="1"/>
  <c r="O45" i="24"/>
  <c r="O52" i="24" s="1"/>
  <c r="O59" i="24" s="1"/>
  <c r="P52" i="24" s="1"/>
  <c r="P59" i="24" s="1"/>
  <c r="Q52" i="24" s="1"/>
  <c r="Q59" i="24" s="1"/>
  <c r="F8" i="24" s="1"/>
  <c r="C8" i="1"/>
  <c r="F8" i="1" s="1"/>
  <c r="B5" i="21"/>
  <c r="Y56" i="22"/>
  <c r="Y63" i="22" s="1"/>
  <c r="Y57" i="22"/>
  <c r="Y64" i="22" s="1"/>
  <c r="Y58" i="22"/>
  <c r="Y65" i="22" s="1"/>
  <c r="Y72" i="22" s="1"/>
  <c r="Z65" i="22" s="1"/>
  <c r="Z72" i="22" s="1"/>
  <c r="AA65" i="22" s="1"/>
  <c r="AA72" i="22" s="1"/>
  <c r="F8" i="22" s="1"/>
  <c r="O44" i="24"/>
  <c r="O51" i="24" s="1"/>
  <c r="O58" i="24" s="1"/>
  <c r="P51" i="24" s="1"/>
  <c r="P58" i="24" s="1"/>
  <c r="Q51" i="24" s="1"/>
  <c r="Q58" i="24" s="1"/>
  <c r="F7" i="24" s="1"/>
  <c r="C7" i="24"/>
  <c r="E7" i="24" s="1"/>
  <c r="D9" i="22"/>
  <c r="BH72" i="1"/>
  <c r="BI65" i="1" s="1"/>
  <c r="BI72" i="1" s="1"/>
  <c r="BJ65" i="1" s="1"/>
  <c r="BJ72" i="1" s="1"/>
  <c r="C6" i="1"/>
  <c r="F6" i="1" s="1"/>
  <c r="AL60" i="20"/>
  <c r="AM63" i="20"/>
  <c r="Y54" i="22"/>
  <c r="Y61" i="22" s="1"/>
  <c r="C5" i="1"/>
  <c r="F5" i="1" s="1"/>
  <c r="E9" i="1"/>
  <c r="O42" i="24"/>
  <c r="O49" i="24" s="1"/>
  <c r="C5" i="24"/>
  <c r="E5" i="24" s="1"/>
  <c r="C4" i="1"/>
  <c r="C4" i="24"/>
  <c r="O41" i="24"/>
  <c r="O48" i="24" s="1"/>
  <c r="O55" i="24" s="1"/>
  <c r="G8" i="24" l="1"/>
  <c r="E30" i="5" s="1"/>
  <c r="E8" i="5" s="1"/>
  <c r="L8" i="5" s="1"/>
  <c r="Z51" i="22"/>
  <c r="BI51" i="1"/>
  <c r="G6" i="1"/>
  <c r="H6" i="1" s="1"/>
  <c r="C28" i="5" s="1"/>
  <c r="C6" i="5" s="1"/>
  <c r="Z62" i="22"/>
  <c r="Z69" i="22" s="1"/>
  <c r="AA62" i="22" s="1"/>
  <c r="AA69" i="22" s="1"/>
  <c r="F5" i="22" s="1"/>
  <c r="G5" i="22" s="1"/>
  <c r="C27" i="23" s="1"/>
  <c r="G6" i="24"/>
  <c r="E28" i="5" s="1"/>
  <c r="E6" i="5" s="1"/>
  <c r="R6" i="5" s="1"/>
  <c r="F7" i="13" s="1"/>
  <c r="F28" i="13" s="1"/>
  <c r="C4" i="11"/>
  <c r="C9" i="11" s="1"/>
  <c r="H5" i="1"/>
  <c r="C27" i="5" s="1"/>
  <c r="C5" i="5" s="1"/>
  <c r="G7" i="1"/>
  <c r="H7" i="1" s="1"/>
  <c r="C29" i="5" s="1"/>
  <c r="B4" i="21"/>
  <c r="B9" i="21" s="1"/>
  <c r="G7" i="24"/>
  <c r="E29" i="5" s="1"/>
  <c r="E7" i="5" s="1"/>
  <c r="R7" i="5" s="1"/>
  <c r="F8" i="13" s="1"/>
  <c r="F29" i="13" s="1"/>
  <c r="C9" i="1"/>
  <c r="F4" i="1"/>
  <c r="G8" i="1"/>
  <c r="H8" i="1" s="1"/>
  <c r="C30" i="5" s="1"/>
  <c r="B9" i="22"/>
  <c r="Y70" i="22"/>
  <c r="Z63" i="22" s="1"/>
  <c r="Z70" i="22" s="1"/>
  <c r="AA63" i="22" s="1"/>
  <c r="AA70" i="22" s="1"/>
  <c r="O56" i="24"/>
  <c r="P49" i="24" s="1"/>
  <c r="P56" i="24" s="1"/>
  <c r="Q49" i="24" s="1"/>
  <c r="Q56" i="24" s="1"/>
  <c r="G8" i="22"/>
  <c r="C30" i="23" s="1"/>
  <c r="BH76" i="1"/>
  <c r="E9" i="22"/>
  <c r="BI61" i="1"/>
  <c r="P48" i="24"/>
  <c r="Y68" i="22"/>
  <c r="Z61" i="22" s="1"/>
  <c r="Y71" i="22"/>
  <c r="Z64" i="22" s="1"/>
  <c r="Z71" i="22" s="1"/>
  <c r="AA64" i="22" s="1"/>
  <c r="AA71" i="22" s="1"/>
  <c r="C9" i="24"/>
  <c r="E4" i="24"/>
  <c r="AM60" i="20"/>
  <c r="AN63" i="20"/>
  <c r="AN60" i="20" s="1"/>
  <c r="R8" i="5" l="1"/>
  <c r="F9" i="13" s="1"/>
  <c r="F30" i="13" s="1"/>
  <c r="L6" i="5"/>
  <c r="O38" i="24"/>
  <c r="BJ51" i="1"/>
  <c r="AA51" i="22"/>
  <c r="L7" i="5"/>
  <c r="BI68" i="1"/>
  <c r="BJ61" i="1" s="1"/>
  <c r="BJ68" i="1" s="1"/>
  <c r="F7" i="22"/>
  <c r="G7" i="22" s="1"/>
  <c r="C29" i="23" s="1"/>
  <c r="F5" i="24"/>
  <c r="G5" i="24" s="1"/>
  <c r="E27" i="5" s="1"/>
  <c r="E5" i="5" s="1"/>
  <c r="F9" i="1"/>
  <c r="C8" i="5"/>
  <c r="E9" i="24"/>
  <c r="BH73" i="1"/>
  <c r="Y76" i="22"/>
  <c r="F6" i="22"/>
  <c r="G6" i="22" s="1"/>
  <c r="C28" i="23" s="1"/>
  <c r="P6" i="5"/>
  <c r="J6" i="5"/>
  <c r="Z68" i="22"/>
  <c r="AA61" i="22" s="1"/>
  <c r="AA68" i="22" s="1"/>
  <c r="O63" i="24"/>
  <c r="C5" i="23"/>
  <c r="J5" i="5"/>
  <c r="P5" i="5"/>
  <c r="C7" i="5"/>
  <c r="P55" i="24"/>
  <c r="C8" i="23"/>
  <c r="P38" i="24" l="1"/>
  <c r="BI76" i="1"/>
  <c r="BJ76" i="1" s="1"/>
  <c r="BJ73" i="1" s="1"/>
  <c r="F4" i="22"/>
  <c r="F9" i="22" s="1"/>
  <c r="J8" i="5"/>
  <c r="P8" i="5"/>
  <c r="Y73" i="22"/>
  <c r="Z76" i="22"/>
  <c r="C6" i="23"/>
  <c r="R5" i="5"/>
  <c r="F6" i="13" s="1"/>
  <c r="F27" i="13" s="1"/>
  <c r="L5" i="5"/>
  <c r="C7" i="23"/>
  <c r="D7" i="13"/>
  <c r="P7" i="5"/>
  <c r="J7" i="5"/>
  <c r="P8" i="23"/>
  <c r="J8" i="23"/>
  <c r="O60" i="24"/>
  <c r="P63" i="24"/>
  <c r="D6" i="13"/>
  <c r="Q48" i="24"/>
  <c r="Q55" i="24" s="1"/>
  <c r="F4" i="24" s="1"/>
  <c r="P5" i="23"/>
  <c r="J5" i="23"/>
  <c r="G4" i="1"/>
  <c r="BI73" i="1" l="1"/>
  <c r="Q38" i="24"/>
  <c r="G4" i="22"/>
  <c r="C26" i="23" s="1"/>
  <c r="F9" i="24"/>
  <c r="G4" i="24"/>
  <c r="D9" i="13"/>
  <c r="D19" i="13"/>
  <c r="P60" i="24"/>
  <c r="Q63" i="24"/>
  <c r="Q60" i="24" s="1"/>
  <c r="D16" i="13"/>
  <c r="D27" i="13" s="1"/>
  <c r="D8" i="13"/>
  <c r="P6" i="23"/>
  <c r="J6" i="23"/>
  <c r="G9" i="22"/>
  <c r="G9" i="1"/>
  <c r="H4" i="1"/>
  <c r="P7" i="23"/>
  <c r="J7" i="23"/>
  <c r="Z73" i="22"/>
  <c r="AA76" i="22"/>
  <c r="AA73" i="22" s="1"/>
  <c r="BH39" i="11" l="1"/>
  <c r="D17" i="13"/>
  <c r="H9" i="1"/>
  <c r="C26" i="5"/>
  <c r="D30" i="13"/>
  <c r="C4" i="23"/>
  <c r="E26" i="5"/>
  <c r="E4" i="5" s="1"/>
  <c r="G9" i="24"/>
  <c r="D18" i="13"/>
  <c r="D29" i="13" s="1"/>
  <c r="R4" i="5" l="1"/>
  <c r="F5" i="13" s="1"/>
  <c r="F26" i="13" s="1"/>
  <c r="L4" i="5"/>
  <c r="C4" i="5"/>
  <c r="P4" i="23"/>
  <c r="J4" i="23"/>
  <c r="D28" i="13"/>
  <c r="X39" i="21" l="1"/>
  <c r="J4" i="5"/>
  <c r="P4" i="5"/>
  <c r="D15" i="13"/>
  <c r="BI39" i="11" l="1"/>
  <c r="D5" i="13"/>
  <c r="D26" i="13" l="1"/>
  <c r="Y39" i="21" l="1"/>
  <c r="BI44" i="11"/>
  <c r="BI43" i="11"/>
  <c r="BI42" i="11"/>
  <c r="BI46" i="11"/>
  <c r="BI45" i="11"/>
  <c r="BJ45" i="11"/>
  <c r="BJ43" i="11"/>
  <c r="BJ42" i="11"/>
  <c r="BJ46" i="11"/>
  <c r="BJ44" i="11"/>
  <c r="BJ39" i="11" l="1"/>
  <c r="D4" i="11"/>
  <c r="BH42" i="11"/>
  <c r="BH49" i="11" s="1"/>
  <c r="D6" i="11"/>
  <c r="E6" i="11" s="1"/>
  <c r="BH44" i="11"/>
  <c r="BH51" i="11" s="1"/>
  <c r="BH58" i="11" s="1"/>
  <c r="D5" i="11"/>
  <c r="E5" i="11" s="1"/>
  <c r="BH43" i="11"/>
  <c r="BH50" i="11" s="1"/>
  <c r="BH57" i="11" s="1"/>
  <c r="D8" i="11"/>
  <c r="E8" i="11" s="1"/>
  <c r="BH46" i="11"/>
  <c r="BH53" i="11" s="1"/>
  <c r="BH60" i="11" s="1"/>
  <c r="D7" i="11"/>
  <c r="E7" i="11" s="1"/>
  <c r="BH45" i="11"/>
  <c r="BH52" i="11" s="1"/>
  <c r="BH59" i="11" s="1"/>
  <c r="BI51" i="11" l="1"/>
  <c r="BI58" i="11" s="1"/>
  <c r="BJ51" i="11" s="1"/>
  <c r="BJ58" i="11" s="1"/>
  <c r="F6" i="11" s="1"/>
  <c r="G6" i="11" s="1"/>
  <c r="D28" i="5" s="1"/>
  <c r="BI52" i="11"/>
  <c r="BI59" i="11" s="1"/>
  <c r="BJ52" i="11" s="1"/>
  <c r="BJ59" i="11" s="1"/>
  <c r="F7" i="11" s="1"/>
  <c r="G7" i="11" s="1"/>
  <c r="D29" i="5" s="1"/>
  <c r="BH56" i="11"/>
  <c r="BH64" i="11" s="1"/>
  <c r="BI50" i="11"/>
  <c r="BI57" i="11" s="1"/>
  <c r="BJ50" i="11" s="1"/>
  <c r="BJ57" i="11" s="1"/>
  <c r="BI53" i="11"/>
  <c r="BI60" i="11" s="1"/>
  <c r="BJ53" i="11" s="1"/>
  <c r="BJ60" i="11" s="1"/>
  <c r="D9" i="11"/>
  <c r="E4" i="11"/>
  <c r="E9" i="11" s="1"/>
  <c r="Z39" i="21" l="1"/>
  <c r="BI49" i="11"/>
  <c r="BI56" i="11" s="1"/>
  <c r="BJ49" i="11" s="1"/>
  <c r="BJ56" i="11" s="1"/>
  <c r="F4" i="11" s="1"/>
  <c r="G4" i="11" s="1"/>
  <c r="F8" i="11"/>
  <c r="G8" i="11" s="1"/>
  <c r="D30" i="5" s="1"/>
  <c r="G30" i="5" s="1"/>
  <c r="F5" i="11"/>
  <c r="G5" i="11" s="1"/>
  <c r="D27" i="5" s="1"/>
  <c r="G27" i="5" s="1"/>
  <c r="G29" i="5"/>
  <c r="BH61" i="11"/>
  <c r="G28" i="5"/>
  <c r="BI64" i="11" l="1"/>
  <c r="F9" i="11"/>
  <c r="BI61" i="11"/>
  <c r="BJ64" i="11"/>
  <c r="BJ61" i="11" s="1"/>
  <c r="D26" i="5"/>
  <c r="G9" i="11"/>
  <c r="G26" i="5" l="1"/>
  <c r="Y45" i="21" l="1"/>
  <c r="Y44" i="21"/>
  <c r="Y43" i="21"/>
  <c r="Y46" i="21"/>
  <c r="Z45" i="21"/>
  <c r="Z44" i="21"/>
  <c r="Z42" i="21"/>
  <c r="Z46" i="21"/>
  <c r="Z43" i="21"/>
  <c r="C8" i="21" l="1"/>
  <c r="D8" i="21" s="1"/>
  <c r="X46" i="21"/>
  <c r="X53" i="21" s="1"/>
  <c r="X60" i="21" s="1"/>
  <c r="C7" i="21"/>
  <c r="D7" i="21" s="1"/>
  <c r="X45" i="21"/>
  <c r="X52" i="21" s="1"/>
  <c r="X59" i="21" s="1"/>
  <c r="Y42" i="21"/>
  <c r="X42" i="21"/>
  <c r="X49" i="21" s="1"/>
  <c r="X56" i="21" s="1"/>
  <c r="D18" i="23"/>
  <c r="D20" i="23"/>
  <c r="D17" i="23"/>
  <c r="D19" i="23"/>
  <c r="C4" i="21" l="1"/>
  <c r="D4" i="21" s="1"/>
  <c r="Y52" i="21"/>
  <c r="Y59" i="21" s="1"/>
  <c r="Z52" i="21" s="1"/>
  <c r="Z59" i="21" s="1"/>
  <c r="E7" i="21" s="1"/>
  <c r="F7" i="21" s="1"/>
  <c r="D29" i="23" s="1"/>
  <c r="Y53" i="21"/>
  <c r="Y60" i="21" s="1"/>
  <c r="Z53" i="21" s="1"/>
  <c r="Z60" i="21" s="1"/>
  <c r="E8" i="21" s="1"/>
  <c r="F8" i="21" s="1"/>
  <c r="D30" i="23" s="1"/>
  <c r="C10" i="12"/>
  <c r="D16" i="23"/>
  <c r="G17" i="23"/>
  <c r="G19" i="23"/>
  <c r="C6" i="21"/>
  <c r="D6" i="21" s="1"/>
  <c r="X44" i="21"/>
  <c r="X51" i="21" s="1"/>
  <c r="X58" i="21" s="1"/>
  <c r="G20" i="23"/>
  <c r="C5" i="21"/>
  <c r="D5" i="21" s="1"/>
  <c r="X43" i="21"/>
  <c r="X50" i="21" s="1"/>
  <c r="X57" i="21" s="1"/>
  <c r="X64" i="21" s="1"/>
  <c r="Y49" i="21"/>
  <c r="G18" i="23"/>
  <c r="G30" i="23" l="1"/>
  <c r="J30" i="23" s="1"/>
  <c r="D8" i="23"/>
  <c r="Q8" i="23" s="1"/>
  <c r="G29" i="23"/>
  <c r="J29" i="23" s="1"/>
  <c r="D7" i="23"/>
  <c r="H7" i="23" s="1"/>
  <c r="Y51" i="21"/>
  <c r="Y58" i="21" s="1"/>
  <c r="Z51" i="21" s="1"/>
  <c r="Z58" i="21" s="1"/>
  <c r="E6" i="21" s="1"/>
  <c r="F6" i="21" s="1"/>
  <c r="D28" i="23" s="1"/>
  <c r="Y56" i="21"/>
  <c r="Z49" i="21" s="1"/>
  <c r="Z56" i="21" s="1"/>
  <c r="E4" i="21" s="1"/>
  <c r="Y50" i="21"/>
  <c r="Y57" i="21" s="1"/>
  <c r="Z50" i="21" s="1"/>
  <c r="Z57" i="21" s="1"/>
  <c r="E5" i="21" s="1"/>
  <c r="F5" i="21" s="1"/>
  <c r="D27" i="23" s="1"/>
  <c r="G16" i="23"/>
  <c r="D9" i="21"/>
  <c r="C9" i="21"/>
  <c r="J20" i="23" l="1"/>
  <c r="H8" i="23"/>
  <c r="K8" i="23"/>
  <c r="Q7" i="23"/>
  <c r="T7" i="23" s="1"/>
  <c r="K7" i="23"/>
  <c r="N7" i="23" s="1"/>
  <c r="G28" i="23"/>
  <c r="J28" i="23" s="1"/>
  <c r="D6" i="23"/>
  <c r="Q6" i="23" s="1"/>
  <c r="J19" i="23"/>
  <c r="E9" i="21"/>
  <c r="F4" i="21"/>
  <c r="E19" i="13"/>
  <c r="H19" i="13" s="1"/>
  <c r="T8" i="23"/>
  <c r="G27" i="23"/>
  <c r="J27" i="23" s="1"/>
  <c r="D5" i="23"/>
  <c r="X61" i="21"/>
  <c r="N8" i="23" l="1"/>
  <c r="E18" i="13"/>
  <c r="H18" i="13" s="1"/>
  <c r="J18" i="23"/>
  <c r="H6" i="23"/>
  <c r="K6" i="23"/>
  <c r="Y64" i="21"/>
  <c r="E17" i="13"/>
  <c r="H17" i="13" s="1"/>
  <c r="T6" i="23"/>
  <c r="F9" i="21"/>
  <c r="D26" i="23"/>
  <c r="K5" i="23"/>
  <c r="Q5" i="23"/>
  <c r="H5" i="23"/>
  <c r="J17" i="23"/>
  <c r="N6" i="23" l="1"/>
  <c r="G26" i="23"/>
  <c r="J26" i="23" s="1"/>
  <c r="J32" i="23" s="1"/>
  <c r="D4" i="23"/>
  <c r="Y61" i="21"/>
  <c r="Z64" i="21"/>
  <c r="Z61" i="21" s="1"/>
  <c r="N5" i="23"/>
  <c r="E16" i="13"/>
  <c r="H16" i="13" s="1"/>
  <c r="T5" i="23"/>
  <c r="K4" i="23" l="1"/>
  <c r="Q4" i="23"/>
  <c r="H4" i="23"/>
  <c r="J16" i="23"/>
  <c r="J22" i="23" s="1"/>
  <c r="N4" i="23" l="1"/>
  <c r="E15" i="13"/>
  <c r="H15" i="13" s="1"/>
  <c r="T4" i="23"/>
  <c r="AL61" i="20" l="1"/>
  <c r="AM61" i="20" l="1"/>
  <c r="AN61" i="20"/>
  <c r="E10" i="20" l="1"/>
  <c r="D20" i="5" l="1"/>
  <c r="D19" i="5"/>
  <c r="D17" i="5"/>
  <c r="D18" i="5"/>
  <c r="G19" i="5" l="1"/>
  <c r="K29" i="23" s="1"/>
  <c r="L29" i="23" s="1"/>
  <c r="D7" i="5"/>
  <c r="G20" i="5"/>
  <c r="K30" i="23" s="1"/>
  <c r="L30" i="23" s="1"/>
  <c r="D8" i="5"/>
  <c r="G18" i="5"/>
  <c r="K28" i="23" s="1"/>
  <c r="L28" i="23" s="1"/>
  <c r="D6" i="5"/>
  <c r="B10" i="12"/>
  <c r="D16" i="5"/>
  <c r="G17" i="5"/>
  <c r="K27" i="23" s="1"/>
  <c r="L27" i="23" s="1"/>
  <c r="D5" i="5"/>
  <c r="G16" i="5" l="1"/>
  <c r="K26" i="23" s="1"/>
  <c r="D4" i="5"/>
  <c r="K6" i="5"/>
  <c r="Q6" i="5"/>
  <c r="J18" i="5"/>
  <c r="H6" i="5"/>
  <c r="N6" i="5" s="1"/>
  <c r="K8" i="5"/>
  <c r="Q8" i="5"/>
  <c r="J20" i="5"/>
  <c r="H8" i="5"/>
  <c r="Q5" i="5"/>
  <c r="K5" i="5"/>
  <c r="H5" i="5"/>
  <c r="J17" i="5"/>
  <c r="K7" i="5"/>
  <c r="Q7" i="5"/>
  <c r="H7" i="5"/>
  <c r="J19" i="5"/>
  <c r="N5" i="5" l="1"/>
  <c r="N7" i="5"/>
  <c r="E9" i="13"/>
  <c r="T8" i="5"/>
  <c r="E7" i="13"/>
  <c r="T6" i="5"/>
  <c r="E8" i="13"/>
  <c r="T7" i="5"/>
  <c r="E6" i="13"/>
  <c r="T5" i="5"/>
  <c r="N8" i="5"/>
  <c r="Q4" i="5"/>
  <c r="K4" i="5"/>
  <c r="J16" i="5"/>
  <c r="J22" i="5" s="1"/>
  <c r="H4" i="5"/>
  <c r="K32" i="23"/>
  <c r="L26" i="23"/>
  <c r="L32" i="23" s="1"/>
  <c r="E27" i="13" l="1"/>
  <c r="H27" i="13" s="1"/>
  <c r="H6" i="13"/>
  <c r="N4" i="5"/>
  <c r="E5" i="13"/>
  <c r="T4" i="5"/>
  <c r="E29" i="13"/>
  <c r="H29" i="13" s="1"/>
  <c r="H8" i="13"/>
  <c r="E28" i="13"/>
  <c r="H28" i="13" s="1"/>
  <c r="H7" i="13"/>
  <c r="E30" i="13"/>
  <c r="H30" i="13" s="1"/>
  <c r="H9" i="13"/>
  <c r="E26" i="13" l="1"/>
  <c r="H26" i="13" s="1"/>
  <c r="H5" i="13"/>
  <c r="BH62" i="11" l="1"/>
  <c r="BI62" i="11" l="1"/>
  <c r="BJ62" i="11" l="1"/>
  <c r="F10" i="11"/>
  <c r="P61" i="24" l="1"/>
  <c r="O61" i="24"/>
  <c r="BH74" i="1" l="1"/>
  <c r="Y74" i="22"/>
  <c r="Q61" i="24"/>
  <c r="F10" i="24"/>
  <c r="Z74" i="22" l="1"/>
  <c r="AA74" i="22"/>
  <c r="F10" i="22" l="1"/>
  <c r="BJ74" i="1"/>
  <c r="BI74" i="1"/>
  <c r="G10" i="1"/>
  <c r="X62" i="21" l="1"/>
  <c r="Y62" i="21" l="1"/>
  <c r="Z62" i="21" l="1"/>
  <c r="E10" i="21"/>
</calcChain>
</file>

<file path=xl/comments1.xml><?xml version="1.0" encoding="utf-8"?>
<comments xmlns="http://schemas.openxmlformats.org/spreadsheetml/2006/main">
  <authors>
    <author>Filley, Kimberly S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remember to flip sign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remember to flip sign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interest adjustment of +$0.09 booked in Nov 19 as result of the air compressor margin rate being applied to all measures</t>
        </r>
      </text>
    </comment>
    <comment ref="L57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interest adjustment of +$0.02 booked in Nov 19 as result of the air compressor margin rate being applied to all measures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interest adjustment of +$95.42 booked in Nov 19 as result of the air compressor margin rate being applied to all measures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interest adjustment of +$46.57 booked in Nov 19 as result of the air compressor margin rate being applied to all measures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interest adjustment of +$15.68 booked in Nov 19 as result of the air compressor margin rate being applied to all measures</t>
        </r>
      </text>
    </comment>
    <comment ref="X65" authorId="0" shapeId="0">
      <text>
        <r>
          <rPr>
            <b/>
            <sz val="9"/>
            <color indexed="81"/>
            <rFont val="Tahoma"/>
            <family val="2"/>
          </rPr>
          <t>Filley, Kimberly S:</t>
        </r>
        <r>
          <rPr>
            <sz val="9"/>
            <color indexed="81"/>
            <rFont val="Tahoma"/>
            <family val="2"/>
          </rPr>
          <t xml:space="preserve">
interest incorrectly calculated Feb - Oct 20, correction will be recorded in Nov 20</t>
        </r>
      </text>
    </comment>
  </commentList>
</comments>
</file>

<file path=xl/sharedStrings.xml><?xml version="1.0" encoding="utf-8"?>
<sst xmlns="http://schemas.openxmlformats.org/spreadsheetml/2006/main" count="761" uniqueCount="181">
  <si>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</si>
  <si>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</si>
  <si>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</si>
  <si>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</si>
  <si>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</si>
  <si>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</si>
  <si>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</si>
  <si>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</si>
  <si>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</si>
  <si>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</si>
  <si>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</si>
  <si>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</si>
  <si>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</si>
  <si>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</si>
  <si>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</si>
  <si>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</si>
  <si>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</si>
  <si>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</si>
  <si>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</si>
  <si>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</si>
  <si>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</si>
  <si>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</si>
  <si>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</si>
  <si>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</si>
  <si>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</si>
  <si>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</si>
  <si>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</si>
  <si>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</si>
  <si>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</si>
  <si>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</si>
  <si>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</si>
  <si>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</si>
  <si>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</si>
  <si>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</si>
  <si>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</si>
  <si>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</si>
  <si>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</si>
  <si>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</si>
  <si>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</si>
  <si>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</si>
  <si>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</si>
  <si>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</si>
  <si>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</si>
  <si>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</si>
  <si>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</si>
  <si>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</si>
  <si>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</si>
  <si>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</si>
  <si>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</si>
  <si>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</si>
  <si>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</si>
  <si>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</si>
  <si>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</si>
  <si>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</si>
  <si>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</si>
  <si>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</si>
  <si>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</si>
  <si>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</si>
  <si>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</si>
  <si>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</si>
  <si>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</si>
  <si>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</si>
  <si>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</si>
  <si>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</si>
  <si>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</si>
  <si>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</si>
  <si>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</si>
  <si>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</si>
  <si>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</si>
  <si>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</si>
  <si>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</si>
  <si>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</si>
  <si>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</si>
  <si>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</si>
  <si>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</si>
  <si>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</si>
  <si>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</si>
  <si>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</si>
  <si>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</si>
  <si>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</si>
  <si>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</si>
  <si>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</si>
  <si>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</si>
  <si>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</si>
  <si>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</si>
  <si>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</si>
  <si>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</si>
  <si>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</si>
  <si>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4. Total Interest</t>
  </si>
  <si>
    <t>SOURCE: MEEIA 2 Over/Under Calculation file</t>
  </si>
  <si>
    <t>1. Actual monthly TD</t>
  </si>
  <si>
    <t>(Over)/Under</t>
  </si>
  <si>
    <t>5. Total Interest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</si>
  <si>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</si>
  <si>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</si>
  <si>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</si>
  <si>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</si>
  <si>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</si>
  <si>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</si>
  <si>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</si>
  <si>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TD Reconciliation Calculation</t>
  </si>
  <si>
    <t>Total $</t>
  </si>
  <si>
    <t>Allocated Actual Revenue</t>
  </si>
  <si>
    <t>4. Actual Revenue Credits - Low Income Exemption</t>
  </si>
  <si>
    <t>6. Current Tariff Rate</t>
  </si>
  <si>
    <t>MEEIA 1 Ending Balance</t>
  </si>
  <si>
    <t>3. Actual Revenue Credits - Low Income Exemption</t>
  </si>
  <si>
    <t>5. Current Tariff Rate</t>
  </si>
  <si>
    <t>2F. Forecasted billed revenues by rate class</t>
  </si>
  <si>
    <t>SOURCE: Caculated based on amounts in Stipulation</t>
  </si>
  <si>
    <t>4. Actual monthly revenue credit for low income exempt customers (program cost revenues only)</t>
  </si>
  <si>
    <t>5. Total monthly interest booked</t>
  </si>
  <si>
    <t>5F. Forecasted interest for accrued over/under</t>
  </si>
  <si>
    <t>6. Actual program cost rate component of the tariff rate</t>
  </si>
  <si>
    <t>Beg Bal (M1)</t>
  </si>
  <si>
    <t>Ordered Adjustments</t>
  </si>
  <si>
    <t>1. OA</t>
  </si>
  <si>
    <t>5. Actual TD rate component of the tariff rate</t>
  </si>
  <si>
    <t>3. Actual monthly revenue credit for low income exempt customers (TD revenues only)</t>
  </si>
  <si>
    <t>2. Actual TD Revenues</t>
  </si>
  <si>
    <t>Total Reconciled</t>
  </si>
  <si>
    <t>Total Forecasted</t>
  </si>
  <si>
    <t>Ordered Adjustments Reconciliation Calculation</t>
  </si>
  <si>
    <t>OAR</t>
  </si>
  <si>
    <t>1. Actual OA to Amortize</t>
  </si>
  <si>
    <t>2. Actual Revenues - Ordered Adjustments</t>
  </si>
  <si>
    <t>1. Actual ordered adjustments to amortize by rate class</t>
  </si>
  <si>
    <t>2. Actual monthly billed revenues by rate class (ordered adjustment revenues only)</t>
  </si>
  <si>
    <t>3. Actual monthly revenue credit for low income exempt customers (ordered adjustment revenues only)</t>
  </si>
  <si>
    <t>5. Actual ordered adjustment rate component of the tariff rate</t>
  </si>
  <si>
    <t>Nov 2019 filing</t>
  </si>
  <si>
    <t>OA to Amortize</t>
  </si>
  <si>
    <t>OA ($)</t>
  </si>
  <si>
    <t>OAR ($)</t>
  </si>
  <si>
    <t>Ordered Adj Rate</t>
  </si>
  <si>
    <t>EO Rate</t>
  </si>
  <si>
    <t>For Tariff (rounded)</t>
  </si>
  <si>
    <t>SOURCE: MEEIA 3 Over/Under Calculation file</t>
  </si>
  <si>
    <t>MEEIA 2019-21 EEIR Components (Applicable to MEEIA Cycle 3 Plan)</t>
  </si>
  <si>
    <t>Earnings Opportunity Reconciliation Calculation</t>
  </si>
  <si>
    <t>EO Amortization</t>
  </si>
  <si>
    <t>EOR</t>
  </si>
  <si>
    <t>1. Actual EO Amortization</t>
  </si>
  <si>
    <t>2. Actual Revenues - Earnings Opportunity</t>
  </si>
  <si>
    <t>1. Actual monthly earnings opportunity amortization by rate class</t>
  </si>
  <si>
    <t>1F. Forecasted monthly earnings opportunity amortization by rate class</t>
  </si>
  <si>
    <t>2. Actual monthly billed revenues by rate class (earnings opportunity revenues only)</t>
  </si>
  <si>
    <t>3. Actual monthly revenue credit for low income exempt customers (earnings opportunity revenues only)</t>
  </si>
  <si>
    <t>5. Actual earnings opportunity rate component of the tariff rate</t>
  </si>
  <si>
    <t>Earnings Opportunity Calculation (MEEIA 2)</t>
  </si>
  <si>
    <t>MEEIA 2</t>
  </si>
  <si>
    <t>MEEIA 3</t>
  </si>
  <si>
    <t>Nov 2020 filing</t>
  </si>
  <si>
    <t>EO</t>
  </si>
  <si>
    <t>Program Cost Calculation</t>
  </si>
  <si>
    <t>MEEIA 2 Allocations</t>
  </si>
  <si>
    <t>MEEIA 3 Allocations</t>
  </si>
  <si>
    <t>1. EO</t>
  </si>
  <si>
    <t>2. kWh reduced for opt-out</t>
  </si>
  <si>
    <t>%</t>
  </si>
  <si>
    <t>EO Totals</t>
  </si>
  <si>
    <t>3. Forecasted kWh by Rate Class (Reduced for Opt-Out, Includes Low Income) - 12 Months</t>
  </si>
  <si>
    <t>2. Cumulative kWh by Rate Class (Reduced for Opt-out) - 2016 through 2018</t>
  </si>
  <si>
    <t>Projections for 2021 EEIC</t>
  </si>
  <si>
    <t>3. Effective Period kWh</t>
  </si>
  <si>
    <t>EOR M2</t>
  </si>
  <si>
    <t>PCR M3</t>
  </si>
  <si>
    <t>PCR M2</t>
  </si>
  <si>
    <t>TDR M2</t>
  </si>
  <si>
    <t>TDR M3</t>
  </si>
  <si>
    <t>MEEIA 2 Ending Balance</t>
  </si>
  <si>
    <t>6. kWh reduced for opt-out</t>
  </si>
  <si>
    <t>6. Cumulative kWh by Rate Class (Reduced for Opt-out) - March through December 2019</t>
  </si>
  <si>
    <t>1. MEEIA 2 EO awarded &amp; split between 2019 and 2020 filings</t>
  </si>
  <si>
    <t>4. TD Adjustment</t>
  </si>
  <si>
    <t>5. MEEIA 3 EO awarded &amp; includes MEEIA 3 EO TD adjustment</t>
  </si>
  <si>
    <t>5. EO &amp; TD Adjustment</t>
  </si>
  <si>
    <t>Earnings Opportunity TD Adjustment Calculation(MEEIA 2)</t>
  </si>
  <si>
    <t>Earnings Opportunity and TD Adjustment Calculation (MEEIA 3)</t>
  </si>
  <si>
    <t>Interest Adjustment</t>
  </si>
  <si>
    <t xml:space="preserve">4. MEEIA 2 EO TD adjustment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</si>
</sst>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_(&quot;$&quot;* #,##0.000000_);_(&quot;$&quot;* \(#,##0.000000\);_(&quot;$&quot;* &quot;-&quot;??_);_(@_)"/>
    <numFmt numFmtId="171" formatCode="&quot;$&quot;#,##0.000000_);[Red]\(&quot;$&quot;#,##0.000000\)"/>
    <numFmt numFmtId="172" formatCode="_(&quot;$&quot;* #,##0.000_);_(&quot;$&quot;* \(#,##0.000\);_(&quot;$&quot;* &quot;-&quot;??_);_(@_)"/>
    <numFmt numFmtId="173" formatCode="_(* #,##0.000000_);_(* \(#,##0.000000\);_(* &quot;-&quot;??_);_(@_)"/>
    <numFmt numFmtId="174" formatCode="&quot;$&quot;#,##0.00000000_);[Red]\(&quot;$&quot;#,##0.00000000\)"/>
    <numFmt numFmtId="175" formatCode="mmm\-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76"/>
      <name val="Calibri"/>
      <family val="2"/>
      <scheme val="minor"/>
    </font>
    <font>
      <sz val="11"/>
      <color theme="1"/>
      <name val="Book Antiqua"/>
      <family val="2"/>
    </font>
    <font>
      <b/>
      <sz val="11"/>
      <name val="Calibri"/>
      <family val="2"/>
      <scheme val="minor"/>
    </font>
    <font>
      <sz val="10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</borders>
  <cellStyleXfs count="3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381">
    <xf numFmtId="0" fontId="0" fillId="0" borderId="0" xfId="0"/>
    <xf numFmtId="164" fontId="0" fillId="0" borderId="0" xfId="0" applyNumberFormat="1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1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2" fontId="0" fillId="0" borderId="0" xfId="0" applyNumberFormat="1"/>
    <xf numFmtId="168" fontId="0" fillId="0" borderId="0" xfId="2" applyNumberFormat="1" applyFont="1"/>
    <xf numFmtId="171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1" fontId="10" fillId="7" borderId="3" xfId="0" applyNumberFormat="1" applyFont="1" applyFill="1" applyBorder="1" applyAlignment="1">
      <alignment vertical="center" wrapText="1"/>
    </xf>
    <xf numFmtId="171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1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1" fontId="33" fillId="0" borderId="6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171" fontId="31" fillId="0" borderId="10" xfId="0" applyNumberFormat="1" applyFont="1" applyBorder="1" applyAlignment="1">
      <alignment horizontal="center" vertical="center" wrapText="1"/>
    </xf>
    <xf numFmtId="171" fontId="0" fillId="0" borderId="6" xfId="0" applyNumberFormat="1" applyBorder="1" applyAlignment="1">
      <alignment vertical="center" wrapText="1"/>
    </xf>
    <xf numFmtId="171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4" fillId="4" borderId="9" xfId="5" applyNumberFormat="1" applyBorder="1"/>
    <xf numFmtId="165" fontId="4" fillId="4" borderId="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0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165" fontId="0" fillId="0" borderId="11" xfId="0" applyNumberFormat="1" applyBorder="1"/>
    <xf numFmtId="165" fontId="0" fillId="0" borderId="42" xfId="0" applyNumberFormat="1" applyBorder="1"/>
    <xf numFmtId="165" fontId="5" fillId="0" borderId="9" xfId="6" applyNumberFormat="1" applyFill="1" applyBorder="1"/>
    <xf numFmtId="165" fontId="4" fillId="4" borderId="6" xfId="5" applyNumberFormat="1" applyBorder="1"/>
    <xf numFmtId="165" fontId="4" fillId="0" borderId="0" xfId="11" applyNumberFormat="1" applyFont="1" applyFill="1" applyBorder="1"/>
    <xf numFmtId="165" fontId="6" fillId="6" borderId="43" xfId="7" applyNumberFormat="1" applyBorder="1"/>
    <xf numFmtId="44" fontId="5" fillId="5" borderId="1" xfId="11" applyNumberFormat="1" applyFont="1" applyFill="1" applyBorder="1"/>
    <xf numFmtId="171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165" fontId="6" fillId="6" borderId="45" xfId="11" applyNumberFormat="1" applyFont="1" applyFill="1" applyBorder="1"/>
    <xf numFmtId="165" fontId="14" fillId="8" borderId="37" xfId="13" applyNumberForma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1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10" fontId="14" fillId="0" borderId="0" xfId="13" applyNumberFormat="1" applyFill="1" applyBorder="1" applyAlignment="1">
      <alignment horizontal="center"/>
    </xf>
    <xf numFmtId="169" fontId="0" fillId="0" borderId="0" xfId="2" applyNumberFormat="1" applyFont="1" applyFill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0" fontId="0" fillId="0" borderId="0" xfId="0" applyFont="1" applyFill="1"/>
    <xf numFmtId="165" fontId="14" fillId="0" borderId="0" xfId="13" applyNumberFormat="1" applyFill="1" applyBorder="1"/>
    <xf numFmtId="165" fontId="5" fillId="5" borderId="0" xfId="6" applyNumberFormat="1" applyBorder="1"/>
    <xf numFmtId="165" fontId="0" fillId="0" borderId="48" xfId="0" applyNumberFormat="1" applyBorder="1"/>
    <xf numFmtId="0" fontId="0" fillId="0" borderId="46" xfId="0" applyBorder="1"/>
    <xf numFmtId="165" fontId="0" fillId="0" borderId="46" xfId="0" applyNumberFormat="1" applyBorder="1"/>
    <xf numFmtId="0" fontId="0" fillId="0" borderId="47" xfId="0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170" fontId="5" fillId="0" borderId="0" xfId="6" applyNumberFormat="1" applyFill="1" applyBorder="1"/>
    <xf numFmtId="165" fontId="0" fillId="0" borderId="9" xfId="0" applyNumberFormat="1" applyFill="1" applyBorder="1"/>
    <xf numFmtId="165" fontId="14" fillId="0" borderId="9" xfId="13" applyNumberFormat="1" applyFill="1" applyBorder="1"/>
    <xf numFmtId="165" fontId="37" fillId="5" borderId="46" xfId="6" applyNumberFormat="1" applyFont="1" applyBorder="1"/>
    <xf numFmtId="165" fontId="5" fillId="5" borderId="42" xfId="6" applyNumberFormat="1" applyBorder="1"/>
    <xf numFmtId="8" fontId="0" fillId="0" borderId="0" xfId="0" applyNumberFormat="1" applyBorder="1"/>
    <xf numFmtId="8" fontId="0" fillId="0" borderId="42" xfId="0" applyNumberFormat="1" applyBorder="1"/>
    <xf numFmtId="165" fontId="0" fillId="0" borderId="0" xfId="2" applyNumberFormat="1" applyFont="1" applyBorder="1"/>
    <xf numFmtId="0" fontId="10" fillId="7" borderId="6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0" fontId="0" fillId="0" borderId="0" xfId="0" applyAlignment="1">
      <alignment horizontal="right"/>
    </xf>
    <xf numFmtId="173" fontId="0" fillId="0" borderId="0" xfId="1" applyNumberFormat="1" applyFont="1"/>
    <xf numFmtId="5" fontId="0" fillId="0" borderId="0" xfId="0" applyNumberFormat="1"/>
    <xf numFmtId="0" fontId="8" fillId="0" borderId="0" xfId="0" applyFont="1" applyAlignment="1">
      <alignment horizontal="center"/>
    </xf>
    <xf numFmtId="44" fontId="4" fillId="0" borderId="9" xfId="5" applyNumberFormat="1" applyFill="1" applyBorder="1"/>
    <xf numFmtId="165" fontId="4" fillId="0" borderId="10" xfId="11" applyNumberFormat="1" applyFont="1" applyFill="1" applyBorder="1"/>
    <xf numFmtId="165" fontId="0" fillId="0" borderId="48" xfId="0" applyNumberFormat="1" applyFill="1" applyBorder="1"/>
    <xf numFmtId="165" fontId="4" fillId="4" borderId="11" xfId="5" applyNumberFormat="1" applyBorder="1"/>
    <xf numFmtId="165" fontId="4" fillId="4" borderId="42" xfId="5" applyNumberFormat="1" applyBorder="1"/>
    <xf numFmtId="43" fontId="0" fillId="0" borderId="0" xfId="1" applyFont="1" applyBorder="1"/>
    <xf numFmtId="43" fontId="0" fillId="0" borderId="0" xfId="1" applyNumberFormat="1" applyFont="1"/>
    <xf numFmtId="165" fontId="5" fillId="5" borderId="32" xfId="11" applyNumberFormat="1" applyFont="1" applyFill="1" applyBorder="1"/>
    <xf numFmtId="165" fontId="14" fillId="8" borderId="32" xfId="1" applyNumberFormat="1" applyFont="1" applyFill="1" applyBorder="1"/>
    <xf numFmtId="171" fontId="0" fillId="0" borderId="0" xfId="1" applyNumberFormat="1" applyFont="1"/>
    <xf numFmtId="174" fontId="10" fillId="7" borderId="4" xfId="0" applyNumberFormat="1" applyFont="1" applyFill="1" applyBorder="1" applyAlignment="1">
      <alignment vertical="center" wrapText="1"/>
    </xf>
    <xf numFmtId="44" fontId="14" fillId="8" borderId="31" xfId="13" applyNumberFormat="1" applyBorder="1"/>
    <xf numFmtId="0" fontId="9" fillId="0" borderId="0" xfId="0" applyFont="1" applyAlignment="1">
      <alignment horizontal="center"/>
    </xf>
    <xf numFmtId="167" fontId="5" fillId="5" borderId="1" xfId="1" applyNumberFormat="1" applyFont="1" applyFill="1" applyBorder="1"/>
    <xf numFmtId="0" fontId="0" fillId="0" borderId="29" xfId="0" applyBorder="1"/>
    <xf numFmtId="164" fontId="0" fillId="0" borderId="29" xfId="0" applyNumberFormat="1" applyBorder="1"/>
    <xf numFmtId="165" fontId="5" fillId="5" borderId="49" xfId="6" applyNumberFormat="1" applyBorder="1"/>
    <xf numFmtId="0" fontId="0" fillId="0" borderId="30" xfId="0" applyBorder="1"/>
    <xf numFmtId="44" fontId="0" fillId="0" borderId="30" xfId="0" applyNumberFormat="1" applyBorder="1"/>
    <xf numFmtId="165" fontId="14" fillId="8" borderId="49" xfId="13" applyNumberFormat="1" applyBorder="1"/>
    <xf numFmtId="165" fontId="14" fillId="0" borderId="30" xfId="13" applyNumberFormat="1" applyFill="1" applyBorder="1"/>
    <xf numFmtId="165" fontId="5" fillId="5" borderId="50" xfId="11" applyNumberFormat="1" applyFont="1" applyFill="1" applyBorder="1"/>
    <xf numFmtId="165" fontId="5" fillId="0" borderId="29" xfId="11" applyNumberFormat="1" applyFont="1" applyFill="1" applyBorder="1"/>
    <xf numFmtId="169" fontId="0" fillId="0" borderId="30" xfId="2" applyNumberFormat="1" applyFont="1" applyFill="1" applyBorder="1"/>
    <xf numFmtId="165" fontId="6" fillId="6" borderId="51" xfId="7" applyNumberFormat="1" applyBorder="1"/>
    <xf numFmtId="166" fontId="0" fillId="0" borderId="9" xfId="0" applyNumberFormat="1" applyBorder="1"/>
    <xf numFmtId="166" fontId="0" fillId="0" borderId="0" xfId="0" applyNumberFormat="1" applyBorder="1"/>
    <xf numFmtId="166" fontId="0" fillId="0" borderId="10" xfId="0" applyNumberFormat="1" applyBorder="1"/>
    <xf numFmtId="165" fontId="37" fillId="5" borderId="52" xfId="6" applyNumberFormat="1" applyFont="1" applyBorder="1"/>
    <xf numFmtId="165" fontId="5" fillId="5" borderId="30" xfId="6" applyNumberFormat="1" applyBorder="1"/>
    <xf numFmtId="165" fontId="5" fillId="5" borderId="5" xfId="6" applyNumberFormat="1" applyBorder="1"/>
    <xf numFmtId="169" fontId="0" fillId="0" borderId="10" xfId="2" applyNumberFormat="1" applyFont="1" applyFill="1" applyBorder="1"/>
    <xf numFmtId="5" fontId="11" fillId="0" borderId="6" xfId="0" applyNumberFormat="1" applyFont="1" applyFill="1" applyBorder="1" applyAlignment="1">
      <alignment horizontal="right" vertical="center" wrapText="1"/>
    </xf>
    <xf numFmtId="6" fontId="11" fillId="0" borderId="6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6" fillId="0" borderId="0" xfId="1" applyFont="1" applyFill="1" applyBorder="1"/>
    <xf numFmtId="43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7" fillId="0" borderId="0" xfId="8" applyFill="1" applyBorder="1" applyAlignment="1">
      <alignment horizontal="right"/>
    </xf>
    <xf numFmtId="3" fontId="0" fillId="0" borderId="0" xfId="0" applyNumberFormat="1" applyFill="1" applyBorder="1"/>
    <xf numFmtId="167" fontId="5" fillId="0" borderId="0" xfId="6" applyNumberFormat="1" applyFill="1" applyBorder="1"/>
    <xf numFmtId="165" fontId="13" fillId="0" borderId="0" xfId="12" applyNumberFormat="1" applyFill="1" applyBorder="1"/>
    <xf numFmtId="167" fontId="14" fillId="0" borderId="0" xfId="13" applyNumberFormat="1" applyFill="1" applyBorder="1"/>
    <xf numFmtId="0" fontId="9" fillId="0" borderId="0" xfId="0" applyFont="1" applyFill="1" applyBorder="1" applyAlignment="1"/>
    <xf numFmtId="0" fontId="8" fillId="0" borderId="7" xfId="0" applyFont="1" applyBorder="1" applyAlignment="1">
      <alignment horizontal="right"/>
    </xf>
    <xf numFmtId="165" fontId="14" fillId="8" borderId="53" xfId="13" applyNumberFormat="1" applyBorder="1" applyAlignment="1">
      <alignment horizontal="center"/>
    </xf>
    <xf numFmtId="165" fontId="14" fillId="8" borderId="54" xfId="13" applyNumberFormat="1" applyBorder="1" applyAlignment="1">
      <alignment horizontal="center"/>
    </xf>
    <xf numFmtId="165" fontId="14" fillId="8" borderId="55" xfId="13" applyNumberFormat="1" applyBorder="1" applyAlignment="1">
      <alignment horizontal="center"/>
    </xf>
    <xf numFmtId="43" fontId="0" fillId="0" borderId="9" xfId="1" applyFont="1" applyBorder="1"/>
    <xf numFmtId="43" fontId="0" fillId="0" borderId="10" xfId="1" applyFont="1" applyBorder="1"/>
    <xf numFmtId="43" fontId="6" fillId="6" borderId="2" xfId="1" applyNumberFormat="1" applyFont="1" applyFill="1" applyBorder="1"/>
    <xf numFmtId="44" fontId="14" fillId="8" borderId="32" xfId="13" applyNumberFormat="1" applyBorder="1"/>
    <xf numFmtId="44" fontId="6" fillId="6" borderId="43" xfId="7" applyNumberFormat="1" applyBorder="1"/>
    <xf numFmtId="0" fontId="9" fillId="0" borderId="0" xfId="0" applyFont="1" applyFill="1" applyAlignment="1">
      <alignment horizontal="center"/>
    </xf>
    <xf numFmtId="6" fontId="10" fillId="0" borderId="6" xfId="0" applyNumberFormat="1" applyFont="1" applyFill="1" applyBorder="1" applyAlignment="1">
      <alignment vertical="center" wrapText="1"/>
    </xf>
    <xf numFmtId="6" fontId="10" fillId="0" borderId="6" xfId="0" applyNumberFormat="1" applyFont="1" applyFill="1" applyBorder="1" applyAlignment="1">
      <alignment horizontal="right" vertical="center" wrapText="1"/>
    </xf>
    <xf numFmtId="44" fontId="6" fillId="6" borderId="2" xfId="7" applyNumberFormat="1"/>
    <xf numFmtId="44" fontId="5" fillId="5" borderId="34" xfId="11" applyNumberFormat="1" applyFont="1" applyFill="1" applyBorder="1"/>
    <xf numFmtId="44" fontId="5" fillId="5" borderId="14" xfId="11" applyNumberFormat="1" applyFont="1" applyFill="1" applyBorder="1"/>
    <xf numFmtId="165" fontId="0" fillId="0" borderId="0" xfId="0" applyNumberFormat="1" applyFill="1"/>
    <xf numFmtId="0" fontId="8" fillId="0" borderId="0" xfId="0" applyFont="1" applyAlignment="1">
      <alignment horizontal="center"/>
    </xf>
    <xf numFmtId="171" fontId="0" fillId="0" borderId="0" xfId="0" applyNumberFormat="1" applyFill="1"/>
    <xf numFmtId="175" fontId="0" fillId="0" borderId="0" xfId="0" applyNumberFormat="1" applyFill="1"/>
    <xf numFmtId="6" fontId="0" fillId="0" borderId="0" xfId="0" applyNumberFormat="1" applyFill="1"/>
    <xf numFmtId="6" fontId="8" fillId="0" borderId="0" xfId="0" applyNumberFormat="1" applyFont="1" applyFill="1"/>
    <xf numFmtId="8" fontId="0" fillId="0" borderId="0" xfId="0" applyNumberFormat="1" applyFill="1"/>
    <xf numFmtId="5" fontId="0" fillId="0" borderId="0" xfId="0" applyNumberFormat="1" applyFill="1"/>
    <xf numFmtId="5" fontId="8" fillId="0" borderId="0" xfId="0" applyNumberFormat="1" applyFont="1" applyFill="1"/>
    <xf numFmtId="0" fontId="8" fillId="0" borderId="9" xfId="0" applyFont="1" applyFill="1" applyBorder="1" applyAlignment="1">
      <alignment horizontal="right"/>
    </xf>
    <xf numFmtId="167" fontId="6" fillId="6" borderId="44" xfId="1" applyNumberFormat="1" applyFont="1" applyFill="1" applyBorder="1"/>
    <xf numFmtId="10" fontId="6" fillId="0" borderId="0" xfId="1" applyNumberFormat="1" applyFont="1" applyFill="1" applyBorder="1"/>
    <xf numFmtId="167" fontId="6" fillId="0" borderId="0" xfId="1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168" fontId="5" fillId="0" borderId="0" xfId="2" applyNumberFormat="1" applyFont="1" applyFill="1" applyBorder="1" applyAlignment="1">
      <alignment horizontal="center"/>
    </xf>
    <xf numFmtId="41" fontId="14" fillId="0" borderId="0" xfId="11" applyNumberFormat="1" applyFont="1" applyFill="1" applyBorder="1" applyAlignment="1">
      <alignment horizontal="center"/>
    </xf>
    <xf numFmtId="165" fontId="6" fillId="0" borderId="0" xfId="11" applyNumberFormat="1" applyFont="1" applyFill="1" applyBorder="1"/>
    <xf numFmtId="165" fontId="14" fillId="0" borderId="0" xfId="13" applyNumberFormat="1" applyFill="1" applyBorder="1" applyAlignment="1">
      <alignment horizontal="center"/>
    </xf>
    <xf numFmtId="9" fontId="6" fillId="6" borderId="44" xfId="2" applyFont="1" applyFill="1" applyBorder="1" applyAlignment="1">
      <alignment horizontal="center"/>
    </xf>
    <xf numFmtId="165" fontId="4" fillId="7" borderId="9" xfId="5" applyNumberFormat="1" applyFill="1" applyBorder="1"/>
    <xf numFmtId="165" fontId="4" fillId="7" borderId="0" xfId="5" applyNumberFormat="1" applyFill="1" applyBorder="1"/>
    <xf numFmtId="165" fontId="4" fillId="7" borderId="10" xfId="5" applyNumberFormat="1" applyFill="1" applyBorder="1"/>
    <xf numFmtId="165" fontId="5" fillId="7" borderId="1" xfId="11" applyNumberFormat="1" applyFont="1" applyFill="1" applyBorder="1"/>
    <xf numFmtId="165" fontId="4" fillId="7" borderId="6" xfId="5" applyNumberFormat="1" applyFill="1" applyBorder="1"/>
    <xf numFmtId="0" fontId="0" fillId="0" borderId="7" xfId="0" applyFill="1" applyBorder="1"/>
    <xf numFmtId="0" fontId="8" fillId="0" borderId="1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65" fontId="5" fillId="5" borderId="9" xfId="6" applyNumberFormat="1" applyBorder="1"/>
    <xf numFmtId="165" fontId="5" fillId="5" borderId="56" xfId="6" applyNumberFormat="1" applyBorder="1"/>
    <xf numFmtId="165" fontId="5" fillId="5" borderId="11" xfId="11" applyNumberFormat="1" applyFont="1" applyFill="1" applyBorder="1"/>
    <xf numFmtId="165" fontId="5" fillId="0" borderId="9" xfId="11" applyNumberFormat="1" applyFont="1" applyFill="1" applyBorder="1"/>
    <xf numFmtId="169" fontId="0" fillId="0" borderId="9" xfId="2" applyNumberFormat="1" applyFont="1" applyFill="1" applyBorder="1"/>
    <xf numFmtId="165" fontId="37" fillId="5" borderId="48" xfId="6" applyNumberFormat="1" applyFont="1" applyBorder="1"/>
    <xf numFmtId="165" fontId="5" fillId="5" borderId="11" xfId="6" applyNumberFormat="1" applyBorder="1"/>
    <xf numFmtId="44" fontId="20" fillId="0" borderId="0" xfId="0" applyNumberFormat="1" applyFont="1"/>
    <xf numFmtId="0" fontId="20" fillId="0" borderId="0" xfId="0" applyFont="1"/>
    <xf numFmtId="43" fontId="6" fillId="0" borderId="0" xfId="1" applyNumberFormat="1" applyFont="1" applyFill="1" applyBorder="1"/>
    <xf numFmtId="165" fontId="5" fillId="5" borderId="33" xfId="6" applyNumberFormat="1" applyBorder="1"/>
    <xf numFmtId="165" fontId="4" fillId="0" borderId="0" xfId="5" applyNumberFormat="1" applyFill="1" applyBorder="1"/>
    <xf numFmtId="165" fontId="4" fillId="4" borderId="57" xfId="11" applyNumberFormat="1" applyFont="1" applyFill="1" applyBorder="1"/>
    <xf numFmtId="0" fontId="20" fillId="0" borderId="0" xfId="0" applyFont="1" applyFill="1"/>
    <xf numFmtId="0" fontId="0" fillId="0" borderId="12" xfId="0" applyFill="1" applyBorder="1"/>
    <xf numFmtId="164" fontId="0" fillId="0" borderId="12" xfId="0" applyNumberFormat="1" applyFill="1" applyBorder="1"/>
    <xf numFmtId="169" fontId="0" fillId="0" borderId="38" xfId="2" applyNumberFormat="1" applyFont="1" applyFill="1" applyBorder="1"/>
    <xf numFmtId="169" fontId="0" fillId="0" borderId="39" xfId="0" applyNumberFormat="1" applyFill="1" applyBorder="1"/>
    <xf numFmtId="169" fontId="0" fillId="0" borderId="36" xfId="0" applyNumberFormat="1" applyFill="1" applyBorder="1"/>
    <xf numFmtId="169" fontId="0" fillId="0" borderId="40" xfId="0" applyNumberFormat="1" applyFill="1" applyBorder="1"/>
    <xf numFmtId="0" fontId="0" fillId="0" borderId="18" xfId="0" applyFill="1" applyBorder="1"/>
    <xf numFmtId="0" fontId="8" fillId="0" borderId="0" xfId="0" applyFont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64" fontId="0" fillId="0" borderId="29" xfId="0" applyNumberFormat="1" applyFill="1" applyBorder="1"/>
    <xf numFmtId="165" fontId="4" fillId="7" borderId="9" xfId="11" applyNumberFormat="1" applyFont="1" applyFill="1" applyBorder="1"/>
    <xf numFmtId="165" fontId="4" fillId="7" borderId="0" xfId="11" applyNumberFormat="1" applyFont="1" applyFill="1" applyBorder="1"/>
    <xf numFmtId="165" fontId="4" fillId="7" borderId="10" xfId="11" applyNumberFormat="1" applyFont="1" applyFill="1" applyBorder="1"/>
    <xf numFmtId="0" fontId="0" fillId="0" borderId="10" xfId="0" applyFill="1" applyBorder="1"/>
    <xf numFmtId="165" fontId="14" fillId="0" borderId="1" xfId="13" applyNumberFormat="1" applyFill="1" applyBorder="1"/>
    <xf numFmtId="165" fontId="14" fillId="0" borderId="13" xfId="13" applyNumberFormat="1" applyFill="1" applyBorder="1"/>
    <xf numFmtId="0" fontId="0" fillId="0" borderId="42" xfId="0" applyFill="1" applyBorder="1"/>
    <xf numFmtId="0" fontId="0" fillId="0" borderId="6" xfId="0" applyFill="1" applyBorder="1"/>
    <xf numFmtId="0" fontId="0" fillId="0" borderId="48" xfId="0" applyFill="1" applyBorder="1"/>
    <xf numFmtId="0" fontId="0" fillId="0" borderId="46" xfId="0" applyFill="1" applyBorder="1"/>
    <xf numFmtId="0" fontId="0" fillId="0" borderId="47" xfId="0" applyFill="1" applyBorder="1"/>
    <xf numFmtId="0" fontId="8" fillId="0" borderId="0" xfId="0" applyFont="1" applyFill="1" applyAlignment="1">
      <alignment horizontal="center"/>
    </xf>
    <xf numFmtId="0" fontId="20" fillId="0" borderId="0" xfId="0" applyFont="1" applyFill="1" applyBorder="1"/>
    <xf numFmtId="165" fontId="0" fillId="0" borderId="0" xfId="0" applyNumberFormat="1" applyFill="1" applyBorder="1"/>
    <xf numFmtId="44" fontId="0" fillId="0" borderId="0" xfId="0" applyNumberFormat="1" applyFill="1" applyBorder="1"/>
    <xf numFmtId="167" fontId="5" fillId="0" borderId="0" xfId="1" applyNumberFormat="1" applyFont="1" applyFill="1" applyBorder="1" applyAlignment="1">
      <alignment horizontal="center"/>
    </xf>
    <xf numFmtId="44" fontId="20" fillId="0" borderId="0" xfId="0" applyNumberFormat="1" applyFont="1" applyFill="1" applyBorder="1"/>
    <xf numFmtId="9" fontId="6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8" fillId="0" borderId="0" xfId="0" applyFont="1" applyFill="1" applyBorder="1" applyAlignment="1"/>
    <xf numFmtId="0" fontId="39" fillId="0" borderId="0" xfId="0" applyFont="1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10" fillId="0" borderId="0" xfId="0" applyFont="1" applyFill="1" applyBorder="1" applyAlignment="1">
      <alignment vertical="center" wrapText="1"/>
    </xf>
    <xf numFmtId="0" fontId="7" fillId="0" borderId="0" xfId="8" applyFill="1" applyAlignment="1">
      <alignment horizontal="right"/>
    </xf>
    <xf numFmtId="0" fontId="7" fillId="0" borderId="0" xfId="8" applyFill="1"/>
    <xf numFmtId="44" fontId="0" fillId="37" borderId="0" xfId="11" applyFont="1" applyFill="1" applyBorder="1"/>
    <xf numFmtId="44" fontId="0" fillId="37" borderId="42" xfId="11" applyFont="1" applyFill="1" applyBorder="1"/>
    <xf numFmtId="6" fontId="40" fillId="0" borderId="6" xfId="0" applyNumberFormat="1" applyFont="1" applyBorder="1" applyAlignment="1">
      <alignment vertical="center" wrapText="1"/>
    </xf>
    <xf numFmtId="171" fontId="31" fillId="0" borderId="6" xfId="0" applyNumberFormat="1" applyFont="1" applyFill="1" applyBorder="1" applyAlignment="1">
      <alignment horizontal="center" vertical="center" wrapText="1"/>
    </xf>
    <xf numFmtId="43" fontId="6" fillId="38" borderId="2" xfId="1" applyNumberFormat="1" applyFont="1" applyFill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3" borderId="7" xfId="4" applyBorder="1" applyAlignment="1">
      <alignment horizontal="center"/>
    </xf>
    <xf numFmtId="0" fontId="3" fillId="3" borderId="12" xfId="4" applyBorder="1" applyAlignment="1">
      <alignment horizontal="center"/>
    </xf>
    <xf numFmtId="0" fontId="3" fillId="3" borderId="8" xfId="4" applyBorder="1" applyAlignment="1">
      <alignment horizontal="center"/>
    </xf>
    <xf numFmtId="0" fontId="8" fillId="36" borderId="0" xfId="0" applyFont="1" applyFill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</cellXfs>
  <cellStyles count="327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12" xfId="326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eworks.ameren.com/460/RiderEEIC/Library/2020%20Nov%20Filing/WRD4%20-%20MEEIA%20Rider%20Calcs%20November%202020%20-%20Sup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eworks.ameren.com/460/RiderEEIC/Library/2020%20Nov%20Filing/WRD3%20-%20MEEIA%20over%20under%20calculations%20Nov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eworks.ameren.com/460/RiderEEIC/Library/2020%20Nov%20Filing/support/09-20%20MEEIA%20over%20under%20calculation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eworks.ameren.com/460/RiderEEIC/Library/2020%20Nov%20Filing/support/10-20%20MEEIA%20over%20under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C.1, PCR.2F, EO.3"/>
      <sheetName val="PPC.2, PCR.1F"/>
      <sheetName val="PPC.3, PCR.2"/>
      <sheetName val="PCR.1 (M3)"/>
      <sheetName val="PCR.3 (M3)"/>
      <sheetName val="PCR.4 (M3)"/>
      <sheetName val="PCR.5 (M3)"/>
      <sheetName val="PCR.1 (M2)"/>
      <sheetName val="PCR.3 (M2)"/>
      <sheetName val="PCR.4 (M2)"/>
      <sheetName val="PCR.5 (M2)"/>
      <sheetName val="PCR.5F"/>
      <sheetName val="PCR.6, TDR.5, EOR.5, OAR.5"/>
      <sheetName val="PTD.1, TDR.1, &amp; TDR.1F"/>
      <sheetName val="TDR.2 (M2)"/>
      <sheetName val="TDR.3 (M2)"/>
      <sheetName val="TDR.4 (M2)"/>
      <sheetName val="TDR.2 (M3)"/>
      <sheetName val="TDR.3 (M3)"/>
      <sheetName val="TDR.4 (M3)"/>
      <sheetName val="TDR.4F"/>
      <sheetName val="EO.1"/>
      <sheetName val="EO.2"/>
      <sheetName val="EO.4"/>
      <sheetName val="EO.5"/>
      <sheetName val="EO.6"/>
      <sheetName val="EOR.1F, EOR.1"/>
      <sheetName val="EOR.2"/>
      <sheetName val="EOR.3"/>
      <sheetName val="EOR.4"/>
      <sheetName val="EOR.4F"/>
      <sheetName val="OAR.1"/>
      <sheetName val="OAR.2"/>
      <sheetName val="OAR.3"/>
      <sheetName val="OAR.3A"/>
      <sheetName val="OAR.4"/>
      <sheetName val="OAR.4F"/>
    </sheetNames>
    <sheetDataSet>
      <sheetData sheetId="0">
        <row r="27">
          <cell r="Q27">
            <v>13068927776.360579</v>
          </cell>
        </row>
        <row r="28">
          <cell r="Q28">
            <v>2940523212.4376469</v>
          </cell>
        </row>
        <row r="29">
          <cell r="Q29">
            <v>6730675980.4505386</v>
          </cell>
        </row>
        <row r="30">
          <cell r="Q30">
            <v>2945037998.1503868</v>
          </cell>
        </row>
        <row r="31">
          <cell r="Q31">
            <v>1262009824.932905</v>
          </cell>
        </row>
      </sheetData>
      <sheetData sheetId="1">
        <row r="21">
          <cell r="F21">
            <v>0</v>
          </cell>
          <cell r="G21">
            <v>32326082.666429989</v>
          </cell>
        </row>
        <row r="22">
          <cell r="F22">
            <v>0</v>
          </cell>
          <cell r="G22">
            <v>41569516.575759277</v>
          </cell>
        </row>
        <row r="23">
          <cell r="F23">
            <v>0</v>
          </cell>
          <cell r="G23">
            <v>9188437.717414882</v>
          </cell>
        </row>
        <row r="24">
          <cell r="F24">
            <v>0</v>
          </cell>
          <cell r="G24">
            <v>241666.66666666663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3194192.1474332311</v>
          </cell>
          <cell r="I28">
            <v>4304365.4215897769</v>
          </cell>
          <cell r="J28">
            <v>2594933.5795117789</v>
          </cell>
        </row>
        <row r="29">
          <cell r="E29">
            <v>0</v>
          </cell>
          <cell r="F29">
            <v>459255.04000001191</v>
          </cell>
          <cell r="G29">
            <v>136413.07</v>
          </cell>
          <cell r="H29">
            <v>5659239.2022299208</v>
          </cell>
          <cell r="I29">
            <v>8799724.9099362176</v>
          </cell>
          <cell r="J29">
            <v>2055184.4441513848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1584494.6755075385</v>
          </cell>
          <cell r="I30">
            <v>857158.0140299683</v>
          </cell>
          <cell r="J30">
            <v>655709.05932933523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70309.5</v>
          </cell>
          <cell r="I31">
            <v>18481</v>
          </cell>
          <cell r="J31">
            <v>16666.666666666668</v>
          </cell>
        </row>
      </sheetData>
      <sheetData sheetId="2">
        <row r="30">
          <cell r="AU30">
            <v>897156231</v>
          </cell>
          <cell r="AV30">
            <v>1208147189</v>
          </cell>
          <cell r="AW30">
            <v>1334184680</v>
          </cell>
          <cell r="AX30">
            <v>1302694951</v>
          </cell>
          <cell r="AY30">
            <v>1123586700</v>
          </cell>
          <cell r="AZ30">
            <v>886578697</v>
          </cell>
          <cell r="BA30">
            <v>790098101</v>
          </cell>
          <cell r="BB30">
            <v>1041013964</v>
          </cell>
          <cell r="BC30">
            <v>1397050553</v>
          </cell>
          <cell r="BD30">
            <v>1310723723</v>
          </cell>
          <cell r="BE30">
            <v>1275164339</v>
          </cell>
          <cell r="BF30">
            <v>800796996</v>
          </cell>
        </row>
        <row r="31">
          <cell r="AU31">
            <v>237145043</v>
          </cell>
          <cell r="AV31">
            <v>278572550</v>
          </cell>
          <cell r="AW31">
            <v>297050898</v>
          </cell>
          <cell r="AX31">
            <v>290934660</v>
          </cell>
          <cell r="AY31">
            <v>265078600</v>
          </cell>
          <cell r="AZ31">
            <v>203506574</v>
          </cell>
          <cell r="BA31">
            <v>184563246</v>
          </cell>
          <cell r="BB31">
            <v>231230759</v>
          </cell>
          <cell r="BC31">
            <v>288425422</v>
          </cell>
          <cell r="BD31">
            <v>281389691</v>
          </cell>
          <cell r="BE31">
            <v>269111017</v>
          </cell>
          <cell r="BF31">
            <v>218212399</v>
          </cell>
        </row>
        <row r="32">
          <cell r="AU32">
            <v>549600433</v>
          </cell>
          <cell r="AV32">
            <v>596432225</v>
          </cell>
          <cell r="AW32">
            <v>616923082</v>
          </cell>
          <cell r="AX32">
            <v>599527620</v>
          </cell>
          <cell r="AY32">
            <v>566693954</v>
          </cell>
          <cell r="AZ32">
            <v>483801855</v>
          </cell>
          <cell r="BA32">
            <v>451939609</v>
          </cell>
          <cell r="BB32">
            <v>534583835</v>
          </cell>
          <cell r="BC32">
            <v>624356693</v>
          </cell>
          <cell r="BD32">
            <v>621885740</v>
          </cell>
          <cell r="BE32">
            <v>619148163</v>
          </cell>
          <cell r="BF32">
            <v>528448107.69999999</v>
          </cell>
        </row>
        <row r="33">
          <cell r="AU33">
            <v>239334214</v>
          </cell>
          <cell r="AV33">
            <v>241025466</v>
          </cell>
          <cell r="AW33">
            <v>247898204</v>
          </cell>
          <cell r="AX33">
            <v>255420215</v>
          </cell>
          <cell r="AY33">
            <v>225135566</v>
          </cell>
          <cell r="AZ33">
            <v>219961316</v>
          </cell>
          <cell r="BA33">
            <v>207074154</v>
          </cell>
          <cell r="BB33">
            <v>241165089</v>
          </cell>
          <cell r="BC33">
            <v>253833450</v>
          </cell>
          <cell r="BD33">
            <v>266058831</v>
          </cell>
          <cell r="BE33">
            <v>266126792</v>
          </cell>
          <cell r="BF33">
            <v>236673642.40000001</v>
          </cell>
        </row>
        <row r="34">
          <cell r="AU34">
            <v>106348532</v>
          </cell>
          <cell r="AV34">
            <v>100067076</v>
          </cell>
          <cell r="AW34">
            <v>105899561</v>
          </cell>
          <cell r="AX34">
            <v>111203176</v>
          </cell>
          <cell r="AY34">
            <v>86704807</v>
          </cell>
          <cell r="AZ34">
            <v>92097434</v>
          </cell>
          <cell r="BA34">
            <v>93506334</v>
          </cell>
          <cell r="BB34">
            <v>92139707</v>
          </cell>
          <cell r="BC34">
            <v>105110654</v>
          </cell>
          <cell r="BD34">
            <v>108265948</v>
          </cell>
          <cell r="BE34">
            <v>109806573</v>
          </cell>
          <cell r="BF34">
            <v>96724322.099999994</v>
          </cell>
        </row>
        <row r="41">
          <cell r="BG41">
            <v>3.1484933428611618E-2</v>
          </cell>
        </row>
      </sheetData>
      <sheetData sheetId="3"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173182</v>
          </cell>
          <cell r="G53">
            <v>0</v>
          </cell>
          <cell r="H53">
            <v>0</v>
          </cell>
          <cell r="I53">
            <v>120000</v>
          </cell>
          <cell r="J53">
            <v>2283620.9400000004</v>
          </cell>
          <cell r="K53">
            <v>1173927.0200000003</v>
          </cell>
          <cell r="L53">
            <v>1824626.01</v>
          </cell>
          <cell r="M53">
            <v>2073546.5699999998</v>
          </cell>
          <cell r="N53">
            <v>2562392.2600000002</v>
          </cell>
          <cell r="O53">
            <v>3911693.53</v>
          </cell>
          <cell r="P53">
            <v>1341245.26</v>
          </cell>
          <cell r="Q53">
            <v>2745753.6899999995</v>
          </cell>
          <cell r="R53">
            <v>5113350.63</v>
          </cell>
          <cell r="S53">
            <v>5712616.25</v>
          </cell>
          <cell r="T53">
            <v>77543.560000000041</v>
          </cell>
          <cell r="U53">
            <v>2293014.0900000003</v>
          </cell>
          <cell r="V53">
            <v>3480839.73</v>
          </cell>
          <cell r="W53">
            <v>1340803.3000000003</v>
          </cell>
          <cell r="X53">
            <v>2046973.2399999998</v>
          </cell>
          <cell r="Y53">
            <v>2691716.73</v>
          </cell>
          <cell r="Z53">
            <v>3243279.2899999991</v>
          </cell>
          <cell r="AA53">
            <v>2855009.42</v>
          </cell>
          <cell r="AB53">
            <v>3964333.8900000015</v>
          </cell>
          <cell r="AC53">
            <v>1940804.41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118003.54</v>
          </cell>
          <cell r="J54">
            <v>325654.18</v>
          </cell>
          <cell r="K54">
            <v>324793.89999999997</v>
          </cell>
          <cell r="L54">
            <v>435080.67</v>
          </cell>
          <cell r="M54">
            <v>864617.95000000007</v>
          </cell>
          <cell r="N54">
            <v>823563.38</v>
          </cell>
          <cell r="O54">
            <v>1198141.9500000002</v>
          </cell>
          <cell r="P54">
            <v>2168634.0599999996</v>
          </cell>
          <cell r="Q54">
            <v>1457645.93</v>
          </cell>
          <cell r="R54">
            <v>2644399.62</v>
          </cell>
          <cell r="S54">
            <v>5773379.71</v>
          </cell>
          <cell r="T54">
            <v>1868023.4500000002</v>
          </cell>
          <cell r="U54">
            <v>676401.27</v>
          </cell>
          <cell r="V54">
            <v>571849.35000000009</v>
          </cell>
          <cell r="W54">
            <v>1291658.1399999999</v>
          </cell>
          <cell r="X54">
            <v>1204980.8700000003</v>
          </cell>
          <cell r="Y54">
            <v>1282682.51</v>
          </cell>
          <cell r="Z54">
            <v>751621.79999999993</v>
          </cell>
          <cell r="AA54">
            <v>1567131.4100000001</v>
          </cell>
          <cell r="AB54">
            <v>1668146.7100000002</v>
          </cell>
          <cell r="AC54">
            <v>2452279.94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12500</v>
          </cell>
          <cell r="J55">
            <v>407849.73</v>
          </cell>
          <cell r="K55">
            <v>169743.63</v>
          </cell>
          <cell r="L55">
            <v>145713.57999999999</v>
          </cell>
          <cell r="M55">
            <v>136424.74</v>
          </cell>
          <cell r="N55">
            <v>113487.89</v>
          </cell>
          <cell r="O55">
            <v>261842.41999999998</v>
          </cell>
          <cell r="P55">
            <v>602635.35000000021</v>
          </cell>
          <cell r="Q55">
            <v>314522.87</v>
          </cell>
          <cell r="R55">
            <v>750260.66000000015</v>
          </cell>
          <cell r="S55">
            <v>2774980.9800000009</v>
          </cell>
          <cell r="T55">
            <v>260906.33000000007</v>
          </cell>
          <cell r="U55">
            <v>242221.71999999988</v>
          </cell>
          <cell r="V55">
            <v>465816.61999999988</v>
          </cell>
          <cell r="W55">
            <v>649726.6399999999</v>
          </cell>
          <cell r="X55">
            <v>223465.31</v>
          </cell>
          <cell r="Y55">
            <v>473624.95999999996</v>
          </cell>
          <cell r="Z55">
            <v>284775.25</v>
          </cell>
          <cell r="AA55">
            <v>645341.55000000005</v>
          </cell>
          <cell r="AB55">
            <v>1244018.73</v>
          </cell>
          <cell r="AC55">
            <v>677493.60000000009</v>
          </cell>
        </row>
        <row r="56">
          <cell r="B56">
            <v>46175.4</v>
          </cell>
          <cell r="C56">
            <v>140064.70000000001</v>
          </cell>
          <cell r="D56">
            <v>66080.400000000023</v>
          </cell>
          <cell r="E56">
            <v>47601.770000000004</v>
          </cell>
          <cell r="F56">
            <v>-2592.2600000000002</v>
          </cell>
          <cell r="G56">
            <v>2394.69</v>
          </cell>
          <cell r="H56">
            <v>121950.46</v>
          </cell>
          <cell r="I56">
            <v>55553.56</v>
          </cell>
          <cell r="J56">
            <v>237390.9</v>
          </cell>
          <cell r="K56">
            <v>-226777.68</v>
          </cell>
          <cell r="L56">
            <v>241390.14</v>
          </cell>
          <cell r="M56">
            <v>15423.059999999998</v>
          </cell>
          <cell r="N56">
            <v>307238.86</v>
          </cell>
          <cell r="O56">
            <v>295766.11000000004</v>
          </cell>
          <cell r="P56">
            <v>552526.09</v>
          </cell>
          <cell r="Q56">
            <v>175843.66</v>
          </cell>
          <cell r="R56">
            <v>-526224.58000000007</v>
          </cell>
          <cell r="S56">
            <v>28431.279999999999</v>
          </cell>
          <cell r="T56">
            <v>93809</v>
          </cell>
          <cell r="U56">
            <v>54998.229999999996</v>
          </cell>
          <cell r="V56">
            <v>149881.44</v>
          </cell>
          <cell r="W56">
            <v>72864.48000000001</v>
          </cell>
          <cell r="X56">
            <v>28617.46</v>
          </cell>
          <cell r="Y56">
            <v>122525.88</v>
          </cell>
          <cell r="Z56">
            <v>57874.9</v>
          </cell>
          <cell r="AA56">
            <v>64575.22</v>
          </cell>
          <cell r="AB56">
            <v>4505.8000000000029</v>
          </cell>
          <cell r="AC56">
            <v>5348.88</v>
          </cell>
        </row>
      </sheetData>
      <sheetData sheetId="4">
        <row r="6">
          <cell r="H6">
            <v>-3184566.3699999996</v>
          </cell>
          <cell r="I6">
            <v>-4285013.4600000009</v>
          </cell>
          <cell r="J6">
            <v>-4732019.1900000004</v>
          </cell>
          <cell r="K6">
            <v>-3962656.08</v>
          </cell>
          <cell r="L6">
            <v>-2713714.5100000002</v>
          </cell>
          <cell r="M6">
            <v>-2142098.6700000004</v>
          </cell>
          <cell r="N6">
            <v>-1914072.4000000001</v>
          </cell>
          <cell r="O6">
            <v>-2533457.85</v>
          </cell>
          <cell r="P6">
            <v>-3403481.3100000005</v>
          </cell>
          <cell r="Q6">
            <v>-3194801.5599999996</v>
          </cell>
          <cell r="R6">
            <v>-2879273.7199999997</v>
          </cell>
          <cell r="S6">
            <v>-1945915.5300000005</v>
          </cell>
        </row>
        <row r="7">
          <cell r="H7">
            <v>-532142.30000000005</v>
          </cell>
          <cell r="I7">
            <v>-625476.50000000012</v>
          </cell>
          <cell r="J7">
            <v>-667032.46</v>
          </cell>
          <cell r="K7">
            <v>-650318.64000000025</v>
          </cell>
          <cell r="L7">
            <v>-589395.70000000007</v>
          </cell>
          <cell r="M7">
            <v>-452489.25000000012</v>
          </cell>
          <cell r="N7">
            <v>-410293.00999999995</v>
          </cell>
          <cell r="O7">
            <v>-515073.51000000007</v>
          </cell>
          <cell r="P7">
            <v>-641353.99000000011</v>
          </cell>
          <cell r="Q7">
            <v>-625207.79</v>
          </cell>
          <cell r="R7">
            <v>-598408.66</v>
          </cell>
          <cell r="S7">
            <v>-485076.41000000003</v>
          </cell>
        </row>
        <row r="8">
          <cell r="H8">
            <v>-1236190.8299999998</v>
          </cell>
          <cell r="I8">
            <v>-1340183.3500000001</v>
          </cell>
          <cell r="J8">
            <v>-1386306.3800000001</v>
          </cell>
          <cell r="K8">
            <v>-1341932.4499999995</v>
          </cell>
          <cell r="L8">
            <v>-1260285.4200000002</v>
          </cell>
          <cell r="M8">
            <v>-1076944.29</v>
          </cell>
          <cell r="N8">
            <v>-1004472.6400000001</v>
          </cell>
          <cell r="O8">
            <v>-1190333.8399999999</v>
          </cell>
          <cell r="P8">
            <v>-1389824.6600000001</v>
          </cell>
          <cell r="Q8">
            <v>-1384740.8900000004</v>
          </cell>
          <cell r="R8">
            <v>-1378224.84</v>
          </cell>
          <cell r="S8">
            <v>-1175985.6699999997</v>
          </cell>
        </row>
        <row r="9">
          <cell r="H9">
            <v>-537784.03</v>
          </cell>
          <cell r="I9">
            <v>-541470.15999999992</v>
          </cell>
          <cell r="J9">
            <v>-557029.80999999994</v>
          </cell>
          <cell r="K9">
            <v>-574111.24000000011</v>
          </cell>
          <cell r="L9">
            <v>-506325.93000000017</v>
          </cell>
          <cell r="M9">
            <v>-494693.01000000007</v>
          </cell>
          <cell r="N9">
            <v>-465711.4599999999</v>
          </cell>
          <cell r="O9">
            <v>-542380.22999999986</v>
          </cell>
          <cell r="P9">
            <v>-570871.37000000011</v>
          </cell>
          <cell r="Q9">
            <v>-598366.41000000015</v>
          </cell>
          <cell r="R9">
            <v>-598519.19000000006</v>
          </cell>
          <cell r="S9">
            <v>-532005.64</v>
          </cell>
        </row>
        <row r="10">
          <cell r="H10">
            <v>-238965.13999999998</v>
          </cell>
          <cell r="I10">
            <v>-224850.72999999998</v>
          </cell>
          <cell r="J10">
            <v>-237956.31</v>
          </cell>
          <cell r="K10">
            <v>-251565.01000000004</v>
          </cell>
          <cell r="L10">
            <v>-189097.33</v>
          </cell>
          <cell r="M10">
            <v>-213113.47</v>
          </cell>
          <cell r="N10">
            <v>-216373.66000000003</v>
          </cell>
          <cell r="O10">
            <v>-116492.81999999998</v>
          </cell>
          <cell r="P10">
            <v>-243226.06999999998</v>
          </cell>
          <cell r="Q10">
            <v>-250527.38000000003</v>
          </cell>
          <cell r="R10">
            <v>-254092.40000000002</v>
          </cell>
          <cell r="S10">
            <v>-223814.44</v>
          </cell>
        </row>
      </sheetData>
      <sheetData sheetId="5">
        <row r="5">
          <cell r="H5">
            <v>-115870.95999999999</v>
          </cell>
          <cell r="I5">
            <v>-159652.35999999999</v>
          </cell>
          <cell r="J5">
            <v>-176358.06</v>
          </cell>
          <cell r="K5">
            <v>-152923.21000000002</v>
          </cell>
          <cell r="L5">
            <v>-104411.42000000001</v>
          </cell>
          <cell r="M5">
            <v>-75414.77</v>
          </cell>
          <cell r="N5">
            <v>-62153.88</v>
          </cell>
          <cell r="O5">
            <v>-70524.600000000006</v>
          </cell>
          <cell r="P5">
            <v>-90726.45</v>
          </cell>
          <cell r="Q5">
            <v>-83821.569999999992</v>
          </cell>
          <cell r="R5">
            <v>-76802.63</v>
          </cell>
          <cell r="S5">
            <v>-57468.17</v>
          </cell>
        </row>
      </sheetData>
      <sheetData sheetId="6">
        <row r="13">
          <cell r="W13">
            <v>4794.22</v>
          </cell>
        </row>
        <row r="14">
          <cell r="W14">
            <v>-6542.98</v>
          </cell>
        </row>
        <row r="15">
          <cell r="W15">
            <v>1848</v>
          </cell>
        </row>
        <row r="16">
          <cell r="W16">
            <v>7048.55</v>
          </cell>
        </row>
        <row r="17">
          <cell r="W17">
            <v>8321.11</v>
          </cell>
        </row>
        <row r="18">
          <cell r="W18">
            <v>4942.3900000000003</v>
          </cell>
        </row>
        <row r="19">
          <cell r="W19">
            <v>734.78</v>
          </cell>
        </row>
        <row r="20">
          <cell r="W20">
            <v>749.55</v>
          </cell>
        </row>
        <row r="21">
          <cell r="W21">
            <v>1464.01</v>
          </cell>
        </row>
        <row r="22">
          <cell r="W22">
            <v>1137.5899999999999</v>
          </cell>
        </row>
        <row r="23">
          <cell r="W23">
            <v>911.11</v>
          </cell>
        </row>
        <row r="24">
          <cell r="W24">
            <v>1351.83</v>
          </cell>
        </row>
      </sheetData>
      <sheetData sheetId="7">
        <row r="34">
          <cell r="AT34">
            <v>-4330.6399999999994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</row>
        <row r="35">
          <cell r="AT35">
            <v>36972.11</v>
          </cell>
          <cell r="AU35">
            <v>155446.64999999997</v>
          </cell>
          <cell r="AV35">
            <v>179485.55</v>
          </cell>
          <cell r="AW35">
            <v>35205.709999999992</v>
          </cell>
          <cell r="AX35">
            <v>202516.13000000006</v>
          </cell>
          <cell r="AY35">
            <v>2374.9200000000019</v>
          </cell>
          <cell r="AZ35">
            <v>5953.75</v>
          </cell>
          <cell r="BA35">
            <v>249425.02999999997</v>
          </cell>
          <cell r="BB35">
            <v>56635.89</v>
          </cell>
          <cell r="BC35">
            <v>700318.2</v>
          </cell>
          <cell r="BD35">
            <v>126526.49999999997</v>
          </cell>
          <cell r="BE35">
            <v>21848.7</v>
          </cell>
        </row>
        <row r="36">
          <cell r="AT36">
            <v>0</v>
          </cell>
          <cell r="AU36">
            <v>0</v>
          </cell>
          <cell r="AV36">
            <v>-96364.57</v>
          </cell>
          <cell r="AW36">
            <v>96364.57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</row>
        <row r="37">
          <cell r="AT37">
            <v>8365</v>
          </cell>
          <cell r="AU37">
            <v>3585</v>
          </cell>
          <cell r="AV37">
            <v>0</v>
          </cell>
          <cell r="AW37">
            <v>8285</v>
          </cell>
          <cell r="AX37">
            <v>7425</v>
          </cell>
          <cell r="AY37">
            <v>-3675</v>
          </cell>
          <cell r="AZ37">
            <v>8302</v>
          </cell>
          <cell r="BA37">
            <v>3935</v>
          </cell>
          <cell r="BB37">
            <v>4165.75</v>
          </cell>
          <cell r="BC37">
            <v>85</v>
          </cell>
          <cell r="BD37">
            <v>0</v>
          </cell>
          <cell r="BE37">
            <v>0</v>
          </cell>
        </row>
      </sheetData>
      <sheetData sheetId="8">
        <row r="6">
          <cell r="AR6">
            <v>530129.47000000009</v>
          </cell>
          <cell r="AS6">
            <v>714004.47999999998</v>
          </cell>
          <cell r="AT6">
            <v>788734.29</v>
          </cell>
          <cell r="AU6">
            <v>359351.67999999993</v>
          </cell>
          <cell r="AV6">
            <v>-131484.91</v>
          </cell>
          <cell r="AW6">
            <v>-107819.94000000002</v>
          </cell>
          <cell r="AX6">
            <v>-96348.87000000001</v>
          </cell>
          <cell r="AY6">
            <v>-127268.51999999997</v>
          </cell>
          <cell r="AZ6">
            <v>-171289.33000000002</v>
          </cell>
          <cell r="BA6">
            <v>-160805.96</v>
          </cell>
          <cell r="BB6">
            <v>-144819.87</v>
          </cell>
          <cell r="BC6">
            <v>-97472.499999999985</v>
          </cell>
        </row>
        <row r="7">
          <cell r="AR7">
            <v>-137492.72</v>
          </cell>
          <cell r="AS7">
            <v>-161408.21000000002</v>
          </cell>
          <cell r="AT7">
            <v>-172107.58000000005</v>
          </cell>
          <cell r="AU7">
            <v>-109647.47000000002</v>
          </cell>
          <cell r="AV7">
            <v>-30414.499999999996</v>
          </cell>
          <cell r="AW7">
            <v>-22739.300000000003</v>
          </cell>
          <cell r="AX7">
            <v>-20650.36</v>
          </cell>
          <cell r="AY7">
            <v>-25825.659999999996</v>
          </cell>
          <cell r="AZ7">
            <v>-32252.670000000002</v>
          </cell>
          <cell r="BA7">
            <v>-32074.479999999992</v>
          </cell>
          <cell r="BB7">
            <v>-30105.510000000006</v>
          </cell>
          <cell r="BC7">
            <v>-24459.14</v>
          </cell>
        </row>
        <row r="8">
          <cell r="AR8">
            <v>-320424.63000000012</v>
          </cell>
          <cell r="AS8">
            <v>-348316.22000000009</v>
          </cell>
          <cell r="AT8">
            <v>-360259.5400000001</v>
          </cell>
          <cell r="AU8">
            <v>-216252.19999999998</v>
          </cell>
          <cell r="AV8">
            <v>-27634.41</v>
          </cell>
          <cell r="AW8">
            <v>-20819.22</v>
          </cell>
          <cell r="AX8">
            <v>-18916.800000000003</v>
          </cell>
          <cell r="AY8">
            <v>-22992.900000000009</v>
          </cell>
          <cell r="AZ8">
            <v>-26846.690000000006</v>
          </cell>
          <cell r="BA8">
            <v>-26211</v>
          </cell>
          <cell r="BB8">
            <v>-26616.13</v>
          </cell>
          <cell r="BC8">
            <v>-22717.040000000005</v>
          </cell>
        </row>
        <row r="9">
          <cell r="AR9">
            <v>-143121.96000000005</v>
          </cell>
          <cell r="AS9">
            <v>-144105.38</v>
          </cell>
          <cell r="AT9">
            <v>-148243.61000000002</v>
          </cell>
          <cell r="AU9">
            <v>-97297.76999999999</v>
          </cell>
          <cell r="AV9">
            <v>280.72999999999996</v>
          </cell>
          <cell r="AW9">
            <v>1319.77</v>
          </cell>
          <cell r="AX9">
            <v>1242.1300000000001</v>
          </cell>
          <cell r="AY9">
            <v>1447.2099999999994</v>
          </cell>
          <cell r="AZ9">
            <v>1522.9499999999998</v>
          </cell>
          <cell r="BA9">
            <v>1596.5600000000002</v>
          </cell>
          <cell r="BB9">
            <v>1596.75</v>
          </cell>
          <cell r="BC9">
            <v>1419.25</v>
          </cell>
        </row>
        <row r="10">
          <cell r="AR10">
            <v>-73061.37999999999</v>
          </cell>
          <cell r="AS10">
            <v>-68746.049999999988</v>
          </cell>
          <cell r="AT10">
            <v>-72752.960000000006</v>
          </cell>
          <cell r="AU10">
            <v>-54453.23000000001</v>
          </cell>
          <cell r="AV10">
            <v>17825.060000000001</v>
          </cell>
          <cell r="AW10">
            <v>16761.77</v>
          </cell>
          <cell r="AX10">
            <v>17018.150000000001</v>
          </cell>
          <cell r="AY10">
            <v>44586.65</v>
          </cell>
          <cell r="AZ10">
            <v>19130.22</v>
          </cell>
          <cell r="BA10">
            <v>19704.37</v>
          </cell>
          <cell r="BB10">
            <v>19984.8</v>
          </cell>
          <cell r="BC10">
            <v>17603.410000000003</v>
          </cell>
        </row>
      </sheetData>
      <sheetData sheetId="9">
        <row r="5">
          <cell r="AG5">
            <v>19314.519999999997</v>
          </cell>
          <cell r="AH5">
            <v>26627.68</v>
          </cell>
          <cell r="AI5">
            <v>29414.23</v>
          </cell>
          <cell r="AJ5">
            <v>14059.880000000001</v>
          </cell>
          <cell r="AK5">
            <v>-5100.9799999999996</v>
          </cell>
          <cell r="AL5">
            <v>-3797.75</v>
          </cell>
          <cell r="AM5">
            <v>-3131.7799999999993</v>
          </cell>
          <cell r="AN5">
            <v>-3541.15</v>
          </cell>
          <cell r="AO5">
            <v>-4569.05</v>
          </cell>
          <cell r="AP5">
            <v>-4228.7</v>
          </cell>
          <cell r="AQ5">
            <v>-3858.94</v>
          </cell>
          <cell r="AR5">
            <v>-2893.48</v>
          </cell>
        </row>
      </sheetData>
      <sheetData sheetId="10">
        <row r="53">
          <cell r="W53">
            <v>-767.77</v>
          </cell>
        </row>
        <row r="54">
          <cell r="W54">
            <v>-1051.07</v>
          </cell>
        </row>
        <row r="55">
          <cell r="W55">
            <v>-1224.92</v>
          </cell>
        </row>
        <row r="56">
          <cell r="W56">
            <v>-1203.73</v>
          </cell>
        </row>
        <row r="57">
          <cell r="W57">
            <v>-1322.97</v>
          </cell>
        </row>
        <row r="58">
          <cell r="W58">
            <v>-553.16999999999996</v>
          </cell>
        </row>
        <row r="59">
          <cell r="W59">
            <v>-65.02</v>
          </cell>
        </row>
        <row r="60">
          <cell r="W60">
            <v>-76.2</v>
          </cell>
        </row>
        <row r="61">
          <cell r="W61">
            <v>-93.44</v>
          </cell>
        </row>
        <row r="62">
          <cell r="W62">
            <v>-123.12</v>
          </cell>
        </row>
        <row r="63">
          <cell r="W63">
            <v>-106.2</v>
          </cell>
        </row>
        <row r="64">
          <cell r="W64">
            <v>-154.12</v>
          </cell>
        </row>
      </sheetData>
      <sheetData sheetId="11"/>
      <sheetData sheetId="12"/>
      <sheetData sheetId="13"/>
      <sheetData sheetId="14">
        <row r="7">
          <cell r="AR7">
            <v>-960017.17000000016</v>
          </cell>
          <cell r="AS7">
            <v>-1291710.2399999998</v>
          </cell>
          <cell r="AT7">
            <v>-1426440.21</v>
          </cell>
          <cell r="AU7">
            <v>-836821.82000000007</v>
          </cell>
          <cell r="AV7">
            <v>-123502.59999999999</v>
          </cell>
          <cell r="AW7">
            <v>-92675.74</v>
          </cell>
          <cell r="AX7">
            <v>-82719.98000000001</v>
          </cell>
          <cell r="AY7">
            <v>-109517.12</v>
          </cell>
          <cell r="AZ7">
            <v>-147043.66000000003</v>
          </cell>
          <cell r="BA7">
            <v>-137831</v>
          </cell>
          <cell r="BB7">
            <v>-124319.87000000002</v>
          </cell>
          <cell r="BC7">
            <v>-84008.529999999984</v>
          </cell>
        </row>
        <row r="8">
          <cell r="AR8">
            <v>-545178.31000000006</v>
          </cell>
          <cell r="AS8">
            <v>-640578.34</v>
          </cell>
          <cell r="AT8">
            <v>-683111.7200000002</v>
          </cell>
          <cell r="AU8">
            <v>-419075.86999999994</v>
          </cell>
          <cell r="AV8">
            <v>-88037.890000000014</v>
          </cell>
          <cell r="AW8">
            <v>-65160.170000000013</v>
          </cell>
          <cell r="AX8">
            <v>-59309.859999999993</v>
          </cell>
          <cell r="AY8">
            <v>-74165.440000000017</v>
          </cell>
          <cell r="AZ8">
            <v>-92442.400000000009</v>
          </cell>
          <cell r="BA8">
            <v>-90973.54</v>
          </cell>
          <cell r="BB8">
            <v>-86398.800000000047</v>
          </cell>
          <cell r="BC8">
            <v>-70150.48000000001</v>
          </cell>
        </row>
        <row r="9">
          <cell r="AR9">
            <v>-990572.77999999991</v>
          </cell>
          <cell r="AS9">
            <v>-1074771.6100000001</v>
          </cell>
          <cell r="AT9">
            <v>-1111703.5</v>
          </cell>
          <cell r="AU9">
            <v>-772025.25999999966</v>
          </cell>
          <cell r="AV9">
            <v>-319798.53000000003</v>
          </cell>
          <cell r="AW9">
            <v>-269033.2</v>
          </cell>
          <cell r="AX9">
            <v>-249777.14000000004</v>
          </cell>
          <cell r="AY9">
            <v>-297315.92999999988</v>
          </cell>
          <cell r="AZ9">
            <v>-347144.50999999989</v>
          </cell>
          <cell r="BA9">
            <v>-345440.08999999991</v>
          </cell>
          <cell r="BB9">
            <v>-344230.10999999993</v>
          </cell>
          <cell r="BC9">
            <v>-293731.97000000003</v>
          </cell>
        </row>
        <row r="10">
          <cell r="AR10">
            <v>-357086.62000000005</v>
          </cell>
          <cell r="AS10">
            <v>-359534.38999999996</v>
          </cell>
          <cell r="AT10">
            <v>-369865.83</v>
          </cell>
          <cell r="AU10">
            <v>-293791.12000000011</v>
          </cell>
          <cell r="AV10">
            <v>-123483.39000000001</v>
          </cell>
          <cell r="AW10">
            <v>-118999.09</v>
          </cell>
          <cell r="AX10">
            <v>-112027.34</v>
          </cell>
          <cell r="AY10">
            <v>-130470.39999999999</v>
          </cell>
          <cell r="AZ10">
            <v>-137323.88</v>
          </cell>
          <cell r="BA10">
            <v>-143937.83000000002</v>
          </cell>
          <cell r="BB10">
            <v>-143974.57</v>
          </cell>
          <cell r="BC10">
            <v>-127974.64999999998</v>
          </cell>
        </row>
        <row r="11">
          <cell r="AR11">
            <v>-68913.849999999991</v>
          </cell>
          <cell r="AS11">
            <v>-64843.479999999981</v>
          </cell>
          <cell r="AT11">
            <v>-68622.930000000008</v>
          </cell>
          <cell r="AU11">
            <v>-67842.5</v>
          </cell>
          <cell r="AV11">
            <v>-38688.329999999994</v>
          </cell>
          <cell r="AW11">
            <v>-44298.869999999988</v>
          </cell>
          <cell r="AX11">
            <v>-44976.560000000012</v>
          </cell>
          <cell r="AY11">
            <v>-11431.369999999999</v>
          </cell>
          <cell r="AZ11">
            <v>-50558.239999999998</v>
          </cell>
          <cell r="BA11">
            <v>-52075.91</v>
          </cell>
          <cell r="BB11">
            <v>-52816.959999999999</v>
          </cell>
          <cell r="BC11">
            <v>-46523.240000000005</v>
          </cell>
        </row>
      </sheetData>
      <sheetData sheetId="15">
        <row r="5">
          <cell r="AG5">
            <v>-34917.82</v>
          </cell>
          <cell r="AH5">
            <v>-48130.950000000004</v>
          </cell>
          <cell r="AI5">
            <v>-53162.189999999995</v>
          </cell>
          <cell r="AJ5">
            <v>-32508.630000000005</v>
          </cell>
          <cell r="AK5">
            <v>-4700.05</v>
          </cell>
          <cell r="AL5">
            <v>-3259.1800000000003</v>
          </cell>
          <cell r="AM5">
            <v>-2682.7599999999998</v>
          </cell>
          <cell r="AN5">
            <v>-3058.82</v>
          </cell>
          <cell r="AO5">
            <v>-3921.83</v>
          </cell>
          <cell r="AP5">
            <v>-3613.12</v>
          </cell>
          <cell r="AQ5">
            <v>-3328.0600000000004</v>
          </cell>
          <cell r="AR5">
            <v>-2482.1</v>
          </cell>
        </row>
      </sheetData>
      <sheetData sheetId="16">
        <row r="52">
          <cell r="W52">
            <v>-4311.46</v>
          </cell>
        </row>
        <row r="53">
          <cell r="W53">
            <v>-2634.36</v>
          </cell>
        </row>
        <row r="54">
          <cell r="W54">
            <v>-571.99</v>
          </cell>
        </row>
        <row r="55">
          <cell r="W55">
            <v>2717.53</v>
          </cell>
        </row>
        <row r="56">
          <cell r="W56">
            <v>887.86</v>
          </cell>
        </row>
        <row r="57">
          <cell r="W57">
            <v>901.63</v>
          </cell>
        </row>
        <row r="58">
          <cell r="W58">
            <v>183.12</v>
          </cell>
        </row>
        <row r="59">
          <cell r="W59">
            <v>242.2</v>
          </cell>
        </row>
        <row r="60">
          <cell r="W60">
            <v>494.7</v>
          </cell>
        </row>
        <row r="61">
          <cell r="W61">
            <v>432.38</v>
          </cell>
        </row>
        <row r="62">
          <cell r="W62">
            <v>466.39</v>
          </cell>
        </row>
        <row r="63">
          <cell r="W63">
            <v>854.31</v>
          </cell>
        </row>
      </sheetData>
      <sheetData sheetId="17">
        <row r="6">
          <cell r="H6">
            <v>-308922.04000000004</v>
          </cell>
          <cell r="I6">
            <v>-415727.27</v>
          </cell>
          <cell r="J6">
            <v>-459121.81</v>
          </cell>
          <cell r="K6">
            <v>-465524.23000000004</v>
          </cell>
          <cell r="L6">
            <v>-420640.45999999996</v>
          </cell>
          <cell r="M6">
            <v>-333131.02</v>
          </cell>
          <cell r="N6">
            <v>-297680.28000000003</v>
          </cell>
          <cell r="O6">
            <v>-393958.54999999993</v>
          </cell>
          <cell r="P6">
            <v>-529326.34</v>
          </cell>
          <cell r="Q6">
            <v>-496875.44000000006</v>
          </cell>
          <cell r="R6">
            <v>-447785.36000000004</v>
          </cell>
          <cell r="S6">
            <v>-302563.73</v>
          </cell>
        </row>
        <row r="7">
          <cell r="H7">
            <v>-56628.270000000019</v>
          </cell>
          <cell r="I7">
            <v>-66553.34</v>
          </cell>
          <cell r="J7">
            <v>-70974.640000000029</v>
          </cell>
          <cell r="K7">
            <v>-74514.040000000008</v>
          </cell>
          <cell r="L7">
            <v>-73821.709999999977</v>
          </cell>
          <cell r="M7">
            <v>-56719.110000000008</v>
          </cell>
          <cell r="N7">
            <v>-51424.729999999989</v>
          </cell>
          <cell r="O7">
            <v>-64574.180000000022</v>
          </cell>
          <cell r="P7">
            <v>-80406.710000000021</v>
          </cell>
          <cell r="Q7">
            <v>-78372.460000000021</v>
          </cell>
          <cell r="R7">
            <v>-75020.860000000015</v>
          </cell>
          <cell r="S7">
            <v>-60809.53</v>
          </cell>
        </row>
        <row r="8">
          <cell r="H8">
            <v>-99578.229999999981</v>
          </cell>
          <cell r="I8">
            <v>-107954.60999999999</v>
          </cell>
          <cell r="J8">
            <v>-111669.28</v>
          </cell>
          <cell r="K8">
            <v>-108510.19999999998</v>
          </cell>
          <cell r="L8">
            <v>-102469.35000000002</v>
          </cell>
          <cell r="M8">
            <v>-87569.04</v>
          </cell>
          <cell r="N8">
            <v>-81676.990000000005</v>
          </cell>
          <cell r="O8">
            <v>-96788.800000000003</v>
          </cell>
          <cell r="P8">
            <v>-113009.34999999999</v>
          </cell>
          <cell r="Q8">
            <v>-112596.33999999998</v>
          </cell>
          <cell r="R8">
            <v>-112065.74</v>
          </cell>
          <cell r="S8">
            <v>-95621.750000000015</v>
          </cell>
        </row>
        <row r="9">
          <cell r="H9">
            <v>-42840.76999999999</v>
          </cell>
          <cell r="I9">
            <v>-43135.039999999994</v>
          </cell>
          <cell r="J9">
            <v>-44374.039999999994</v>
          </cell>
          <cell r="K9">
            <v>-45259.54</v>
          </cell>
          <cell r="L9">
            <v>-39182.19</v>
          </cell>
          <cell r="M9">
            <v>-38273.289999999994</v>
          </cell>
          <cell r="N9">
            <v>-36030.869999999995</v>
          </cell>
          <cell r="O9">
            <v>-41962.670000000006</v>
          </cell>
          <cell r="P9">
            <v>-44167.05000000001</v>
          </cell>
          <cell r="Q9">
            <v>-46294.410000000018</v>
          </cell>
          <cell r="R9">
            <v>-46306.19</v>
          </cell>
          <cell r="S9">
            <v>-41160.139999999992</v>
          </cell>
        </row>
        <row r="10">
          <cell r="H10">
            <v>-6912.6799999999994</v>
          </cell>
          <cell r="I10">
            <v>-6504.34</v>
          </cell>
          <cell r="J10">
            <v>-6883.48</v>
          </cell>
          <cell r="K10">
            <v>-11571.119999999999</v>
          </cell>
          <cell r="L10">
            <v>-19931.79</v>
          </cell>
          <cell r="M10">
            <v>-21827.09</v>
          </cell>
          <cell r="N10">
            <v>-22161.010000000002</v>
          </cell>
          <cell r="O10">
            <v>-17306.599999999999</v>
          </cell>
          <cell r="P10">
            <v>-24911.24</v>
          </cell>
          <cell r="Q10">
            <v>-25659.019999999997</v>
          </cell>
          <cell r="R10">
            <v>-26024.15</v>
          </cell>
          <cell r="S10">
            <v>-22923.1</v>
          </cell>
        </row>
      </sheetData>
      <sheetData sheetId="18">
        <row r="5">
          <cell r="H5">
            <v>-11242.279999999999</v>
          </cell>
          <cell r="I5">
            <v>-15494.33</v>
          </cell>
          <cell r="J5">
            <v>-17112.689999999999</v>
          </cell>
          <cell r="K5">
            <v>-17916.879999999997</v>
          </cell>
          <cell r="L5">
            <v>-16196.53</v>
          </cell>
          <cell r="M5">
            <v>-11729.169999999998</v>
          </cell>
          <cell r="N5">
            <v>-9666.880000000001</v>
          </cell>
          <cell r="O5">
            <v>-10964.7</v>
          </cell>
          <cell r="P5">
            <v>-14109.349999999999</v>
          </cell>
          <cell r="Q5">
            <v>-13038.06</v>
          </cell>
          <cell r="R5">
            <v>-11941.109999999999</v>
          </cell>
          <cell r="S5">
            <v>-8935.6699999999983</v>
          </cell>
        </row>
      </sheetData>
      <sheetData sheetId="19">
        <row r="15">
          <cell r="W15">
            <v>1258.5899999999999</v>
          </cell>
        </row>
        <row r="16">
          <cell r="W16">
            <v>1443.88</v>
          </cell>
        </row>
        <row r="17">
          <cell r="W17">
            <v>1163.1300000000001</v>
          </cell>
        </row>
        <row r="18">
          <cell r="W18">
            <v>1083.47</v>
          </cell>
        </row>
        <row r="19">
          <cell r="W19">
            <v>1000.15</v>
          </cell>
        </row>
        <row r="20">
          <cell r="W20">
            <v>634.92999999999995</v>
          </cell>
        </row>
        <row r="21">
          <cell r="W21">
            <v>90.31</v>
          </cell>
        </row>
        <row r="22">
          <cell r="W22">
            <v>33.79</v>
          </cell>
        </row>
        <row r="23">
          <cell r="W23">
            <v>-70.48</v>
          </cell>
        </row>
        <row r="25">
          <cell r="W25">
            <v>-163.1</v>
          </cell>
        </row>
        <row r="27">
          <cell r="W27">
            <v>-233.22</v>
          </cell>
        </row>
        <row r="28">
          <cell r="W28">
            <v>-424.84</v>
          </cell>
        </row>
      </sheetData>
      <sheetData sheetId="20"/>
      <sheetData sheetId="21"/>
      <sheetData sheetId="22">
        <row r="5">
          <cell r="E5">
            <v>37247557295</v>
          </cell>
        </row>
        <row r="6">
          <cell r="E6">
            <v>9498245542</v>
          </cell>
        </row>
        <row r="7">
          <cell r="E7">
            <v>22108342220</v>
          </cell>
        </row>
        <row r="8">
          <cell r="E8">
            <v>9762768324</v>
          </cell>
        </row>
        <row r="9">
          <cell r="E9">
            <v>4872838602</v>
          </cell>
        </row>
      </sheetData>
      <sheetData sheetId="23">
        <row r="20">
          <cell r="C20">
            <v>-695012.00293284049</v>
          </cell>
        </row>
      </sheetData>
      <sheetData sheetId="24">
        <row r="35">
          <cell r="H35">
            <v>6239380.6751372898</v>
          </cell>
        </row>
      </sheetData>
      <sheetData sheetId="25">
        <row r="5">
          <cell r="B5">
            <v>10719041762</v>
          </cell>
        </row>
        <row r="6">
          <cell r="B6">
            <v>2679938476</v>
          </cell>
        </row>
        <row r="7">
          <cell r="B7">
            <v>6079978889</v>
          </cell>
        </row>
        <row r="8">
          <cell r="B8">
            <v>2537760990</v>
          </cell>
        </row>
        <row r="9">
          <cell r="B9">
            <v>1107693032</v>
          </cell>
        </row>
      </sheetData>
      <sheetData sheetId="26">
        <row r="15">
          <cell r="L15">
            <v>845412.99464061391</v>
          </cell>
        </row>
        <row r="16">
          <cell r="L16">
            <v>215583.00169584531</v>
          </cell>
        </row>
        <row r="17">
          <cell r="L17">
            <v>501796.12195022247</v>
          </cell>
        </row>
        <row r="18">
          <cell r="L18">
            <v>221586.9121136516</v>
          </cell>
        </row>
        <row r="19">
          <cell r="L19">
            <v>110599.49629153802</v>
          </cell>
        </row>
        <row r="38">
          <cell r="L38">
            <v>212904.59692268647</v>
          </cell>
        </row>
        <row r="39">
          <cell r="L39">
            <v>21961.342334895973</v>
          </cell>
        </row>
        <row r="40">
          <cell r="L40">
            <v>92828.194911367013</v>
          </cell>
        </row>
        <row r="41">
          <cell r="L41">
            <v>41338.99733627477</v>
          </cell>
        </row>
        <row r="42">
          <cell r="L42">
            <v>28420.560668688908</v>
          </cell>
        </row>
      </sheetData>
      <sheetData sheetId="27">
        <row r="5">
          <cell r="AJ5">
            <v>-33714.800000000003</v>
          </cell>
          <cell r="AK5">
            <v>-45380.49</v>
          </cell>
          <cell r="AL5">
            <v>-50128.14</v>
          </cell>
          <cell r="AM5">
            <v>-482455.38</v>
          </cell>
          <cell r="AN5">
            <v>-884127.07999999984</v>
          </cell>
          <cell r="AO5">
            <v>-703811.8600000001</v>
          </cell>
          <cell r="AP5">
            <v>-628930.02</v>
          </cell>
          <cell r="AQ5">
            <v>-832425.5199999999</v>
          </cell>
          <cell r="AR5">
            <v>-1118485.1099999999</v>
          </cell>
          <cell r="AS5">
            <v>-1049926.19</v>
          </cell>
          <cell r="AT5">
            <v>-946233.76</v>
          </cell>
          <cell r="AU5">
            <v>-639319.73999999987</v>
          </cell>
        </row>
        <row r="6">
          <cell r="AJ6">
            <v>-13013.760000000002</v>
          </cell>
          <cell r="AK6">
            <v>-15283.54</v>
          </cell>
          <cell r="AL6">
            <v>-16296.619999999997</v>
          </cell>
          <cell r="AM6">
            <v>-110765.48</v>
          </cell>
          <cell r="AN6">
            <v>-212349.59</v>
          </cell>
          <cell r="AO6">
            <v>-163909.72</v>
          </cell>
          <cell r="AP6">
            <v>-148552.98000000001</v>
          </cell>
          <cell r="AQ6">
            <v>-186584.49999999997</v>
          </cell>
          <cell r="AR6">
            <v>-232347.63</v>
          </cell>
          <cell r="AS6">
            <v>-226339.22</v>
          </cell>
          <cell r="AT6">
            <v>-216722.26000000007</v>
          </cell>
          <cell r="AU6">
            <v>-175659.7</v>
          </cell>
        </row>
        <row r="7">
          <cell r="AJ7">
            <v>-61482.37999999999</v>
          </cell>
          <cell r="AK7">
            <v>-66800.56</v>
          </cell>
          <cell r="AL7">
            <v>-69092.259999999995</v>
          </cell>
          <cell r="AM7">
            <v>-245551.36999999997</v>
          </cell>
          <cell r="AN7">
            <v>-469250.83000000007</v>
          </cell>
          <cell r="AO7">
            <v>-402985.79000000004</v>
          </cell>
          <cell r="AP7">
            <v>-376543.58999999997</v>
          </cell>
          <cell r="AQ7">
            <v>-445439.24999999994</v>
          </cell>
          <cell r="AR7">
            <v>-520091.54999999993</v>
          </cell>
          <cell r="AS7">
            <v>-518246.07</v>
          </cell>
          <cell r="AT7">
            <v>-515760.15000000008</v>
          </cell>
          <cell r="AU7">
            <v>-440069.8499999998</v>
          </cell>
        </row>
        <row r="8">
          <cell r="AJ8">
            <v>-22497.26</v>
          </cell>
          <cell r="AK8">
            <v>-22651.670000000002</v>
          </cell>
          <cell r="AL8">
            <v>-23302.520000000004</v>
          </cell>
          <cell r="AM8">
            <v>-94504.6</v>
          </cell>
          <cell r="AN8">
            <v>-192705.58999999997</v>
          </cell>
          <cell r="AO8">
            <v>-189606.68999999997</v>
          </cell>
          <cell r="AP8">
            <v>-178498.29999999996</v>
          </cell>
          <cell r="AQ8">
            <v>-207884.41</v>
          </cell>
          <cell r="AR8">
            <v>-218804.46999999994</v>
          </cell>
          <cell r="AS8">
            <v>-229342.58000000002</v>
          </cell>
          <cell r="AT8">
            <v>-229401.22</v>
          </cell>
          <cell r="AU8">
            <v>-203907.71999999994</v>
          </cell>
        </row>
        <row r="9">
          <cell r="AJ9">
            <v>-19674.5</v>
          </cell>
          <cell r="AK9">
            <v>-18512.41</v>
          </cell>
          <cell r="AL9">
            <v>-19591.43</v>
          </cell>
          <cell r="AM9">
            <v>-41025.460000000006</v>
          </cell>
          <cell r="AN9">
            <v>-83980.36</v>
          </cell>
          <cell r="AO9">
            <v>-91636.939999999988</v>
          </cell>
          <cell r="AP9">
            <v>-93038.790000000008</v>
          </cell>
          <cell r="AQ9">
            <v>-73551.31</v>
          </cell>
          <cell r="AR9">
            <v>-104585.12999999999</v>
          </cell>
          <cell r="AS9">
            <v>-107724.62000000002</v>
          </cell>
          <cell r="AT9">
            <v>-109257.54000000001</v>
          </cell>
          <cell r="AU9">
            <v>-96238.28</v>
          </cell>
        </row>
      </sheetData>
      <sheetData sheetId="28">
        <row r="5">
          <cell r="AG5">
            <v>-1224.55</v>
          </cell>
          <cell r="AH5">
            <v>-1691.72</v>
          </cell>
          <cell r="AI5">
            <v>-1868.8899999999999</v>
          </cell>
          <cell r="AJ5">
            <v>-18358.559999999998</v>
          </cell>
          <cell r="AK5">
            <v>-34080.03</v>
          </cell>
          <cell r="AL5">
            <v>-24782.240000000002</v>
          </cell>
          <cell r="AM5">
            <v>-20429.210000000003</v>
          </cell>
          <cell r="AN5">
            <v>-23158.6</v>
          </cell>
          <cell r="AO5">
            <v>-29813.57</v>
          </cell>
          <cell r="AP5">
            <v>-27554.450000000004</v>
          </cell>
          <cell r="AQ5">
            <v>-25225.43</v>
          </cell>
          <cell r="AR5">
            <v>-18882.45</v>
          </cell>
        </row>
      </sheetData>
      <sheetData sheetId="29">
        <row r="39">
          <cell r="W39">
            <v>271.38</v>
          </cell>
        </row>
        <row r="40">
          <cell r="W40">
            <v>-78.56</v>
          </cell>
        </row>
        <row r="41">
          <cell r="W41">
            <v>-422.44</v>
          </cell>
        </row>
        <row r="42">
          <cell r="W42">
            <v>-1787.72</v>
          </cell>
        </row>
        <row r="43">
          <cell r="W43">
            <v>-1957.52</v>
          </cell>
        </row>
        <row r="44">
          <cell r="W44">
            <v>-1242.51</v>
          </cell>
        </row>
        <row r="45">
          <cell r="W45">
            <v>-221.5</v>
          </cell>
        </row>
        <row r="46">
          <cell r="W46">
            <v>-231.24</v>
          </cell>
        </row>
        <row r="47">
          <cell r="W47">
            <v>-308.19</v>
          </cell>
        </row>
        <row r="48">
          <cell r="W48">
            <v>-190.46</v>
          </cell>
        </row>
        <row r="49">
          <cell r="W49">
            <v>-160.18</v>
          </cell>
        </row>
        <row r="50">
          <cell r="W50">
            <v>-315.18</v>
          </cell>
        </row>
      </sheetData>
      <sheetData sheetId="30"/>
      <sheetData sheetId="31"/>
      <sheetData sheetId="32">
        <row r="5">
          <cell r="X5">
            <v>-3029.3100000000004</v>
          </cell>
          <cell r="Y5">
            <v>-4729.0800000000008</v>
          </cell>
          <cell r="Z5">
            <v>-5470.0400000000009</v>
          </cell>
          <cell r="AA5">
            <v>-2387.6999999999998</v>
          </cell>
          <cell r="AB5">
            <v>-1.3800000000000006</v>
          </cell>
          <cell r="AC5">
            <v>0.25</v>
          </cell>
          <cell r="AD5">
            <v>-0.73000000000000009</v>
          </cell>
          <cell r="AE5">
            <v>0.94000000000000006</v>
          </cell>
          <cell r="AF5">
            <v>0.25</v>
          </cell>
          <cell r="AG5">
            <v>0.24000000000000005</v>
          </cell>
          <cell r="AH5">
            <v>0.6</v>
          </cell>
          <cell r="AI5">
            <v>-0.12</v>
          </cell>
        </row>
        <row r="6">
          <cell r="X6">
            <v>379.28999999999996</v>
          </cell>
          <cell r="Y6">
            <v>467.06</v>
          </cell>
          <cell r="Z6">
            <v>505.68</v>
          </cell>
          <cell r="AA6">
            <v>242.6</v>
          </cell>
          <cell r="AB6">
            <v>0.33000000000000007</v>
          </cell>
          <cell r="AC6">
            <v>-0.15</v>
          </cell>
          <cell r="AD6">
            <v>0.1</v>
          </cell>
          <cell r="AE6">
            <v>-0.13</v>
          </cell>
          <cell r="AF6">
            <v>-0.12000000000000001</v>
          </cell>
          <cell r="AG6">
            <v>0.87000000000000011</v>
          </cell>
          <cell r="AH6">
            <v>0.04</v>
          </cell>
          <cell r="AI6">
            <v>0.13</v>
          </cell>
        </row>
        <row r="7">
          <cell r="X7">
            <v>1099.1000000000001</v>
          </cell>
          <cell r="Y7">
            <v>1193.1599999999999</v>
          </cell>
          <cell r="Z7">
            <v>1234.1800000000003</v>
          </cell>
          <cell r="AA7">
            <v>701.55</v>
          </cell>
          <cell r="AB7">
            <v>6.88</v>
          </cell>
          <cell r="AC7">
            <v>6.0000000000000005E-2</v>
          </cell>
          <cell r="AD7">
            <v>-1.79</v>
          </cell>
          <cell r="AE7"/>
          <cell r="AF7"/>
          <cell r="AG7">
            <v>-0.71</v>
          </cell>
          <cell r="AH7">
            <v>-0.02</v>
          </cell>
          <cell r="AI7"/>
        </row>
        <row r="8">
          <cell r="X8">
            <v>478.55</v>
          </cell>
          <cell r="Y8">
            <v>503.99</v>
          </cell>
          <cell r="Z8">
            <v>495.69999999999993</v>
          </cell>
          <cell r="AA8">
            <v>326.78000000000003</v>
          </cell>
          <cell r="AB8">
            <v>3.4499999999999988</v>
          </cell>
          <cell r="AC8"/>
          <cell r="AD8"/>
          <cell r="AE8"/>
          <cell r="AF8"/>
          <cell r="AG8"/>
          <cell r="AH8"/>
          <cell r="AI8"/>
        </row>
        <row r="9">
          <cell r="X9">
            <v>212.69000000000003</v>
          </cell>
          <cell r="Y9">
            <v>200.12</v>
          </cell>
          <cell r="Z9">
            <v>211.79999999999998</v>
          </cell>
          <cell r="AA9">
            <v>171.77999999999997</v>
          </cell>
          <cell r="AB9">
            <v>-6.84</v>
          </cell>
          <cell r="AC9"/>
          <cell r="AD9"/>
          <cell r="AE9">
            <v>-86.38</v>
          </cell>
          <cell r="AF9"/>
          <cell r="AG9"/>
          <cell r="AH9"/>
          <cell r="AI9"/>
        </row>
      </sheetData>
      <sheetData sheetId="33">
        <row r="5">
          <cell r="U5">
            <v>-131.49</v>
          </cell>
          <cell r="V5">
            <v>-197.09000000000003</v>
          </cell>
          <cell r="W5">
            <v>-220.99</v>
          </cell>
          <cell r="X5">
            <v>-106.7</v>
          </cell>
          <cell r="Y5">
            <v>-6.0000000000000005E-2</v>
          </cell>
          <cell r="Z5">
            <v>-0.01</v>
          </cell>
          <cell r="AA5">
            <v>0.02</v>
          </cell>
          <cell r="AB5">
            <v>-0.04</v>
          </cell>
          <cell r="AC5">
            <v>4.0000000000000008E-2</v>
          </cell>
          <cell r="AD5">
            <v>0.03</v>
          </cell>
          <cell r="AE5">
            <v>-7.0000000000000007E-2</v>
          </cell>
        </row>
      </sheetData>
      <sheetData sheetId="34"/>
      <sheetData sheetId="35">
        <row r="29">
          <cell r="W29">
            <v>-12.76</v>
          </cell>
        </row>
        <row r="30">
          <cell r="W30">
            <v>-9.7100000000000009</v>
          </cell>
        </row>
        <row r="31">
          <cell r="W31">
            <v>-4.83</v>
          </cell>
        </row>
        <row r="32">
          <cell r="W32">
            <v>-3.2</v>
          </cell>
        </row>
        <row r="33">
          <cell r="W33">
            <v>-3.36</v>
          </cell>
        </row>
        <row r="34">
          <cell r="W34">
            <v>-1.67</v>
          </cell>
        </row>
        <row r="35">
          <cell r="W35">
            <v>-0.23</v>
          </cell>
        </row>
        <row r="36">
          <cell r="W36">
            <v>-0.21</v>
          </cell>
        </row>
        <row r="37">
          <cell r="W37">
            <v>-0.33</v>
          </cell>
        </row>
        <row r="38">
          <cell r="W38">
            <v>-0.23</v>
          </cell>
        </row>
        <row r="39">
          <cell r="W39">
            <v>-0.21</v>
          </cell>
        </row>
        <row r="40">
          <cell r="W40">
            <v>-0.34</v>
          </cell>
        </row>
      </sheetData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IA 3 calcs"/>
      <sheetName val="MEEIA 3 adjs"/>
      <sheetName val="M3 Allocations - TD"/>
      <sheetName val="M3 TD amort"/>
      <sheetName val="MEEIA 2 calcs"/>
      <sheetName val="M2 Allocations - TD"/>
      <sheetName val="MEEIA 2 adjs"/>
      <sheetName val="M2 TD amort"/>
    </sheetNames>
    <sheetDataSet>
      <sheetData sheetId="0">
        <row r="10">
          <cell r="Z10">
            <v>-325.89</v>
          </cell>
          <cell r="AA10">
            <v>1104.7</v>
          </cell>
          <cell r="AB10">
            <v>906.88</v>
          </cell>
        </row>
        <row r="21">
          <cell r="Z21">
            <v>513.45000000000005</v>
          </cell>
          <cell r="AA21">
            <v>600.91</v>
          </cell>
          <cell r="AB21">
            <v>693.08</v>
          </cell>
        </row>
        <row r="27">
          <cell r="N27">
            <v>274809.55657286098</v>
          </cell>
          <cell r="O27">
            <v>467843.25553902646</v>
          </cell>
          <cell r="P27">
            <v>544296.07292371744</v>
          </cell>
          <cell r="Q27">
            <v>676189.22029010952</v>
          </cell>
          <cell r="R27">
            <v>463090.51540533279</v>
          </cell>
          <cell r="S27">
            <v>212999.83668866704</v>
          </cell>
          <cell r="T27">
            <v>239315.41925638349</v>
          </cell>
          <cell r="U27">
            <v>745964.63979628112</v>
          </cell>
          <cell r="V27">
            <v>1021961.1417325244</v>
          </cell>
          <cell r="W27">
            <v>1221140.287913003</v>
          </cell>
          <cell r="X27">
            <v>1038934.5439936385</v>
          </cell>
          <cell r="Y27">
            <v>456853.18990942289</v>
          </cell>
        </row>
        <row r="37">
          <cell r="N37">
            <v>64700.998849587129</v>
          </cell>
          <cell r="O37">
            <v>81956.189294724609</v>
          </cell>
          <cell r="P37">
            <v>113990.99327753842</v>
          </cell>
          <cell r="Q37">
            <v>88043.147483850829</v>
          </cell>
          <cell r="R37">
            <v>103641.60510926238</v>
          </cell>
          <cell r="S37">
            <v>44495.668454394727</v>
          </cell>
          <cell r="T37">
            <v>72447.479306892477</v>
          </cell>
          <cell r="U37">
            <v>100242.14080653639</v>
          </cell>
          <cell r="V37">
            <v>144814.88878280437</v>
          </cell>
          <cell r="W37">
            <v>113846.66455304027</v>
          </cell>
          <cell r="X37">
            <v>127713.0610159208</v>
          </cell>
          <cell r="Y37">
            <v>102944.20736329375</v>
          </cell>
        </row>
        <row r="47">
          <cell r="N47">
            <v>84805.665004540322</v>
          </cell>
          <cell r="O47">
            <v>101585.96799703788</v>
          </cell>
          <cell r="P47">
            <v>154209.2659634623</v>
          </cell>
          <cell r="Q47">
            <v>122696.92137199735</v>
          </cell>
          <cell r="R47">
            <v>123411.87388052933</v>
          </cell>
          <cell r="S47">
            <v>47446.211556775474</v>
          </cell>
          <cell r="T47">
            <v>83556.534245541465</v>
          </cell>
          <cell r="U47">
            <v>189049.36683437167</v>
          </cell>
          <cell r="V47">
            <v>265484.4397628404</v>
          </cell>
          <cell r="W47">
            <v>248590.59560852987</v>
          </cell>
          <cell r="X47">
            <v>229992.78825383674</v>
          </cell>
          <cell r="Y47">
            <v>142655.78999924072</v>
          </cell>
        </row>
        <row r="57">
          <cell r="N57">
            <v>20634.15638219006</v>
          </cell>
          <cell r="O57">
            <v>18530.128304448888</v>
          </cell>
          <cell r="P57">
            <v>41320.38859087076</v>
          </cell>
          <cell r="Q57">
            <v>29425.974245256413</v>
          </cell>
          <cell r="R57">
            <v>32165.147795809222</v>
          </cell>
          <cell r="S57">
            <v>21213.003373036219</v>
          </cell>
          <cell r="T57">
            <v>41395.000804902586</v>
          </cell>
          <cell r="U57">
            <v>92952.761963081415</v>
          </cell>
          <cell r="V57">
            <v>123951.10916307675</v>
          </cell>
          <cell r="W57">
            <v>122809.27801030048</v>
          </cell>
          <cell r="X57">
            <v>96049.861338882605</v>
          </cell>
          <cell r="Y57">
            <v>51830.00376307463</v>
          </cell>
        </row>
        <row r="67">
          <cell r="N67">
            <v>4498.45610981133</v>
          </cell>
          <cell r="O67">
            <v>2468.5744882877784</v>
          </cell>
          <cell r="P67">
            <v>6482.3323978120161</v>
          </cell>
          <cell r="Q67">
            <v>4714.4220035550234</v>
          </cell>
          <cell r="R67">
            <v>4933.2233077077817</v>
          </cell>
          <cell r="S67">
            <v>4340.5509347173938</v>
          </cell>
          <cell r="T67">
            <v>11799.946486826884</v>
          </cell>
          <cell r="U67">
            <v>38257.943252341713</v>
          </cell>
          <cell r="V67">
            <v>40690.592006909494</v>
          </cell>
          <cell r="W67">
            <v>41885.585703975645</v>
          </cell>
          <cell r="X67">
            <v>26780.761635291285</v>
          </cell>
          <cell r="Y67">
            <v>10597.262650374174</v>
          </cell>
        </row>
      </sheetData>
      <sheetData sheetId="1"/>
      <sheetData sheetId="2">
        <row r="23">
          <cell r="X23">
            <v>843046412.65697241</v>
          </cell>
          <cell r="Y23">
            <v>1216732697.4216664</v>
          </cell>
          <cell r="Z23">
            <v>1514533864.5076404</v>
          </cell>
        </row>
        <row r="24">
          <cell r="X24">
            <v>212506850.43729073</v>
          </cell>
          <cell r="Y24">
            <v>247333671.47152999</v>
          </cell>
          <cell r="Z24">
            <v>296505448.15133965</v>
          </cell>
        </row>
        <row r="25">
          <cell r="X25">
            <v>505406155.39879215</v>
          </cell>
          <cell r="Y25">
            <v>533082643.85671055</v>
          </cell>
          <cell r="Z25">
            <v>618354607.53746903</v>
          </cell>
        </row>
        <row r="26">
          <cell r="X26">
            <v>217834796.02862665</v>
          </cell>
          <cell r="Y26">
            <v>220250790.93781009</v>
          </cell>
          <cell r="Z26">
            <v>253688796.86089924</v>
          </cell>
        </row>
        <row r="27">
          <cell r="X27">
            <v>95672806.813029289</v>
          </cell>
          <cell r="Y27">
            <v>93476252.987985492</v>
          </cell>
          <cell r="Z27">
            <v>101653829.93562543</v>
          </cell>
        </row>
        <row r="31">
          <cell r="X31">
            <v>614000.20336797263</v>
          </cell>
          <cell r="Y31">
            <v>813558.24200883822</v>
          </cell>
          <cell r="Z31">
            <v>872752.43415280792</v>
          </cell>
        </row>
        <row r="32">
          <cell r="X32">
            <v>97425.639139626393</v>
          </cell>
          <cell r="Y32">
            <v>123931.27565285936</v>
          </cell>
          <cell r="Z32">
            <v>151720.68967988784</v>
          </cell>
        </row>
        <row r="33">
          <cell r="X33">
            <v>141791.47042159317</v>
          </cell>
          <cell r="Y33">
            <v>197679.02607225222</v>
          </cell>
          <cell r="Z33">
            <v>257513.84897812031</v>
          </cell>
        </row>
        <row r="34">
          <cell r="X34">
            <v>48658.932927997463</v>
          </cell>
          <cell r="Y34">
            <v>59970.08081020516</v>
          </cell>
          <cell r="Z34">
            <v>87162.828989695612</v>
          </cell>
        </row>
        <row r="35">
          <cell r="X35">
            <v>10033.94766627749</v>
          </cell>
          <cell r="Y35">
            <v>13430.065796875455</v>
          </cell>
          <cell r="Z35">
            <v>16755.646620188079</v>
          </cell>
        </row>
        <row r="39">
          <cell r="AL39">
            <v>16282546.653734548</v>
          </cell>
        </row>
        <row r="40">
          <cell r="AL40">
            <v>3789701.5332512702</v>
          </cell>
        </row>
        <row r="41">
          <cell r="AL41">
            <v>6503105.0890115267</v>
          </cell>
        </row>
        <row r="42">
          <cell r="AL42">
            <v>2467177.910913982</v>
          </cell>
        </row>
        <row r="43">
          <cell r="AL43">
            <v>666278.79432071</v>
          </cell>
        </row>
      </sheetData>
      <sheetData sheetId="3"/>
      <sheetData sheetId="4">
        <row r="10">
          <cell r="BI10">
            <v>132.53104568073149</v>
          </cell>
          <cell r="BJ10">
            <v>178.96711423317711</v>
          </cell>
          <cell r="BK10">
            <v>164.29950613884097</v>
          </cell>
        </row>
        <row r="21">
          <cell r="BI21">
            <v>-952.52105380270245</v>
          </cell>
          <cell r="BJ21">
            <v>-1060.1337390868537</v>
          </cell>
          <cell r="BK21">
            <v>-1185.8653913003491</v>
          </cell>
        </row>
        <row r="27">
          <cell r="AW27">
            <v>573430.06293424976</v>
          </cell>
          <cell r="AX27">
            <v>729001.68500178226</v>
          </cell>
          <cell r="AY27">
            <v>731448.99925192562</v>
          </cell>
          <cell r="AZ27">
            <v>-1101511.7645830091</v>
          </cell>
          <cell r="BA27">
            <v>502297.9307248104</v>
          </cell>
          <cell r="BB27">
            <v>0</v>
          </cell>
          <cell r="BC27">
            <v>-1201.9391278357582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</row>
        <row r="37">
          <cell r="AW37">
            <v>445892.99890309712</v>
          </cell>
          <cell r="AX37">
            <v>380966.65670412086</v>
          </cell>
          <cell r="AY37">
            <v>451558.90985025105</v>
          </cell>
          <cell r="AZ37">
            <v>349160.22599545511</v>
          </cell>
          <cell r="BA37">
            <v>388715.00802980497</v>
          </cell>
          <cell r="BB37">
            <v>0</v>
          </cell>
          <cell r="BC37">
            <v>-280.76739666505853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</row>
        <row r="47">
          <cell r="AW47">
            <v>722912.52035272913</v>
          </cell>
          <cell r="AX47">
            <v>787449.04813982907</v>
          </cell>
          <cell r="AY47">
            <v>821876.98404895363</v>
          </cell>
          <cell r="AZ47">
            <v>663143.00246334542</v>
          </cell>
          <cell r="BA47">
            <v>717865.1381538827</v>
          </cell>
          <cell r="BB47">
            <v>2286.3100000023842</v>
          </cell>
          <cell r="BC47">
            <v>1973.3555017490889</v>
          </cell>
          <cell r="BD47">
            <v>12223.310000002384</v>
          </cell>
          <cell r="BE47">
            <v>22853.179999999702</v>
          </cell>
          <cell r="BF47">
            <v>20540.269999999553</v>
          </cell>
          <cell r="BG47">
            <v>15022.210000000894</v>
          </cell>
          <cell r="BH47">
            <v>6711.089999999851</v>
          </cell>
        </row>
        <row r="57">
          <cell r="AW57">
            <v>280028.89151037188</v>
          </cell>
          <cell r="AX57">
            <v>274144.21732121875</v>
          </cell>
          <cell r="AY57">
            <v>303711.11912158254</v>
          </cell>
          <cell r="AZ57">
            <v>251998.46611210689</v>
          </cell>
          <cell r="BA57">
            <v>276069.3565741299</v>
          </cell>
          <cell r="BB57">
            <v>0</v>
          </cell>
          <cell r="BC57">
            <v>-315.01218360235936</v>
          </cell>
          <cell r="BD57">
            <v>0</v>
          </cell>
          <cell r="BE57">
            <v>0</v>
          </cell>
          <cell r="BF57">
            <v>16813.580000000075</v>
          </cell>
          <cell r="BG57">
            <v>19387.400000000373</v>
          </cell>
          <cell r="BH57">
            <v>6785.070000000298</v>
          </cell>
        </row>
        <row r="67">
          <cell r="AW67">
            <v>56131.256299554763</v>
          </cell>
          <cell r="AX67">
            <v>57173.072833048078</v>
          </cell>
          <cell r="AY67">
            <v>61251.937727286851</v>
          </cell>
          <cell r="AZ67">
            <v>54765.460012100484</v>
          </cell>
          <cell r="BA67">
            <v>55225.416517369085</v>
          </cell>
          <cell r="BB67">
            <v>0</v>
          </cell>
          <cell r="BC67">
            <v>-142.24679364857641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81">
          <cell r="BI81">
            <v>0.34241831991806154</v>
          </cell>
          <cell r="BJ81">
            <v>0.34247538963804791</v>
          </cell>
          <cell r="BK81">
            <v>0.34253246886965427</v>
          </cell>
        </row>
        <row r="100">
          <cell r="BI100">
            <v>373.32881357571358</v>
          </cell>
          <cell r="BJ100">
            <v>373.39773508579464</v>
          </cell>
          <cell r="BK100">
            <v>309.34841311137956</v>
          </cell>
        </row>
      </sheetData>
      <sheetData sheetId="5">
        <row r="23">
          <cell r="BH23">
            <v>843046412.65697241</v>
          </cell>
          <cell r="BI23">
            <v>1216732697.4216664</v>
          </cell>
          <cell r="BJ23">
            <v>1514533864.5076404</v>
          </cell>
        </row>
        <row r="24">
          <cell r="BH24">
            <v>212506850.43729073</v>
          </cell>
          <cell r="BI24">
            <v>247333671.47152999</v>
          </cell>
          <cell r="BJ24">
            <v>296505448.15133965</v>
          </cell>
        </row>
        <row r="25">
          <cell r="BH25">
            <v>505406155.39879215</v>
          </cell>
          <cell r="BI25">
            <v>533082643.85671055</v>
          </cell>
          <cell r="BJ25">
            <v>618354607.53746903</v>
          </cell>
        </row>
        <row r="26">
          <cell r="BH26">
            <v>217834796.02862665</v>
          </cell>
          <cell r="BI26">
            <v>220250790.93781009</v>
          </cell>
          <cell r="BJ26">
            <v>253688796.86089924</v>
          </cell>
        </row>
        <row r="27">
          <cell r="BH27">
            <v>95672806.813029289</v>
          </cell>
          <cell r="BI27">
            <v>93476252.987985492</v>
          </cell>
          <cell r="BJ27">
            <v>101653829.93562543</v>
          </cell>
        </row>
        <row r="31">
          <cell r="BH31">
            <v>0</v>
          </cell>
          <cell r="BI31">
            <v>0</v>
          </cell>
          <cell r="BJ31">
            <v>0</v>
          </cell>
        </row>
        <row r="32">
          <cell r="BH32">
            <v>0</v>
          </cell>
          <cell r="BI32">
            <v>136.91999999999825</v>
          </cell>
          <cell r="BJ32">
            <v>265.4900000000016</v>
          </cell>
        </row>
        <row r="33">
          <cell r="BH33">
            <v>6702.8400000000256</v>
          </cell>
          <cell r="BI33">
            <v>12919.080000000016</v>
          </cell>
          <cell r="BJ33">
            <v>17865.460000000021</v>
          </cell>
        </row>
        <row r="34">
          <cell r="BH34">
            <v>6167.2299999999959</v>
          </cell>
          <cell r="BI34">
            <v>9396.0099999999948</v>
          </cell>
          <cell r="BJ34">
            <v>12083.489999999991</v>
          </cell>
        </row>
        <row r="35">
          <cell r="BH35">
            <v>0</v>
          </cell>
          <cell r="BI35">
            <v>0</v>
          </cell>
          <cell r="BJ35">
            <v>0</v>
          </cell>
        </row>
        <row r="39">
          <cell r="BV39">
            <v>0</v>
          </cell>
        </row>
        <row r="40">
          <cell r="BV40">
            <v>3588.3899999999921</v>
          </cell>
        </row>
        <row r="41">
          <cell r="BV41">
            <v>313220.07999999996</v>
          </cell>
        </row>
        <row r="42">
          <cell r="BV42">
            <v>238115.91999999998</v>
          </cell>
        </row>
        <row r="43">
          <cell r="BV43">
            <v>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IA 3 calcs"/>
      <sheetName val="MEEIA 3 adjs"/>
      <sheetName val="M3 Allocations - TD"/>
      <sheetName val="M3 TD amort"/>
      <sheetName val="Feb20 tariff tables (M3)"/>
      <sheetName val="MEEIA 2 calcs"/>
      <sheetName val="MEEIA 2 adjs"/>
      <sheetName val="M1 PI calcs"/>
      <sheetName val="M2 Allocations - TD"/>
      <sheetName val="M2 TD amort"/>
      <sheetName val="Feb20 tariff tables (M2)"/>
      <sheetName val="GRAPH"/>
      <sheetName val="Realized Rate"/>
      <sheetName val="Realized calc 06-16 kwh"/>
      <sheetName val="Realized detail 06-16"/>
      <sheetName val="Realized detail 04-17"/>
      <sheetName val="Realized query screenshot"/>
    </sheetNames>
    <sheetDataSet>
      <sheetData sheetId="0"/>
      <sheetData sheetId="1"/>
      <sheetData sheetId="2"/>
      <sheetData sheetId="3"/>
      <sheetData sheetId="4"/>
      <sheetData sheetId="5">
        <row r="9">
          <cell r="AW9">
            <v>1.8159890000000001E-2</v>
          </cell>
          <cell r="AX9">
            <v>1.9151990000000001E-2</v>
          </cell>
          <cell r="AY9">
            <v>1.8890779999999999E-2</v>
          </cell>
          <cell r="AZ9">
            <v>1.8035829999999999E-2</v>
          </cell>
          <cell r="BA9">
            <v>1.888592E-2</v>
          </cell>
          <cell r="BB9">
            <v>9.3845999999999999E-3</v>
          </cell>
          <cell r="BC9">
            <v>1.2906700000000001E-3</v>
          </cell>
          <cell r="BD9">
            <v>1.2563100000000001E-3</v>
          </cell>
          <cell r="BE9">
            <v>1.9366299999999999E-3</v>
          </cell>
          <cell r="BF9">
            <v>1.3658500000000001E-3</v>
          </cell>
          <cell r="BG9">
            <v>1.23916E-3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IA 3 calcs"/>
      <sheetName val="MEEIA 3 adjs"/>
      <sheetName val="M3 Allocations - TD"/>
      <sheetName val="M3 TD amort"/>
      <sheetName val="Feb20 tariff tables (M3)"/>
      <sheetName val="MEEIA 2 calcs"/>
      <sheetName val="MEEIA 2 adjs"/>
      <sheetName val="M1 PI calcs"/>
      <sheetName val="M2 Allocations - TD"/>
      <sheetName val="M2 TD amort"/>
      <sheetName val="Feb20 tariff tables (M2)"/>
      <sheetName val="GRAPH"/>
      <sheetName val="Realized Rate"/>
      <sheetName val="Realized calc 06-16 kwh"/>
      <sheetName val="Realized detail 06-16"/>
      <sheetName val="Realized detail 04-17"/>
      <sheetName val="Realized query screenshot"/>
    </sheetNames>
    <sheetDataSet>
      <sheetData sheetId="0">
        <row r="9">
          <cell r="F9">
            <v>2.7878150000000001E-2</v>
          </cell>
        </row>
      </sheetData>
      <sheetData sheetId="1"/>
      <sheetData sheetId="2">
        <row r="42">
          <cell r="D42">
            <v>0</v>
          </cell>
        </row>
      </sheetData>
      <sheetData sheetId="3"/>
      <sheetData sheetId="4"/>
      <sheetData sheetId="5">
        <row r="9">
          <cell r="BH9">
            <v>2E-3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-0.249977111117893"/>
  </sheetPr>
  <dimension ref="A1:AG49"/>
  <sheetViews>
    <sheetView tabSelected="1" workbookViewId="0">
      <selection activeCell="I29" sqref="I29"/>
    </sheetView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5.140625" style="162" customWidth="1"/>
    <col min="5" max="5" width="16.140625" customWidth="1"/>
    <col min="6" max="6" width="12.7109375" customWidth="1"/>
    <col min="7" max="10" width="17.7109375" customWidth="1"/>
  </cols>
  <sheetData>
    <row r="1" spans="1:20" ht="15.75" thickBot="1" x14ac:dyDescent="0.3">
      <c r="A1" s="7" t="s">
        <v>163</v>
      </c>
    </row>
    <row r="2" spans="1:20" ht="15.75" thickBot="1" x14ac:dyDescent="0.3">
      <c r="B2" s="366" t="s">
        <v>154</v>
      </c>
      <c r="C2" s="366"/>
      <c r="D2" s="253"/>
      <c r="F2" s="363" t="s">
        <v>155</v>
      </c>
      <c r="G2" s="364"/>
      <c r="H2" s="364"/>
      <c r="I2" s="364"/>
      <c r="J2" s="365"/>
      <c r="L2" s="2" t="s">
        <v>26</v>
      </c>
    </row>
    <row r="3" spans="1:20" x14ac:dyDescent="0.25">
      <c r="C3" s="254" t="s">
        <v>150</v>
      </c>
      <c r="D3" s="254" t="s">
        <v>151</v>
      </c>
      <c r="F3" s="18"/>
      <c r="G3" s="32" t="s">
        <v>0</v>
      </c>
      <c r="H3" s="32" t="s">
        <v>1</v>
      </c>
      <c r="I3" s="32" t="s">
        <v>2</v>
      </c>
      <c r="J3" s="33" t="s">
        <v>3</v>
      </c>
      <c r="L3" s="55" t="s">
        <v>45</v>
      </c>
      <c r="M3" s="47"/>
      <c r="N3" s="47"/>
      <c r="O3" s="47"/>
      <c r="P3" s="47"/>
      <c r="Q3" s="47"/>
      <c r="R3" s="47"/>
      <c r="S3" s="47"/>
      <c r="T3" s="47"/>
    </row>
    <row r="4" spans="1:20" x14ac:dyDescent="0.25">
      <c r="B4" s="343" t="s">
        <v>30</v>
      </c>
      <c r="C4" s="5" t="s">
        <v>10</v>
      </c>
      <c r="D4" s="254" t="s">
        <v>10</v>
      </c>
      <c r="E4" s="46"/>
      <c r="F4" s="24"/>
      <c r="G4" s="43">
        <v>1</v>
      </c>
      <c r="H4" s="43">
        <v>0</v>
      </c>
      <c r="I4" s="26">
        <f>IFERROR(B5/SUM($B$5:$B$9),0)</f>
        <v>0.48498322651914527</v>
      </c>
      <c r="J4" s="27">
        <f>I4</f>
        <v>0.48498322651914527</v>
      </c>
      <c r="L4" s="55" t="s">
        <v>27</v>
      </c>
      <c r="M4" s="47"/>
      <c r="N4" s="47"/>
      <c r="O4" s="47"/>
      <c r="P4" s="47"/>
      <c r="Q4" s="47"/>
      <c r="R4" s="47"/>
      <c r="S4" s="47"/>
      <c r="T4" s="47"/>
    </row>
    <row r="5" spans="1:20" x14ac:dyDescent="0.25">
      <c r="A5" s="57" t="s">
        <v>31</v>
      </c>
      <c r="B5" s="39">
        <f>'[1]PPC.1, PCR.2F, EO.3'!Q27</f>
        <v>13068927776.360579</v>
      </c>
      <c r="C5" s="41">
        <f>SUM(G11:J11)</f>
        <v>0</v>
      </c>
      <c r="D5" s="41">
        <f>SUM(G27:J27)</f>
        <v>36899525.117034197</v>
      </c>
      <c r="E5" s="46"/>
      <c r="F5" s="24"/>
      <c r="G5" s="43">
        <v>0</v>
      </c>
      <c r="H5" s="26">
        <f>IFERROR(B6/SUM($B$6:$B$9),0)</f>
        <v>0.21188001691089731</v>
      </c>
      <c r="I5" s="26">
        <f>IFERROR(B6/SUM($B$5:$B$9),0)</f>
        <v>0.10912176267451928</v>
      </c>
      <c r="J5" s="27">
        <f>I5</f>
        <v>0.10912176267451928</v>
      </c>
      <c r="L5" s="55" t="s">
        <v>40</v>
      </c>
    </row>
    <row r="6" spans="1:20" x14ac:dyDescent="0.25">
      <c r="A6" s="21" t="s">
        <v>4</v>
      </c>
      <c r="B6" s="39">
        <f>'[1]PPC.1, PCR.2F, EO.3'!Q28</f>
        <v>2940523212.4376469</v>
      </c>
      <c r="C6" s="41">
        <f>SUM(G12:J12)</f>
        <v>0</v>
      </c>
      <c r="D6" s="41">
        <f>SUM(G28:J28)</f>
        <v>9836779.4876453914</v>
      </c>
      <c r="E6" s="46"/>
      <c r="F6" s="24"/>
      <c r="G6" s="43">
        <v>0</v>
      </c>
      <c r="H6" s="26">
        <f>IFERROR(B7/SUM($B$6:$B$9),0)</f>
        <v>0.48498026967704833</v>
      </c>
      <c r="I6" s="26">
        <f>IFERROR(B7/SUM($B$5:$B$9),0)</f>
        <v>0.24977297369094828</v>
      </c>
      <c r="J6" s="27">
        <f>I6</f>
        <v>0.24977297369094828</v>
      </c>
    </row>
    <row r="7" spans="1:20" x14ac:dyDescent="0.25">
      <c r="A7" s="21" t="s">
        <v>5</v>
      </c>
      <c r="B7" s="39">
        <f>'[1]PPC.1, PCR.2F, EO.3'!Q29</f>
        <v>6730675980.4505386</v>
      </c>
      <c r="C7" s="41">
        <f>SUM(G13:J13)</f>
        <v>0</v>
      </c>
      <c r="D7" s="41">
        <f>SUM(G29:J29)</f>
        <v>22515780.573484361</v>
      </c>
      <c r="E7" s="46"/>
      <c r="F7" s="24"/>
      <c r="G7" s="43">
        <v>0</v>
      </c>
      <c r="H7" s="26">
        <f>IFERROR(B8/SUM($B$6:$B$9),0)</f>
        <v>0.21220533074250331</v>
      </c>
      <c r="I7" s="26">
        <f>IFERROR(B8/SUM($B$5:$B$9),0)</f>
        <v>0.10928930475444169</v>
      </c>
      <c r="J7" s="27">
        <f>I7</f>
        <v>0.10928930475444169</v>
      </c>
    </row>
    <row r="8" spans="1:20" ht="15.75" thickBot="1" x14ac:dyDescent="0.3">
      <c r="A8" s="21" t="s">
        <v>6</v>
      </c>
      <c r="B8" s="39">
        <f>'[1]PPC.1, PCR.2F, EO.3'!Q30</f>
        <v>2945037998.1503868</v>
      </c>
      <c r="C8" s="41">
        <f>SUM(G14:J14)</f>
        <v>0</v>
      </c>
      <c r="D8" s="41">
        <f>SUM(G30:J30)</f>
        <v>9851882.5656630564</v>
      </c>
      <c r="E8" s="46"/>
      <c r="F8" s="24"/>
      <c r="G8" s="43">
        <v>0</v>
      </c>
      <c r="H8" s="26">
        <f>IFERROR(B9/SUM($B$6:$B$9),0)</f>
        <v>9.093438266955102E-2</v>
      </c>
      <c r="I8" s="26">
        <f>IFERROR(B9/SUM($B$5:$B$9),0)</f>
        <v>4.6832732360945525E-2</v>
      </c>
      <c r="J8" s="27">
        <f>I8</f>
        <v>4.6832732360945525E-2</v>
      </c>
    </row>
    <row r="9" spans="1:20" ht="16.5" thickTop="1" thickBot="1" x14ac:dyDescent="0.3">
      <c r="A9" s="21" t="s">
        <v>7</v>
      </c>
      <c r="B9" s="39">
        <f>'[1]PPC.1, PCR.2F, EO.3'!Q31</f>
        <v>1262009824.932905</v>
      </c>
      <c r="C9" s="41">
        <f>SUM(G15:J15)</f>
        <v>0</v>
      </c>
      <c r="D9" s="41">
        <f>SUM(G31:J31)</f>
        <v>4221735.882443808</v>
      </c>
      <c r="E9" s="3"/>
      <c r="F9" s="34" t="s">
        <v>25</v>
      </c>
      <c r="G9" s="58">
        <f>1-SUM(G4:G8)</f>
        <v>0</v>
      </c>
      <c r="H9" s="58">
        <f>(1-SUM(H4:H8))</f>
        <v>0</v>
      </c>
      <c r="I9" s="58">
        <f>1-SUM(I4:I8)</f>
        <v>0</v>
      </c>
      <c r="J9" s="59">
        <f>1-SUM(J4:J8)</f>
        <v>0</v>
      </c>
    </row>
    <row r="10" spans="1:20" ht="16.5" thickTop="1" thickBot="1" x14ac:dyDescent="0.3">
      <c r="A10" s="21" t="s">
        <v>9</v>
      </c>
      <c r="B10" s="40">
        <f>SUM(B5:B9)</f>
        <v>26947174792.332054</v>
      </c>
      <c r="C10" s="23">
        <f>SUM(C5:C9)</f>
        <v>0</v>
      </c>
      <c r="D10" s="23">
        <f>SUM(D5:D9)</f>
        <v>83325703.626270801</v>
      </c>
      <c r="E10" s="3"/>
      <c r="F10" s="37" t="s">
        <v>38</v>
      </c>
      <c r="G10" s="42">
        <f>'[1]PPC.2, PCR.1F'!$F$21</f>
        <v>0</v>
      </c>
      <c r="H10" s="42">
        <f>'[1]PPC.2, PCR.1F'!$F$22</f>
        <v>0</v>
      </c>
      <c r="I10" s="42">
        <f>'[1]PPC.2, PCR.1F'!$F$23</f>
        <v>0</v>
      </c>
      <c r="J10" s="65">
        <f>'[1]PPC.2, PCR.1F'!$F$24</f>
        <v>0</v>
      </c>
      <c r="K10" s="357" t="s">
        <v>36</v>
      </c>
    </row>
    <row r="11" spans="1:20" ht="16.5" thickTop="1" thickBot="1" x14ac:dyDescent="0.3">
      <c r="B11" s="38" t="s">
        <v>25</v>
      </c>
      <c r="C11" s="20">
        <f>SUM(G10:J10)-C10</f>
        <v>0</v>
      </c>
      <c r="D11" s="20">
        <f>SUM(G26:J26)-D10</f>
        <v>0</v>
      </c>
      <c r="E11" s="3"/>
      <c r="F11" s="24" t="s">
        <v>0</v>
      </c>
      <c r="G11" s="35">
        <f>G4*G$10</f>
        <v>0</v>
      </c>
      <c r="H11" s="35">
        <f>H4*H$10</f>
        <v>0</v>
      </c>
      <c r="I11" s="35">
        <f>I4*I$10</f>
        <v>0</v>
      </c>
      <c r="J11" s="36">
        <f t="shared" ref="G11:J15" si="0">J4*J$10</f>
        <v>0</v>
      </c>
    </row>
    <row r="12" spans="1:20" ht="15.75" thickTop="1" x14ac:dyDescent="0.25">
      <c r="E12" s="3"/>
      <c r="F12" s="24" t="s">
        <v>4</v>
      </c>
      <c r="G12" s="28">
        <f t="shared" si="0"/>
        <v>0</v>
      </c>
      <c r="H12" s="28">
        <f t="shared" si="0"/>
        <v>0</v>
      </c>
      <c r="I12" s="28">
        <f t="shared" si="0"/>
        <v>0</v>
      </c>
      <c r="J12" s="29">
        <f t="shared" si="0"/>
        <v>0</v>
      </c>
    </row>
    <row r="13" spans="1:20" x14ac:dyDescent="0.25">
      <c r="B13" s="50"/>
      <c r="C13" s="50"/>
      <c r="D13" s="50"/>
      <c r="E13" s="3"/>
      <c r="F13" s="24" t="s">
        <v>5</v>
      </c>
      <c r="G13" s="28">
        <f t="shared" si="0"/>
        <v>0</v>
      </c>
      <c r="H13" s="28">
        <f t="shared" si="0"/>
        <v>0</v>
      </c>
      <c r="I13" s="28">
        <f t="shared" si="0"/>
        <v>0</v>
      </c>
      <c r="J13" s="29">
        <f t="shared" si="0"/>
        <v>0</v>
      </c>
    </row>
    <row r="14" spans="1:20" x14ac:dyDescent="0.25">
      <c r="A14" s="57" t="s">
        <v>39</v>
      </c>
      <c r="B14" s="61">
        <f>'[1]PPC.3, PCR.2'!$BG$41</f>
        <v>3.1484933428611618E-2</v>
      </c>
      <c r="C14" s="47"/>
      <c r="E14" s="3"/>
      <c r="F14" s="24" t="s">
        <v>6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9">
        <f t="shared" si="0"/>
        <v>0</v>
      </c>
    </row>
    <row r="15" spans="1:20" ht="15.75" thickBot="1" x14ac:dyDescent="0.3">
      <c r="A15" s="21" t="s">
        <v>37</v>
      </c>
      <c r="B15" s="40">
        <f>B5*(1-B14)</f>
        <v>12657453455.338533</v>
      </c>
      <c r="C15" s="69"/>
      <c r="E15" s="3"/>
      <c r="F15" s="25" t="s">
        <v>7</v>
      </c>
      <c r="G15" s="30">
        <f t="shared" si="0"/>
        <v>0</v>
      </c>
      <c r="H15" s="30">
        <f t="shared" si="0"/>
        <v>0</v>
      </c>
      <c r="I15" s="30">
        <f t="shared" si="0"/>
        <v>0</v>
      </c>
      <c r="J15" s="31">
        <f t="shared" si="0"/>
        <v>0</v>
      </c>
    </row>
    <row r="16" spans="1:20" x14ac:dyDescent="0.25">
      <c r="C16" s="4"/>
      <c r="D16" s="4"/>
    </row>
    <row r="17" spans="1:33" ht="15.75" thickBot="1" x14ac:dyDescent="0.3">
      <c r="A17" s="199"/>
      <c r="B17" s="256"/>
      <c r="C17" s="199"/>
      <c r="D17" s="199"/>
    </row>
    <row r="18" spans="1:33" ht="15.75" thickBot="1" x14ac:dyDescent="0.3">
      <c r="A18" s="199"/>
      <c r="B18" s="264"/>
      <c r="C18" s="264"/>
      <c r="D18" s="257"/>
      <c r="E18" s="162"/>
      <c r="F18" s="363" t="s">
        <v>156</v>
      </c>
      <c r="G18" s="364"/>
      <c r="H18" s="364"/>
      <c r="I18" s="364"/>
      <c r="J18" s="365"/>
      <c r="K18" s="162"/>
      <c r="L18" s="55"/>
      <c r="M18" s="47"/>
      <c r="N18" s="47"/>
      <c r="O18" s="47"/>
      <c r="P18" s="47"/>
      <c r="Q18" s="47"/>
      <c r="R18" s="47"/>
      <c r="S18" s="47"/>
      <c r="T18" s="47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199"/>
      <c r="B19" s="210"/>
      <c r="C19" s="210"/>
      <c r="D19" s="210"/>
      <c r="E19" s="162"/>
      <c r="F19" s="164"/>
      <c r="G19" s="170" t="s">
        <v>0</v>
      </c>
      <c r="H19" s="170" t="s">
        <v>1</v>
      </c>
      <c r="I19" s="170" t="s">
        <v>2</v>
      </c>
      <c r="J19" s="171" t="s">
        <v>3</v>
      </c>
      <c r="K19" s="162"/>
      <c r="L19" s="55"/>
      <c r="M19" s="47"/>
      <c r="N19" s="47"/>
      <c r="O19" s="47"/>
      <c r="P19" s="47"/>
      <c r="Q19" s="47"/>
      <c r="R19" s="47"/>
      <c r="S19" s="47"/>
      <c r="T19" s="47"/>
    </row>
    <row r="20" spans="1:33" x14ac:dyDescent="0.25">
      <c r="A20" s="258"/>
      <c r="B20" s="261"/>
      <c r="C20" s="199"/>
      <c r="D20" s="262"/>
      <c r="E20" s="46"/>
      <c r="F20" s="166"/>
      <c r="G20" s="43">
        <v>1</v>
      </c>
      <c r="H20" s="43">
        <v>0</v>
      </c>
      <c r="I20" s="168">
        <f>IFERROR(B5/SUM($B$5:$B$9),0)</f>
        <v>0.48498322651914527</v>
      </c>
      <c r="J20" s="169">
        <f>I20</f>
        <v>0.48498322651914527</v>
      </c>
      <c r="K20" s="162"/>
      <c r="L20" s="55"/>
      <c r="M20" s="47"/>
      <c r="N20" s="47"/>
      <c r="O20" s="47"/>
      <c r="P20" s="47"/>
      <c r="Q20" s="47"/>
      <c r="R20" s="47"/>
      <c r="S20" s="47"/>
      <c r="T20" s="47"/>
    </row>
    <row r="21" spans="1:33" x14ac:dyDescent="0.25">
      <c r="A21" s="258"/>
      <c r="B21" s="261"/>
      <c r="C21" s="199"/>
      <c r="D21" s="262"/>
      <c r="E21" s="46"/>
      <c r="F21" s="166"/>
      <c r="G21" s="43">
        <v>0</v>
      </c>
      <c r="H21" s="168">
        <f>IFERROR(B6/SUM($B$6:$B$9),0)</f>
        <v>0.21188001691089731</v>
      </c>
      <c r="I21" s="168">
        <f t="shared" ref="I21:I24" si="1">IFERROR(B6/SUM($B$5:$B$9),0)</f>
        <v>0.10912176267451928</v>
      </c>
      <c r="J21" s="169">
        <f>I21</f>
        <v>0.10912176267451928</v>
      </c>
      <c r="K21" s="162"/>
      <c r="L21" s="55"/>
      <c r="M21" s="47"/>
      <c r="N21" s="47"/>
      <c r="O21" s="47"/>
      <c r="P21" s="47"/>
      <c r="Q21" s="47"/>
      <c r="R21" s="47"/>
      <c r="S21" s="47"/>
      <c r="T21" s="47"/>
    </row>
    <row r="22" spans="1:33" x14ac:dyDescent="0.25">
      <c r="A22" s="258"/>
      <c r="B22" s="261"/>
      <c r="C22" s="199"/>
      <c r="D22" s="262"/>
      <c r="E22" s="46"/>
      <c r="F22" s="166"/>
      <c r="G22" s="43">
        <v>0</v>
      </c>
      <c r="H22" s="168">
        <f t="shared" ref="H22:H24" si="2">IFERROR(B7/SUM($B$6:$B$9),0)</f>
        <v>0.48498026967704833</v>
      </c>
      <c r="I22" s="168">
        <f t="shared" si="1"/>
        <v>0.24977297369094828</v>
      </c>
      <c r="J22" s="169">
        <f>I22</f>
        <v>0.24977297369094828</v>
      </c>
      <c r="K22" s="162"/>
      <c r="L22" s="162"/>
    </row>
    <row r="23" spans="1:33" x14ac:dyDescent="0.25">
      <c r="A23" s="258"/>
      <c r="B23" s="261"/>
      <c r="C23" s="199"/>
      <c r="D23" s="262"/>
      <c r="E23" s="46"/>
      <c r="F23" s="166"/>
      <c r="G23" s="43">
        <v>0</v>
      </c>
      <c r="H23" s="168">
        <f t="shared" si="2"/>
        <v>0.21220533074250331</v>
      </c>
      <c r="I23" s="168">
        <f t="shared" si="1"/>
        <v>0.10928930475444169</v>
      </c>
      <c r="J23" s="169">
        <f>I23</f>
        <v>0.10928930475444169</v>
      </c>
      <c r="K23" s="162"/>
      <c r="L23" s="162"/>
    </row>
    <row r="24" spans="1:33" ht="15.75" thickBot="1" x14ac:dyDescent="0.3">
      <c r="A24" s="258"/>
      <c r="B24" s="261"/>
      <c r="C24" s="199"/>
      <c r="D24" s="262"/>
      <c r="E24" s="46"/>
      <c r="F24" s="166"/>
      <c r="G24" s="43">
        <v>0</v>
      </c>
      <c r="H24" s="168">
        <f t="shared" si="2"/>
        <v>9.093438266955102E-2</v>
      </c>
      <c r="I24" s="168">
        <f t="shared" si="1"/>
        <v>4.6832732360945525E-2</v>
      </c>
      <c r="J24" s="169">
        <f>I24</f>
        <v>4.6832732360945525E-2</v>
      </c>
      <c r="K24" s="162"/>
      <c r="L24" s="162"/>
    </row>
    <row r="25" spans="1:33" ht="16.5" thickTop="1" thickBot="1" x14ac:dyDescent="0.3">
      <c r="A25" s="258"/>
      <c r="B25" s="263"/>
      <c r="C25" s="199"/>
      <c r="D25" s="190"/>
      <c r="E25" s="3"/>
      <c r="F25" s="172" t="s">
        <v>25</v>
      </c>
      <c r="G25" s="178">
        <f>1-SUM(G20:G24)</f>
        <v>0</v>
      </c>
      <c r="H25" s="178">
        <f>(1-SUM(H20:H24))</f>
        <v>0</v>
      </c>
      <c r="I25" s="178">
        <f>1-SUM(I20:I24)</f>
        <v>0</v>
      </c>
      <c r="J25" s="179">
        <f>1-SUM(J20:J24)</f>
        <v>0</v>
      </c>
      <c r="K25" s="162"/>
      <c r="L25" s="162"/>
    </row>
    <row r="26" spans="1:33" ht="16.5" thickTop="1" thickBot="1" x14ac:dyDescent="0.3">
      <c r="A26" s="199"/>
      <c r="B26" s="259"/>
      <c r="C26" s="199"/>
      <c r="D26" s="255"/>
      <c r="E26" s="3"/>
      <c r="F26" s="175" t="s">
        <v>38</v>
      </c>
      <c r="G26" s="42">
        <f>'[1]PPC.2, PCR.1F'!$G$21</f>
        <v>32326082.666429989</v>
      </c>
      <c r="H26" s="42">
        <f>'[1]PPC.2, PCR.1F'!$G$22</f>
        <v>41569516.575759277</v>
      </c>
      <c r="I26" s="42">
        <f>'[1]PPC.2, PCR.1F'!$G$23</f>
        <v>9188437.717414882</v>
      </c>
      <c r="J26" s="65">
        <f>'[1]PPC.2, PCR.1F'!$G$24</f>
        <v>241666.66666666663</v>
      </c>
      <c r="K26" s="357" t="s">
        <v>36</v>
      </c>
      <c r="L26" s="162"/>
    </row>
    <row r="27" spans="1:33" x14ac:dyDescent="0.25">
      <c r="A27" s="199"/>
      <c r="B27" s="199"/>
      <c r="C27" s="199"/>
      <c r="D27" s="199"/>
      <c r="E27" s="3"/>
      <c r="F27" s="265" t="s">
        <v>0</v>
      </c>
      <c r="G27" s="266">
        <f>G20*G$26</f>
        <v>32326082.666429989</v>
      </c>
      <c r="H27" s="266">
        <f>H20*H$26</f>
        <v>0</v>
      </c>
      <c r="I27" s="266">
        <f>I20*I$26</f>
        <v>4456238.1708620796</v>
      </c>
      <c r="J27" s="267">
        <f>J20*J$26</f>
        <v>117204.27974212676</v>
      </c>
      <c r="K27" s="162"/>
      <c r="L27" s="162"/>
    </row>
    <row r="28" spans="1:33" x14ac:dyDescent="0.25">
      <c r="A28" s="199"/>
      <c r="B28" s="199"/>
      <c r="C28" s="199"/>
      <c r="D28" s="199"/>
      <c r="E28" s="3"/>
      <c r="F28" s="166" t="s">
        <v>4</v>
      </c>
      <c r="G28" s="173">
        <f t="shared" ref="G28:J31" si="3">G21*G$26</f>
        <v>0</v>
      </c>
      <c r="H28" s="173">
        <f t="shared" si="3"/>
        <v>8807749.875049701</v>
      </c>
      <c r="I28" s="173">
        <f t="shared" si="3"/>
        <v>1002658.5199493484</v>
      </c>
      <c r="J28" s="174">
        <f t="shared" si="3"/>
        <v>26371.092646342157</v>
      </c>
      <c r="K28" s="162"/>
      <c r="L28" s="162"/>
    </row>
    <row r="29" spans="1:33" x14ac:dyDescent="0.25">
      <c r="A29" s="199"/>
      <c r="B29" s="260"/>
      <c r="C29" s="260"/>
      <c r="D29" s="260"/>
      <c r="E29" s="3"/>
      <c r="F29" s="166" t="s">
        <v>5</v>
      </c>
      <c r="G29" s="173">
        <f t="shared" si="3"/>
        <v>0</v>
      </c>
      <c r="H29" s="173">
        <f t="shared" si="3"/>
        <v>20160395.359256264</v>
      </c>
      <c r="I29" s="173">
        <f t="shared" si="3"/>
        <v>2295023.4122527842</v>
      </c>
      <c r="J29" s="174">
        <f t="shared" si="3"/>
        <v>60361.80197531249</v>
      </c>
      <c r="K29" s="162"/>
      <c r="L29" s="162"/>
    </row>
    <row r="30" spans="1:33" x14ac:dyDescent="0.25">
      <c r="A30" s="258"/>
      <c r="B30" s="48"/>
      <c r="C30" s="199"/>
      <c r="D30" s="199"/>
      <c r="E30" s="3"/>
      <c r="F30" s="166" t="s">
        <v>6</v>
      </c>
      <c r="G30" s="173">
        <f t="shared" si="3"/>
        <v>0</v>
      </c>
      <c r="H30" s="173">
        <f t="shared" si="3"/>
        <v>8821273.01376497</v>
      </c>
      <c r="I30" s="173">
        <f t="shared" si="3"/>
        <v>1004197.9699157616</v>
      </c>
      <c r="J30" s="174">
        <f t="shared" si="3"/>
        <v>26411.581982323405</v>
      </c>
      <c r="K30" s="162"/>
      <c r="L30" s="162"/>
    </row>
    <row r="31" spans="1:33" ht="15.75" thickBot="1" x14ac:dyDescent="0.3">
      <c r="A31" s="258"/>
      <c r="B31" s="263"/>
      <c r="C31" s="199"/>
      <c r="D31" s="199"/>
      <c r="E31" s="3"/>
      <c r="F31" s="167" t="s">
        <v>7</v>
      </c>
      <c r="G31" s="268">
        <f t="shared" si="3"/>
        <v>0</v>
      </c>
      <c r="H31" s="268">
        <f t="shared" si="3"/>
        <v>3780098.3276883382</v>
      </c>
      <c r="I31" s="268">
        <f t="shared" si="3"/>
        <v>430319.6444349084</v>
      </c>
      <c r="J31" s="156">
        <f t="shared" si="3"/>
        <v>11317.910320561834</v>
      </c>
      <c r="K31" s="162"/>
      <c r="L31" s="162"/>
    </row>
    <row r="45" spans="2:5" x14ac:dyDescent="0.25">
      <c r="B45" s="6"/>
      <c r="C45" s="6"/>
      <c r="D45" s="53"/>
      <c r="E45" s="6"/>
    </row>
    <row r="49" spans="2:5" x14ac:dyDescent="0.25">
      <c r="B49" s="6"/>
      <c r="C49" s="6"/>
      <c r="D49" s="53"/>
      <c r="E49" s="6"/>
    </row>
  </sheetData>
  <mergeCells count="3">
    <mergeCell ref="F2:J2"/>
    <mergeCell ref="B2:C2"/>
    <mergeCell ref="F18:J18"/>
  </mergeCells>
  <pageMargins left="0.7" right="0.7" top="0.75" bottom="0.75" header="0.3" footer="0.3"/>
  <pageSetup orientation="portrait" r:id="rId1"/>
  <headerFooter>
    <oddFooter>&amp;RSchedule WRD-D2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-0.249977111117893"/>
    <pageSetUpPr fitToPage="1"/>
  </sheetPr>
  <dimension ref="A1:AU67"/>
  <sheetViews>
    <sheetView zoomScaleNormal="100" workbookViewId="0">
      <pane xSplit="1" ySplit="14" topLeftCell="B60" activePane="bottomRight" state="frozen"/>
      <selection activeCell="AC68" sqref="AC68"/>
      <selection pane="topRight" activeCell="AC68" sqref="AC68"/>
      <selection pane="bottomLeft" activeCell="AC68" sqref="AC68"/>
      <selection pane="bottomRight" activeCell="G73" sqref="G73"/>
    </sheetView>
  </sheetViews>
  <sheetFormatPr defaultColWidth="9.140625" defaultRowHeight="15" x14ac:dyDescent="0.25"/>
  <cols>
    <col min="1" max="1" width="23.42578125" style="162" customWidth="1"/>
    <col min="2" max="2" width="18" style="162" customWidth="1"/>
    <col min="3" max="3" width="16.42578125" style="162" customWidth="1"/>
    <col min="4" max="4" width="15.140625" style="162" customWidth="1"/>
    <col min="5" max="5" width="16.140625" style="162" customWidth="1"/>
    <col min="6" max="6" width="15" style="162" bestFit="1" customWidth="1"/>
    <col min="7" max="7" width="16" style="162" customWidth="1"/>
    <col min="8" max="8" width="15" style="162" bestFit="1" customWidth="1"/>
    <col min="9" max="11" width="16" style="162" bestFit="1" customWidth="1"/>
    <col min="12" max="37" width="16" style="162" customWidth="1"/>
    <col min="38" max="38" width="16.42578125" style="162" customWidth="1"/>
    <col min="39" max="39" width="17.28515625" style="162" customWidth="1"/>
    <col min="40" max="40" width="16.85546875" style="162" customWidth="1"/>
    <col min="41" max="41" width="13.85546875" style="162" bestFit="1" customWidth="1"/>
    <col min="42" max="42" width="10.85546875" style="162" bestFit="1" customWidth="1"/>
    <col min="43" max="43" width="9.140625" style="162"/>
    <col min="44" max="44" width="12.7109375" style="162" bestFit="1" customWidth="1"/>
    <col min="45" max="16384" width="9.140625" style="162"/>
  </cols>
  <sheetData>
    <row r="1" spans="1:47" x14ac:dyDescent="0.25">
      <c r="A1" s="47"/>
      <c r="B1" s="47"/>
    </row>
    <row r="2" spans="1:47" x14ac:dyDescent="0.25">
      <c r="B2" s="181" t="s">
        <v>122</v>
      </c>
      <c r="I2" s="2" t="s">
        <v>26</v>
      </c>
    </row>
    <row r="3" spans="1:47" x14ac:dyDescent="0.25">
      <c r="B3" s="217" t="s">
        <v>131</v>
      </c>
      <c r="C3" s="217" t="s">
        <v>64</v>
      </c>
      <c r="D3" s="217" t="s">
        <v>91</v>
      </c>
      <c r="E3" s="217" t="s">
        <v>65</v>
      </c>
      <c r="F3" s="217" t="s">
        <v>123</v>
      </c>
      <c r="H3" s="55" t="s">
        <v>126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spans="1:47" x14ac:dyDescent="0.25">
      <c r="A4" s="162" t="s">
        <v>0</v>
      </c>
      <c r="B4" s="23">
        <f>SUM(B15:AN15)</f>
        <v>-940687.7402471113</v>
      </c>
      <c r="C4" s="23">
        <f>SUM(B29:AN29)</f>
        <v>-955792.25850208267</v>
      </c>
      <c r="D4" s="23">
        <f>B4-C4</f>
        <v>15104.518254971365</v>
      </c>
      <c r="E4" s="23">
        <f>SUM(B55:AN55)</f>
        <v>-11441.988052198149</v>
      </c>
      <c r="F4" s="41">
        <f>D4+E4</f>
        <v>3662.5302027732159</v>
      </c>
      <c r="H4" s="55" t="s">
        <v>127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47" x14ac:dyDescent="0.25">
      <c r="A5" s="162" t="s">
        <v>4</v>
      </c>
      <c r="B5" s="23">
        <f t="shared" ref="B5:B8" si="0">SUM(B16:AN16)</f>
        <v>-11582.466861389938</v>
      </c>
      <c r="C5" s="23">
        <f>SUM(B30:AN30)</f>
        <v>-10485.866300120382</v>
      </c>
      <c r="D5" s="23">
        <f>B5-C5</f>
        <v>-1096.6005612695553</v>
      </c>
      <c r="E5" s="23">
        <f>SUM(B56:AN56)</f>
        <v>-226.10027794219144</v>
      </c>
      <c r="F5" s="41">
        <f>D5+E5</f>
        <v>-1322.7008392117468</v>
      </c>
      <c r="H5" s="55" t="s">
        <v>108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47" x14ac:dyDescent="0.25">
      <c r="A6" s="162" t="s">
        <v>5</v>
      </c>
      <c r="B6" s="23">
        <f t="shared" si="0"/>
        <v>-26806.583515906786</v>
      </c>
      <c r="C6" s="23">
        <f t="shared" ref="C6:C8" si="1">SUM(B31:AN31)</f>
        <v>-27677.638994738943</v>
      </c>
      <c r="D6" s="23">
        <f>B6-C6</f>
        <v>871.05547883215695</v>
      </c>
      <c r="E6" s="23">
        <f>SUM(B57:AN57)</f>
        <v>-421.73578821784929</v>
      </c>
      <c r="F6" s="41">
        <f>D6+E6</f>
        <v>449.31969061430766</v>
      </c>
      <c r="H6" s="55" t="s">
        <v>128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</row>
    <row r="7" spans="1:47" x14ac:dyDescent="0.25">
      <c r="A7" s="162" t="s">
        <v>6</v>
      </c>
      <c r="B7" s="23">
        <f t="shared" si="0"/>
        <v>-11835.717668050816</v>
      </c>
      <c r="C7" s="23">
        <f t="shared" si="1"/>
        <v>-11877.340208815836</v>
      </c>
      <c r="D7" s="23">
        <f>B7-C7</f>
        <v>41.622540765019949</v>
      </c>
      <c r="E7" s="23">
        <f>SUM(B58:AN58)</f>
        <v>-193.69872532883488</v>
      </c>
      <c r="F7" s="41">
        <f>D7+E7</f>
        <v>-152.07618456381493</v>
      </c>
      <c r="H7" s="55" t="s">
        <v>82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</row>
    <row r="8" spans="1:47" ht="15.75" thickBot="1" x14ac:dyDescent="0.3">
      <c r="A8" s="162" t="s">
        <v>7</v>
      </c>
      <c r="B8" s="23">
        <f t="shared" si="0"/>
        <v>-5674.7717075412038</v>
      </c>
      <c r="C8" s="23">
        <f t="shared" si="1"/>
        <v>-5198.425994241954</v>
      </c>
      <c r="D8" s="23">
        <f>B8-C8</f>
        <v>-476.34571329924984</v>
      </c>
      <c r="E8" s="23">
        <f>SUM(B59:AN59)</f>
        <v>-105.15813839146115</v>
      </c>
      <c r="F8" s="41">
        <f>D8+E8</f>
        <v>-581.50385169071103</v>
      </c>
      <c r="H8" s="55" t="s">
        <v>96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</row>
    <row r="9" spans="1:47" ht="16.5" thickTop="1" thickBot="1" x14ac:dyDescent="0.3">
      <c r="B9" s="84">
        <f>SUM(B4:B8)</f>
        <v>-996587.28</v>
      </c>
      <c r="C9" s="84">
        <f>SUM(C4:C8)</f>
        <v>-1011031.5299999998</v>
      </c>
      <c r="D9" s="84">
        <f>SUM(D4:D8)</f>
        <v>14444.249999999736</v>
      </c>
      <c r="E9" s="84">
        <f>SUM(E4:E8)</f>
        <v>-12388.680982078486</v>
      </c>
      <c r="F9" s="84">
        <f>SUM(F4:F8)</f>
        <v>2055.5690179212506</v>
      </c>
      <c r="H9" s="55" t="s">
        <v>129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</row>
    <row r="10" spans="1:47" ht="16.5" thickTop="1" thickBot="1" x14ac:dyDescent="0.3">
      <c r="D10" s="38" t="s">
        <v>25</v>
      </c>
      <c r="E10" s="20">
        <f>E9-SUM(B38:AN38)</f>
        <v>1.5917430901026819E-3</v>
      </c>
      <c r="F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</row>
    <row r="11" spans="1:47" ht="15.75" thickTop="1" x14ac:dyDescent="0.25">
      <c r="E11" s="3"/>
      <c r="G11" s="2"/>
    </row>
    <row r="12" spans="1:47" ht="15.75" thickBot="1" x14ac:dyDescent="0.3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280"/>
      <c r="AM12" s="280"/>
      <c r="AN12" s="47"/>
      <c r="AO12" s="47"/>
    </row>
    <row r="13" spans="1:47" ht="15.75" thickBot="1" x14ac:dyDescent="0.3">
      <c r="B13" s="164"/>
      <c r="C13" s="117"/>
      <c r="D13" s="135" t="s">
        <v>109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321"/>
      <c r="AL13" s="374" t="s">
        <v>67</v>
      </c>
      <c r="AM13" s="375"/>
      <c r="AN13" s="376"/>
    </row>
    <row r="14" spans="1:47" x14ac:dyDescent="0.25">
      <c r="A14" s="162" t="s">
        <v>124</v>
      </c>
      <c r="B14" s="88">
        <v>43040</v>
      </c>
      <c r="C14" s="89">
        <f t="shared" ref="C14:K14" si="2">EDATE(B14,1)</f>
        <v>43070</v>
      </c>
      <c r="D14" s="89">
        <f t="shared" si="2"/>
        <v>43101</v>
      </c>
      <c r="E14" s="89">
        <f t="shared" si="2"/>
        <v>43132</v>
      </c>
      <c r="F14" s="89">
        <f t="shared" si="2"/>
        <v>43160</v>
      </c>
      <c r="G14" s="89">
        <f t="shared" si="2"/>
        <v>43191</v>
      </c>
      <c r="H14" s="89">
        <f t="shared" si="2"/>
        <v>43221</v>
      </c>
      <c r="I14" s="89">
        <f t="shared" si="2"/>
        <v>43252</v>
      </c>
      <c r="J14" s="89">
        <f t="shared" si="2"/>
        <v>43282</v>
      </c>
      <c r="K14" s="89">
        <f t="shared" si="2"/>
        <v>43313</v>
      </c>
      <c r="L14" s="89">
        <f t="shared" ref="L14" si="3">EDATE(K14,1)</f>
        <v>43344</v>
      </c>
      <c r="M14" s="89">
        <f t="shared" ref="M14" si="4">EDATE(L14,1)</f>
        <v>43374</v>
      </c>
      <c r="N14" s="89">
        <f t="shared" ref="N14" si="5">EDATE(M14,1)</f>
        <v>43405</v>
      </c>
      <c r="O14" s="89">
        <f t="shared" ref="O14" si="6">EDATE(N14,1)</f>
        <v>43435</v>
      </c>
      <c r="P14" s="89">
        <f t="shared" ref="P14" si="7">EDATE(O14,1)</f>
        <v>43466</v>
      </c>
      <c r="Q14" s="89">
        <f t="shared" ref="Q14" si="8">EDATE(P14,1)</f>
        <v>43497</v>
      </c>
      <c r="R14" s="89">
        <f t="shared" ref="R14" si="9">EDATE(Q14,1)</f>
        <v>43525</v>
      </c>
      <c r="S14" s="89">
        <f t="shared" ref="S14" si="10">EDATE(R14,1)</f>
        <v>43556</v>
      </c>
      <c r="T14" s="89">
        <f t="shared" ref="T14" si="11">EDATE(S14,1)</f>
        <v>43586</v>
      </c>
      <c r="U14" s="89">
        <f t="shared" ref="U14" si="12">EDATE(T14,1)</f>
        <v>43617</v>
      </c>
      <c r="V14" s="89">
        <f t="shared" ref="V14" si="13">EDATE(U14,1)</f>
        <v>43647</v>
      </c>
      <c r="W14" s="89">
        <f t="shared" ref="W14" si="14">EDATE(V14,1)</f>
        <v>43678</v>
      </c>
      <c r="X14" s="89">
        <f t="shared" ref="X14" si="15">EDATE(W14,1)</f>
        <v>43709</v>
      </c>
      <c r="Y14" s="89">
        <f t="shared" ref="Y14" si="16">EDATE(X14,1)</f>
        <v>43739</v>
      </c>
      <c r="Z14" s="89">
        <f t="shared" ref="Z14" si="17">EDATE(Y14,1)</f>
        <v>43770</v>
      </c>
      <c r="AA14" s="89">
        <f t="shared" ref="AA14" si="18">EDATE(Z14,1)</f>
        <v>43800</v>
      </c>
      <c r="AB14" s="89">
        <f t="shared" ref="AB14" si="19">EDATE(AA14,1)</f>
        <v>43831</v>
      </c>
      <c r="AC14" s="89">
        <f t="shared" ref="AC14" si="20">EDATE(AB14,1)</f>
        <v>43862</v>
      </c>
      <c r="AD14" s="89">
        <f t="shared" ref="AD14" si="21">EDATE(AC14,1)</f>
        <v>43891</v>
      </c>
      <c r="AE14" s="89">
        <f t="shared" ref="AE14" si="22">EDATE(AD14,1)</f>
        <v>43922</v>
      </c>
      <c r="AF14" s="89">
        <f t="shared" ref="AF14" si="23">EDATE(AE14,1)</f>
        <v>43952</v>
      </c>
      <c r="AG14" s="89">
        <f t="shared" ref="AG14" si="24">EDATE(AF14,1)</f>
        <v>43983</v>
      </c>
      <c r="AH14" s="89">
        <f t="shared" ref="AH14" si="25">EDATE(AG14,1)</f>
        <v>44013</v>
      </c>
      <c r="AI14" s="89">
        <f t="shared" ref="AI14" si="26">EDATE(AH14,1)</f>
        <v>44044</v>
      </c>
      <c r="AJ14" s="89">
        <f t="shared" ref="AJ14" si="27">EDATE(AI14,1)</f>
        <v>44075</v>
      </c>
      <c r="AK14" s="322">
        <f t="shared" ref="AK14" si="28">EDATE(AJ14,1)</f>
        <v>44105</v>
      </c>
      <c r="AL14" s="88">
        <f>EDATE(AK14,1)</f>
        <v>44136</v>
      </c>
      <c r="AM14" s="89">
        <f t="shared" ref="AM14" si="29">EDATE(AL14,1)</f>
        <v>44166</v>
      </c>
      <c r="AN14" s="90">
        <f t="shared" ref="AN14" si="30">EDATE(AM14,1)</f>
        <v>44197</v>
      </c>
      <c r="AO14" s="1"/>
      <c r="AP14" s="1"/>
      <c r="AQ14" s="1"/>
      <c r="AR14" s="1"/>
      <c r="AS14" s="1"/>
      <c r="AT14" s="1"/>
      <c r="AU14" s="1"/>
    </row>
    <row r="15" spans="1:47" x14ac:dyDescent="0.25">
      <c r="A15" s="47" t="s">
        <v>0</v>
      </c>
      <c r="B15" s="91">
        <v>-921734.3709472178</v>
      </c>
      <c r="C15" s="92"/>
      <c r="D15" s="92"/>
      <c r="E15" s="92"/>
      <c r="F15" s="92"/>
      <c r="G15" s="92"/>
      <c r="H15" s="92"/>
      <c r="I15" s="92"/>
      <c r="J15" s="92"/>
      <c r="K15" s="101"/>
      <c r="L15" s="101"/>
      <c r="M15" s="101"/>
      <c r="N15" s="101">
        <v>-18953.369299893475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36">
        <v>0</v>
      </c>
      <c r="AM15" s="137">
        <v>0</v>
      </c>
      <c r="AN15" s="138">
        <v>0</v>
      </c>
      <c r="AO15" s="47"/>
    </row>
    <row r="16" spans="1:47" x14ac:dyDescent="0.25">
      <c r="A16" s="47" t="s">
        <v>4</v>
      </c>
      <c r="B16" s="91">
        <v>-5996.3551165116669</v>
      </c>
      <c r="C16" s="92"/>
      <c r="D16" s="92"/>
      <c r="E16" s="92"/>
      <c r="F16" s="92"/>
      <c r="G16" s="92"/>
      <c r="H16" s="92"/>
      <c r="I16" s="92"/>
      <c r="J16" s="92"/>
      <c r="K16" s="101"/>
      <c r="L16" s="101"/>
      <c r="M16" s="101"/>
      <c r="N16" s="101">
        <v>-5586.1117448782697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36">
        <v>0</v>
      </c>
      <c r="AM16" s="137">
        <v>0</v>
      </c>
      <c r="AN16" s="138">
        <v>0</v>
      </c>
      <c r="AO16" s="47"/>
    </row>
    <row r="17" spans="1:42" x14ac:dyDescent="0.25">
      <c r="A17" s="47" t="s">
        <v>5</v>
      </c>
      <c r="B17" s="91">
        <v>-13905.086120111719</v>
      </c>
      <c r="C17" s="92"/>
      <c r="D17" s="92"/>
      <c r="E17" s="92"/>
      <c r="F17" s="92"/>
      <c r="G17" s="92"/>
      <c r="H17" s="92"/>
      <c r="I17" s="92"/>
      <c r="J17" s="92"/>
      <c r="K17" s="101"/>
      <c r="L17" s="101"/>
      <c r="M17" s="101"/>
      <c r="N17" s="101">
        <v>-12901.497395795068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36">
        <v>0</v>
      </c>
      <c r="AM17" s="137">
        <v>0</v>
      </c>
      <c r="AN17" s="138">
        <v>0</v>
      </c>
      <c r="AO17" s="47"/>
    </row>
    <row r="18" spans="1:42" x14ac:dyDescent="0.25">
      <c r="A18" s="47" t="s">
        <v>6</v>
      </c>
      <c r="B18" s="91">
        <v>-6107.6805178623044</v>
      </c>
      <c r="C18" s="92"/>
      <c r="D18" s="92"/>
      <c r="E18" s="92"/>
      <c r="F18" s="92"/>
      <c r="G18" s="92"/>
      <c r="H18" s="92"/>
      <c r="I18" s="92"/>
      <c r="J18" s="92"/>
      <c r="K18" s="101"/>
      <c r="L18" s="101"/>
      <c r="M18" s="101"/>
      <c r="N18" s="101">
        <v>-5728.037150188512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36">
        <v>0</v>
      </c>
      <c r="AM18" s="137">
        <v>0</v>
      </c>
      <c r="AN18" s="138">
        <v>0</v>
      </c>
      <c r="AO18" s="47"/>
    </row>
    <row r="19" spans="1:42" x14ac:dyDescent="0.25">
      <c r="A19" s="47" t="s">
        <v>7</v>
      </c>
      <c r="B19" s="91">
        <v>-2843.7872982965264</v>
      </c>
      <c r="C19" s="92"/>
      <c r="D19" s="92"/>
      <c r="E19" s="92"/>
      <c r="F19" s="92"/>
      <c r="G19" s="92"/>
      <c r="H19" s="92"/>
      <c r="I19" s="92"/>
      <c r="J19" s="92"/>
      <c r="K19" s="101"/>
      <c r="L19" s="101"/>
      <c r="M19" s="101"/>
      <c r="N19" s="101">
        <v>-2830.984409244677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36">
        <v>0</v>
      </c>
      <c r="AM19" s="137">
        <v>0</v>
      </c>
      <c r="AN19" s="138">
        <v>0</v>
      </c>
      <c r="AO19" s="47"/>
    </row>
    <row r="20" spans="1:42" x14ac:dyDescent="0.25">
      <c r="B20" s="97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5"/>
      <c r="AM20" s="96"/>
      <c r="AN20" s="99"/>
    </row>
    <row r="21" spans="1:42" x14ac:dyDescent="0.25">
      <c r="A21" s="162" t="s">
        <v>125</v>
      </c>
      <c r="B21" s="97"/>
      <c r="C21" s="96"/>
      <c r="D21" s="100" t="s">
        <v>68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5"/>
      <c r="AM21" s="96"/>
      <c r="AN21" s="99"/>
      <c r="AO21" s="113" t="s">
        <v>107</v>
      </c>
      <c r="AP21" s="47"/>
    </row>
    <row r="22" spans="1:42" x14ac:dyDescent="0.25">
      <c r="A22" s="47" t="s">
        <v>0</v>
      </c>
      <c r="B22" s="91">
        <v>0</v>
      </c>
      <c r="C22" s="92">
        <v>0</v>
      </c>
      <c r="D22" s="92">
        <v>-11204.14</v>
      </c>
      <c r="E22" s="92">
        <v>-94588.49</v>
      </c>
      <c r="F22" s="92">
        <v>-76195.319999999978</v>
      </c>
      <c r="G22" s="92">
        <v>-73607.73</v>
      </c>
      <c r="H22" s="92">
        <v>-59967.37000000001</v>
      </c>
      <c r="I22" s="92">
        <v>-89116.420000000027</v>
      </c>
      <c r="J22" s="92">
        <v>-104503.22999999998</v>
      </c>
      <c r="K22" s="101">
        <v>-93654.23</v>
      </c>
      <c r="L22" s="101">
        <v>-90073.77</v>
      </c>
      <c r="M22" s="101">
        <v>-69694.899999999994</v>
      </c>
      <c r="N22" s="101">
        <v>-64666.009999999995</v>
      </c>
      <c r="O22" s="101">
        <v>-90010.949999999983</v>
      </c>
      <c r="P22" s="101">
        <v>-88889.919999999998</v>
      </c>
      <c r="Q22" s="101">
        <v>5583.4500000000007</v>
      </c>
      <c r="R22" s="101">
        <v>4934.5999999999995</v>
      </c>
      <c r="S22" s="101">
        <v>2934.1099999999997</v>
      </c>
      <c r="T22" s="101">
        <v>2155.3000000000002</v>
      </c>
      <c r="U22" s="101">
        <v>3933.52</v>
      </c>
      <c r="V22" s="101">
        <v>5799.95</v>
      </c>
      <c r="W22" s="101">
        <v>6297.84</v>
      </c>
      <c r="X22" s="101">
        <v>5619.8099999999995</v>
      </c>
      <c r="Y22" s="101">
        <v>4021.98</v>
      </c>
      <c r="Z22" s="101">
        <f>-[1]OAR.2!X5</f>
        <v>3029.3100000000004</v>
      </c>
      <c r="AA22" s="101">
        <f>-[1]OAR.2!Y5</f>
        <v>4729.0800000000008</v>
      </c>
      <c r="AB22" s="101">
        <f>-[1]OAR.2!Z5</f>
        <v>5470.0400000000009</v>
      </c>
      <c r="AC22" s="101">
        <f>-[1]OAR.2!AA5</f>
        <v>2387.6999999999998</v>
      </c>
      <c r="AD22" s="101">
        <f>-[1]OAR.2!AB5</f>
        <v>1.3800000000000006</v>
      </c>
      <c r="AE22" s="101">
        <f>-[1]OAR.2!AC5</f>
        <v>-0.25</v>
      </c>
      <c r="AF22" s="101">
        <f>-[1]OAR.2!AD5</f>
        <v>0.73000000000000009</v>
      </c>
      <c r="AG22" s="101">
        <f>-[1]OAR.2!AE5</f>
        <v>-0.94000000000000006</v>
      </c>
      <c r="AH22" s="101">
        <f>-[1]OAR.2!AF5</f>
        <v>-0.25</v>
      </c>
      <c r="AI22" s="101">
        <f>-[1]OAR.2!AG5</f>
        <v>-0.24000000000000005</v>
      </c>
      <c r="AJ22" s="101">
        <f>-[1]OAR.2!AH5</f>
        <v>-0.6</v>
      </c>
      <c r="AK22" s="101">
        <f>-[1]OAR.2!AI5</f>
        <v>0.12</v>
      </c>
      <c r="AL22" s="107">
        <f>'PCR (M2)'!BH28*$AO22+AL36</f>
        <v>0</v>
      </c>
      <c r="AM22" s="111">
        <f>'PCR (M2)'!BI28*$AO22+AM36</f>
        <v>0</v>
      </c>
      <c r="AN22" s="112">
        <f>'PCR (M2)'!BJ28*$AO22+AN36</f>
        <v>0</v>
      </c>
      <c r="AO22" s="102">
        <v>0</v>
      </c>
      <c r="AP22" s="47"/>
    </row>
    <row r="23" spans="1:42" x14ac:dyDescent="0.25">
      <c r="A23" s="47" t="s">
        <v>4</v>
      </c>
      <c r="B23" s="91">
        <v>0</v>
      </c>
      <c r="C23" s="92">
        <v>0</v>
      </c>
      <c r="D23" s="92">
        <v>-58.16</v>
      </c>
      <c r="E23" s="92">
        <v>-608.88999999999976</v>
      </c>
      <c r="F23" s="92">
        <v>-442.86000000000007</v>
      </c>
      <c r="G23" s="92">
        <v>-435.03000000000009</v>
      </c>
      <c r="H23" s="92">
        <v>-381.88000000000011</v>
      </c>
      <c r="I23" s="92">
        <v>-511.93000000000006</v>
      </c>
      <c r="J23" s="92">
        <v>-575.79</v>
      </c>
      <c r="K23" s="101">
        <v>-531.20000000000005</v>
      </c>
      <c r="L23" s="101">
        <v>-518.59000000000015</v>
      </c>
      <c r="M23" s="101">
        <v>-442.88</v>
      </c>
      <c r="N23" s="101">
        <v>-388.14999999999992</v>
      </c>
      <c r="O23" s="101">
        <v>-493.66000000000008</v>
      </c>
      <c r="P23" s="101">
        <v>-529.12</v>
      </c>
      <c r="Q23" s="101">
        <v>-530.28</v>
      </c>
      <c r="R23" s="101">
        <v>-493.34000000000009</v>
      </c>
      <c r="S23" s="101">
        <v>-376.36999999999995</v>
      </c>
      <c r="T23" s="101">
        <v>-350.45</v>
      </c>
      <c r="U23" s="101">
        <v>-425.62999999999994</v>
      </c>
      <c r="V23" s="101">
        <v>-503.28000000000003</v>
      </c>
      <c r="W23" s="101">
        <v>-521.25</v>
      </c>
      <c r="X23" s="101">
        <v>-497.26</v>
      </c>
      <c r="Y23" s="101">
        <v>-436.5</v>
      </c>
      <c r="Z23" s="101">
        <f>-[1]OAR.2!X6</f>
        <v>-379.28999999999996</v>
      </c>
      <c r="AA23" s="101">
        <f>-[1]OAR.2!Y6</f>
        <v>-467.06</v>
      </c>
      <c r="AB23" s="101">
        <f>-[1]OAR.2!Z6</f>
        <v>-505.68</v>
      </c>
      <c r="AC23" s="101">
        <f>-[1]OAR.2!AA6</f>
        <v>-242.6</v>
      </c>
      <c r="AD23" s="101">
        <f>-[1]OAR.2!AB6</f>
        <v>-0.33000000000000007</v>
      </c>
      <c r="AE23" s="101">
        <f>-[1]OAR.2!AC6</f>
        <v>0.15</v>
      </c>
      <c r="AF23" s="101">
        <f>-[1]OAR.2!AD6</f>
        <v>-0.1</v>
      </c>
      <c r="AG23" s="101">
        <f>-[1]OAR.2!AE6</f>
        <v>0.13</v>
      </c>
      <c r="AH23" s="101">
        <f>-[1]OAR.2!AF6</f>
        <v>0.12000000000000001</v>
      </c>
      <c r="AI23" s="101">
        <f>-[1]OAR.2!AG6</f>
        <v>-0.87000000000000011</v>
      </c>
      <c r="AJ23" s="101">
        <f>-[1]OAR.2!AH6</f>
        <v>-0.04</v>
      </c>
      <c r="AK23" s="101">
        <f>-[1]OAR.2!AI6</f>
        <v>-0.13</v>
      </c>
      <c r="AL23" s="107">
        <f>'PCR (M2)'!BH29*$AO23</f>
        <v>0</v>
      </c>
      <c r="AM23" s="111">
        <f>'PCR (M2)'!BI29*$AO23</f>
        <v>0</v>
      </c>
      <c r="AN23" s="112">
        <f>'PCR (M2)'!BJ29*$AO23</f>
        <v>0</v>
      </c>
      <c r="AO23" s="102">
        <v>0</v>
      </c>
      <c r="AP23" s="47"/>
    </row>
    <row r="24" spans="1:42" x14ac:dyDescent="0.25">
      <c r="A24" s="47" t="s">
        <v>5</v>
      </c>
      <c r="B24" s="91">
        <v>0</v>
      </c>
      <c r="C24" s="92">
        <v>0</v>
      </c>
      <c r="D24" s="92">
        <v>-102.03</v>
      </c>
      <c r="E24" s="92">
        <v>-1260.97</v>
      </c>
      <c r="F24" s="92">
        <v>-1173.2299999999998</v>
      </c>
      <c r="G24" s="92">
        <v>-1193.3399999999999</v>
      </c>
      <c r="H24" s="92">
        <v>-1183.3799999999999</v>
      </c>
      <c r="I24" s="92">
        <v>-1411.2900000000002</v>
      </c>
      <c r="J24" s="92">
        <v>-1498.6599999999996</v>
      </c>
      <c r="K24" s="101">
        <v>-1418.5000000000005</v>
      </c>
      <c r="L24" s="101">
        <v>-1442.8999999999999</v>
      </c>
      <c r="M24" s="101">
        <v>-1311.3</v>
      </c>
      <c r="N24" s="101">
        <v>-1166.71</v>
      </c>
      <c r="O24" s="101">
        <v>-1269.7600000000002</v>
      </c>
      <c r="P24" s="101">
        <v>-1292.7499999999998</v>
      </c>
      <c r="Q24" s="101">
        <v>-1247.2100000000003</v>
      </c>
      <c r="R24" s="101">
        <v>-1176.6200000000006</v>
      </c>
      <c r="S24" s="101">
        <v>-1058.1300000000001</v>
      </c>
      <c r="T24" s="101">
        <v>-1096.9299999999996</v>
      </c>
      <c r="U24" s="101">
        <v>-1220.73</v>
      </c>
      <c r="V24" s="101">
        <v>-1312.24</v>
      </c>
      <c r="W24" s="101">
        <v>-1343.29</v>
      </c>
      <c r="X24" s="101">
        <v>-1356.6500000000003</v>
      </c>
      <c r="Y24" s="101">
        <v>-1245.56</v>
      </c>
      <c r="Z24" s="101">
        <f>-[1]OAR.2!X7</f>
        <v>-1099.1000000000001</v>
      </c>
      <c r="AA24" s="101">
        <f>-[1]OAR.2!Y7</f>
        <v>-1193.1599999999999</v>
      </c>
      <c r="AB24" s="101">
        <f>-[1]OAR.2!Z7</f>
        <v>-1234.1800000000003</v>
      </c>
      <c r="AC24" s="101">
        <f>-[1]OAR.2!AA7</f>
        <v>-701.55</v>
      </c>
      <c r="AD24" s="101">
        <f>-[1]OAR.2!AB7</f>
        <v>-6.88</v>
      </c>
      <c r="AE24" s="101">
        <f>-[1]OAR.2!AC7</f>
        <v>-6.0000000000000005E-2</v>
      </c>
      <c r="AF24" s="101">
        <f>-[1]OAR.2!AD7</f>
        <v>1.79</v>
      </c>
      <c r="AG24" s="101">
        <f>-[1]OAR.2!AE7</f>
        <v>0</v>
      </c>
      <c r="AH24" s="101">
        <f>-[1]OAR.2!AF7</f>
        <v>0</v>
      </c>
      <c r="AI24" s="101">
        <f>-[1]OAR.2!AG7</f>
        <v>0.71</v>
      </c>
      <c r="AJ24" s="101">
        <f>-[1]OAR.2!AH7</f>
        <v>0.02</v>
      </c>
      <c r="AK24" s="101">
        <f>-[1]OAR.2!AI7</f>
        <v>0</v>
      </c>
      <c r="AL24" s="107">
        <f>'PCR (M2)'!BH30*$AO24</f>
        <v>0</v>
      </c>
      <c r="AM24" s="111">
        <f>'PCR (M2)'!BI30*$AO24</f>
        <v>0</v>
      </c>
      <c r="AN24" s="112">
        <f>'PCR (M2)'!BJ30*$AO24</f>
        <v>0</v>
      </c>
      <c r="AO24" s="102">
        <v>0</v>
      </c>
      <c r="AP24" s="47"/>
    </row>
    <row r="25" spans="1:42" x14ac:dyDescent="0.25">
      <c r="A25" s="47" t="s">
        <v>6</v>
      </c>
      <c r="B25" s="91">
        <v>0</v>
      </c>
      <c r="C25" s="92">
        <v>0</v>
      </c>
      <c r="D25" s="92">
        <v>-58.64</v>
      </c>
      <c r="E25" s="92">
        <v>-481.78999999999996</v>
      </c>
      <c r="F25" s="92">
        <v>-485.44</v>
      </c>
      <c r="G25" s="92">
        <v>-504.2999999999999</v>
      </c>
      <c r="H25" s="92">
        <v>-579.20000000000005</v>
      </c>
      <c r="I25" s="92">
        <v>-628.11999999999989</v>
      </c>
      <c r="J25" s="92">
        <v>-650.43000000000018</v>
      </c>
      <c r="K25" s="101">
        <v>-639.34</v>
      </c>
      <c r="L25" s="101">
        <v>-622.20999999999981</v>
      </c>
      <c r="M25" s="101">
        <v>-583.54999999999995</v>
      </c>
      <c r="N25" s="101">
        <v>-542.99999999999989</v>
      </c>
      <c r="O25" s="101">
        <v>-583.95000000000005</v>
      </c>
      <c r="P25" s="101">
        <v>-518.4</v>
      </c>
      <c r="Q25" s="101">
        <v>-497.17999999999989</v>
      </c>
      <c r="R25" s="101">
        <v>-478.87</v>
      </c>
      <c r="S25" s="101">
        <v>-459.1</v>
      </c>
      <c r="T25" s="101">
        <v>-458.3900000000001</v>
      </c>
      <c r="U25" s="101">
        <v>-532.74999999999989</v>
      </c>
      <c r="V25" s="101">
        <v>-535.31999999999994</v>
      </c>
      <c r="W25" s="101">
        <v>-562.00999999999988</v>
      </c>
      <c r="X25" s="101">
        <v>-558.71</v>
      </c>
      <c r="Y25" s="101">
        <v>-517.72</v>
      </c>
      <c r="Z25" s="101">
        <f>-[1]OAR.2!X8</f>
        <v>-478.55</v>
      </c>
      <c r="AA25" s="101">
        <f>-[1]OAR.2!Y8</f>
        <v>-503.99</v>
      </c>
      <c r="AB25" s="101">
        <f>-[1]OAR.2!Z8</f>
        <v>-495.69999999999993</v>
      </c>
      <c r="AC25" s="101">
        <f>-[1]OAR.2!AA8</f>
        <v>-326.78000000000003</v>
      </c>
      <c r="AD25" s="101">
        <f>-[1]OAR.2!AB8</f>
        <v>-3.4499999999999988</v>
      </c>
      <c r="AE25" s="101">
        <f>-[1]OAR.2!AC8</f>
        <v>0</v>
      </c>
      <c r="AF25" s="101">
        <f>-[1]OAR.2!AD8</f>
        <v>0</v>
      </c>
      <c r="AG25" s="101">
        <f>-[1]OAR.2!AE8</f>
        <v>0</v>
      </c>
      <c r="AH25" s="101">
        <f>-[1]OAR.2!AF8</f>
        <v>0</v>
      </c>
      <c r="AI25" s="101">
        <f>-[1]OAR.2!AG8</f>
        <v>0</v>
      </c>
      <c r="AJ25" s="101">
        <f>-[1]OAR.2!AH8</f>
        <v>0</v>
      </c>
      <c r="AK25" s="101">
        <f>-[1]OAR.2!AI8</f>
        <v>0</v>
      </c>
      <c r="AL25" s="107">
        <f>'PCR (M2)'!BH31*$AO25</f>
        <v>0</v>
      </c>
      <c r="AM25" s="111">
        <f>'PCR (M2)'!BI31*$AO25</f>
        <v>0</v>
      </c>
      <c r="AN25" s="112">
        <f>'PCR (M2)'!BJ31*$AO25</f>
        <v>0</v>
      </c>
      <c r="AO25" s="102">
        <v>0</v>
      </c>
      <c r="AP25" s="47"/>
    </row>
    <row r="26" spans="1:42" x14ac:dyDescent="0.25">
      <c r="A26" s="47" t="s">
        <v>7</v>
      </c>
      <c r="B26" s="91">
        <v>0</v>
      </c>
      <c r="C26" s="92">
        <v>0</v>
      </c>
      <c r="D26" s="92">
        <v>-11.07</v>
      </c>
      <c r="E26" s="92">
        <v>-122.92999999999999</v>
      </c>
      <c r="F26" s="92">
        <v>-142.99</v>
      </c>
      <c r="G26" s="92">
        <v>-245.89</v>
      </c>
      <c r="H26" s="92">
        <v>-281.14999999999998</v>
      </c>
      <c r="I26" s="92">
        <v>-311.15999999999997</v>
      </c>
      <c r="J26" s="92">
        <v>-281.26999999999992</v>
      </c>
      <c r="K26" s="101">
        <v>-320.44999999999993</v>
      </c>
      <c r="L26" s="101">
        <v>-300.97000000000003</v>
      </c>
      <c r="M26" s="101">
        <v>-297.18</v>
      </c>
      <c r="N26" s="101">
        <v>-279.21999999999997</v>
      </c>
      <c r="O26" s="101">
        <v>-271.94</v>
      </c>
      <c r="P26" s="101">
        <v>-241.87000000000003</v>
      </c>
      <c r="Q26" s="101">
        <v>-192.15</v>
      </c>
      <c r="R26" s="101">
        <v>-198.64999999999998</v>
      </c>
      <c r="S26" s="101">
        <v>-197.76000000000002</v>
      </c>
      <c r="T26" s="101">
        <v>-192.96999999999997</v>
      </c>
      <c r="U26" s="101">
        <v>-243.04000000000005</v>
      </c>
      <c r="V26" s="101">
        <v>-226.22</v>
      </c>
      <c r="W26" s="101">
        <v>-250.53000000000003</v>
      </c>
      <c r="X26" s="101">
        <v>-253.89</v>
      </c>
      <c r="Y26" s="101">
        <v>-239.54</v>
      </c>
      <c r="Z26" s="101">
        <f>-[1]OAR.2!X9</f>
        <v>-212.69000000000003</v>
      </c>
      <c r="AA26" s="101">
        <f>-[1]OAR.2!Y9</f>
        <v>-200.12</v>
      </c>
      <c r="AB26" s="101">
        <f>-[1]OAR.2!Z9</f>
        <v>-211.79999999999998</v>
      </c>
      <c r="AC26" s="101">
        <f>-[1]OAR.2!AA9</f>
        <v>-171.77999999999997</v>
      </c>
      <c r="AD26" s="101">
        <f>-[1]OAR.2!AB9</f>
        <v>6.84</v>
      </c>
      <c r="AE26" s="101">
        <f>-[1]OAR.2!AC9</f>
        <v>0</v>
      </c>
      <c r="AF26" s="101">
        <f>-[1]OAR.2!AD9</f>
        <v>0</v>
      </c>
      <c r="AG26" s="101">
        <f>-[1]OAR.2!AE9</f>
        <v>86.38</v>
      </c>
      <c r="AH26" s="101">
        <f>-[1]OAR.2!AF9</f>
        <v>0</v>
      </c>
      <c r="AI26" s="101">
        <f>-[1]OAR.2!AG9</f>
        <v>0</v>
      </c>
      <c r="AJ26" s="101">
        <f>-[1]OAR.2!AH9</f>
        <v>0</v>
      </c>
      <c r="AK26" s="101">
        <f>-[1]OAR.2!AI9</f>
        <v>0</v>
      </c>
      <c r="AL26" s="107">
        <f>'PCR (M2)'!BH32*$AO26</f>
        <v>0</v>
      </c>
      <c r="AM26" s="111">
        <f>'PCR (M2)'!BI32*$AO26</f>
        <v>0</v>
      </c>
      <c r="AN26" s="112">
        <f>'PCR (M2)'!BJ32*$AO26</f>
        <v>0</v>
      </c>
      <c r="AO26" s="102">
        <v>0</v>
      </c>
      <c r="AP26" s="47"/>
    </row>
    <row r="27" spans="1:42" x14ac:dyDescent="0.25">
      <c r="A27" s="47"/>
      <c r="B27" s="97"/>
      <c r="C27" s="105"/>
      <c r="D27" s="223"/>
      <c r="E27" s="223"/>
      <c r="F27" s="223"/>
      <c r="G27" s="223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97"/>
      <c r="AM27" s="96"/>
      <c r="AN27" s="99"/>
    </row>
    <row r="28" spans="1:42" x14ac:dyDescent="0.25">
      <c r="A28" s="47" t="s">
        <v>102</v>
      </c>
      <c r="B28" s="202"/>
      <c r="C28" s="199"/>
      <c r="D28" s="100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5"/>
      <c r="AM28" s="96"/>
      <c r="AN28" s="99"/>
    </row>
    <row r="29" spans="1:42" x14ac:dyDescent="0.25">
      <c r="A29" s="162" t="s">
        <v>0</v>
      </c>
      <c r="B29" s="107">
        <f>+IFERROR((B22-B36)+(B36*B22/SUM(B22:B26)),0)</f>
        <v>0</v>
      </c>
      <c r="C29" s="111">
        <f>+IFERROR((C22-C36)+(C36*C22/SUM(C22:C26)),0)</f>
        <v>0</v>
      </c>
      <c r="D29" s="111">
        <f t="shared" ref="D29:F29" si="31">+(D22-D36)+(D36*D22/SUM(D22:D26))</f>
        <v>-11212.618540681071</v>
      </c>
      <c r="E29" s="111">
        <f t="shared" si="31"/>
        <v>-94682.744407777034</v>
      </c>
      <c r="F29" s="111">
        <f t="shared" si="31"/>
        <v>-76280.627958119221</v>
      </c>
      <c r="G29" s="111">
        <f>+(G22-G36)+(G36*G22/SUM(G22:G26))</f>
        <v>-73670.047933995724</v>
      </c>
      <c r="H29" s="111">
        <f t="shared" ref="H29:K29" si="32">+(H22-H36)+(H36*H22/SUM(H22:H26))</f>
        <v>-60045.195744928365</v>
      </c>
      <c r="I29" s="111">
        <f t="shared" si="32"/>
        <v>-89194.201368274415</v>
      </c>
      <c r="J29" s="111">
        <f t="shared" si="32"/>
        <v>-104584.84754104615</v>
      </c>
      <c r="K29" s="108">
        <f t="shared" si="32"/>
        <v>-93731.738888901542</v>
      </c>
      <c r="L29" s="108">
        <f t="shared" ref="L29:M29" si="33">+(L22-L36)+(L36*L22/SUM(L22:L26))</f>
        <v>-90149.75359462465</v>
      </c>
      <c r="M29" s="108">
        <f t="shared" si="33"/>
        <v>-69772.812741129834</v>
      </c>
      <c r="N29" s="108">
        <f t="shared" ref="N29:X29" si="34">+(N22-N36)+(N36*N22/SUM(N22:N26))</f>
        <v>-64751.357917615358</v>
      </c>
      <c r="O29" s="108">
        <f t="shared" si="34"/>
        <v>-90109.848680969895</v>
      </c>
      <c r="P29" s="108">
        <f t="shared" si="34"/>
        <v>-88986.646587049632</v>
      </c>
      <c r="Q29" s="108">
        <f t="shared" si="34"/>
        <v>5386.6745983000874</v>
      </c>
      <c r="R29" s="108">
        <f t="shared" si="34"/>
        <v>4730.0965203005653</v>
      </c>
      <c r="S29" s="108">
        <f t="shared" si="34"/>
        <v>2603.7607348561251</v>
      </c>
      <c r="T29" s="108">
        <f t="shared" si="34"/>
        <v>-977.22529702967677</v>
      </c>
      <c r="U29" s="108">
        <f t="shared" si="34"/>
        <v>3744.5872677769175</v>
      </c>
      <c r="V29" s="108">
        <f t="shared" si="34"/>
        <v>5670.5088857205801</v>
      </c>
      <c r="W29" s="108">
        <f t="shared" si="34"/>
        <v>6166.6388582507543</v>
      </c>
      <c r="X29" s="108">
        <f t="shared" si="34"/>
        <v>5476.539148139369</v>
      </c>
      <c r="Y29" s="108">
        <f>+(Y22-Y36)+(Y36*Y22/SUM(Y22:Y26))</f>
        <v>3833.1117195101924</v>
      </c>
      <c r="Z29" s="108">
        <f t="shared" ref="Z29:AI29" si="35">+(Z22-Z36)+(Z36*Z22/SUM(Z22:Z26))</f>
        <v>2697.4601853015079</v>
      </c>
      <c r="AA29" s="108">
        <f t="shared" si="35"/>
        <v>4532.0250048842381</v>
      </c>
      <c r="AB29" s="108">
        <f t="shared" si="35"/>
        <v>5291.1120002117332</v>
      </c>
      <c r="AC29" s="108">
        <f t="shared" si="35"/>
        <v>2224.8018137758067</v>
      </c>
      <c r="AD29" s="108">
        <f t="shared" si="35"/>
        <v>1.4739344262295089</v>
      </c>
      <c r="AE29" s="108">
        <f t="shared" si="35"/>
        <v>-0.25562499999999999</v>
      </c>
      <c r="AF29" s="108">
        <f t="shared" si="35"/>
        <v>0.71603305785123972</v>
      </c>
      <c r="AG29" s="108">
        <f t="shared" si="35"/>
        <v>-0.89956059366600449</v>
      </c>
      <c r="AH29" s="108">
        <f t="shared" si="35"/>
        <v>-0.21307692307692311</v>
      </c>
      <c r="AI29" s="108">
        <f t="shared" si="35"/>
        <v>-0.252</v>
      </c>
      <c r="AJ29" s="108">
        <f>+(AJ22-AJ36)+(AJ36*AJ22/SUM(AJ22:AJ26))</f>
        <v>-0.597741935483871</v>
      </c>
      <c r="AK29" s="108">
        <f>+(AK22-AK36)+(AK36*AK22/SUM(AK22:AK26))</f>
        <v>0.12</v>
      </c>
      <c r="AL29" s="107">
        <v>0</v>
      </c>
      <c r="AM29" s="111">
        <v>0</v>
      </c>
      <c r="AN29" s="112">
        <v>0</v>
      </c>
      <c r="AO29" s="201"/>
    </row>
    <row r="30" spans="1:42" x14ac:dyDescent="0.25">
      <c r="A30" s="162" t="s">
        <v>4</v>
      </c>
      <c r="B30" s="107">
        <f>IFERROR(+B23+(B36*B23/SUM(B22:B26)),0)</f>
        <v>0</v>
      </c>
      <c r="C30" s="111">
        <f>IFERROR(+C23+(C36*C23/SUM(C22:C26)),0)</f>
        <v>0</v>
      </c>
      <c r="D30" s="111">
        <f t="shared" ref="D30:K30" si="36">+D23+(D36*D23/SUM(D22:D26))</f>
        <v>-56.015102540186433</v>
      </c>
      <c r="E30" s="111">
        <f t="shared" si="36"/>
        <v>-585.69795676383399</v>
      </c>
      <c r="F30" s="111">
        <f t="shared" si="36"/>
        <v>-426.02812399413364</v>
      </c>
      <c r="G30" s="111">
        <f t="shared" si="36"/>
        <v>-423.6322758197565</v>
      </c>
      <c r="H30" s="111">
        <f t="shared" si="36"/>
        <v>-369.62737263070312</v>
      </c>
      <c r="I30" s="111">
        <f t="shared" si="36"/>
        <v>-498.01956651154421</v>
      </c>
      <c r="J30" s="111">
        <f t="shared" si="36"/>
        <v>-560.15719260217099</v>
      </c>
      <c r="K30" s="108">
        <f t="shared" si="36"/>
        <v>-517.04881825182383</v>
      </c>
      <c r="L30" s="108">
        <f t="shared" ref="L30:M30" si="37">+L23+(L36*L23/SUM(L22:L26))</f>
        <v>-504.93009008434319</v>
      </c>
      <c r="M30" s="108">
        <f t="shared" si="37"/>
        <v>-429.78429851813519</v>
      </c>
      <c r="N30" s="108">
        <f t="shared" ref="N30:Y30" si="38">+N23+(N36*N23/SUM(N22:N26))</f>
        <v>-374.21366036380476</v>
      </c>
      <c r="O30" s="108">
        <f t="shared" si="38"/>
        <v>-475.02061678548682</v>
      </c>
      <c r="P30" s="108">
        <f t="shared" si="38"/>
        <v>-509.29924212486304</v>
      </c>
      <c r="Q30" s="108">
        <f t="shared" si="38"/>
        <v>-487.98017268652359</v>
      </c>
      <c r="R30" s="108">
        <f t="shared" si="38"/>
        <v>-450.36210597111852</v>
      </c>
      <c r="S30" s="108">
        <f t="shared" si="38"/>
        <v>-316.91894761198449</v>
      </c>
      <c r="T30" s="108">
        <f t="shared" si="38"/>
        <v>172.6226485148473</v>
      </c>
      <c r="U30" s="108">
        <f t="shared" si="38"/>
        <v>-392.42997571739539</v>
      </c>
      <c r="V30" s="108">
        <f t="shared" si="38"/>
        <v>-478.00114580392136</v>
      </c>
      <c r="W30" s="108">
        <f t="shared" si="38"/>
        <v>-495.70403382162863</v>
      </c>
      <c r="X30" s="108">
        <f t="shared" si="38"/>
        <v>-470.54235641485792</v>
      </c>
      <c r="Y30" s="108">
        <f t="shared" si="38"/>
        <v>-402.70328434407895</v>
      </c>
      <c r="Z30" s="108">
        <f t="shared" ref="Z30:AJ30" si="39">+Z23+(Z36*Z23/SUM(Z22:Z26))</f>
        <v>-321.27673680904519</v>
      </c>
      <c r="AA30" s="108">
        <f t="shared" si="39"/>
        <v>-428.13290182894599</v>
      </c>
      <c r="AB30" s="108">
        <f t="shared" si="39"/>
        <v>-468.70942316090355</v>
      </c>
      <c r="AC30" s="108">
        <f t="shared" si="39"/>
        <v>-215.20773129874391</v>
      </c>
      <c r="AD30" s="108">
        <f t="shared" si="39"/>
        <v>-0.33811475409836073</v>
      </c>
      <c r="AE30" s="108">
        <f t="shared" si="39"/>
        <v>0.15937499999999999</v>
      </c>
      <c r="AF30" s="108">
        <f t="shared" si="39"/>
        <v>-0.10082644628099174</v>
      </c>
      <c r="AG30" s="108">
        <f t="shared" si="39"/>
        <v>0.12993923103891553</v>
      </c>
      <c r="AH30" s="108">
        <f t="shared" si="39"/>
        <v>8.3076923076923076E-2</v>
      </c>
      <c r="AI30" s="108">
        <f t="shared" si="39"/>
        <v>-0.80475000000000008</v>
      </c>
      <c r="AJ30" s="108">
        <f t="shared" si="39"/>
        <v>-4.4516129032258066E-2</v>
      </c>
      <c r="AK30" s="272">
        <f t="shared" ref="AK30" si="40">+AK23+(AK36*AK23/SUM(AK22:AK26))</f>
        <v>-0.13</v>
      </c>
      <c r="AL30" s="107">
        <v>0</v>
      </c>
      <c r="AM30" s="111">
        <v>0</v>
      </c>
      <c r="AN30" s="112">
        <v>0</v>
      </c>
    </row>
    <row r="31" spans="1:42" x14ac:dyDescent="0.25">
      <c r="A31" s="162" t="s">
        <v>5</v>
      </c>
      <c r="B31" s="107">
        <f t="shared" ref="B31:C33" si="41">IFERROR(+B24+(B37*B24/SUM(B23:B27)),0)</f>
        <v>0</v>
      </c>
      <c r="C31" s="111">
        <f t="shared" si="41"/>
        <v>0</v>
      </c>
      <c r="D31" s="111">
        <f t="shared" ref="D31:K31" si="42">+D24+(D36*D24/SUM(D22:D26))</f>
        <v>-98.267209631623501</v>
      </c>
      <c r="E31" s="111">
        <f t="shared" si="42"/>
        <v>-1212.9408473459771</v>
      </c>
      <c r="F31" s="111">
        <f t="shared" si="42"/>
        <v>-1128.6387931030963</v>
      </c>
      <c r="G31" s="111">
        <f t="shared" si="42"/>
        <v>-1162.0746615790822</v>
      </c>
      <c r="H31" s="111">
        <f t="shared" si="42"/>
        <v>-1145.4112292440591</v>
      </c>
      <c r="I31" s="111">
        <f t="shared" si="42"/>
        <v>-1372.9416795696234</v>
      </c>
      <c r="J31" s="111">
        <f t="shared" si="42"/>
        <v>-1457.9710975619055</v>
      </c>
      <c r="K31" s="108">
        <f t="shared" si="42"/>
        <v>-1380.7111232872971</v>
      </c>
      <c r="L31" s="108">
        <f t="shared" ref="L31:M31" si="43">+L24+(L36*L24/SUM(L22:L26))</f>
        <v>-1404.8933203160466</v>
      </c>
      <c r="M31" s="108">
        <f t="shared" si="43"/>
        <v>-1272.5256291700475</v>
      </c>
      <c r="N31" s="108">
        <f t="shared" ref="N31:Y31" si="44">+N24+(N36*N24/SUM(N22:N26))</f>
        <v>-1124.8198368750604</v>
      </c>
      <c r="O31" s="108">
        <f t="shared" si="44"/>
        <v>-1221.8169962515492</v>
      </c>
      <c r="P31" s="108">
        <f t="shared" si="44"/>
        <v>-1244.323773920692</v>
      </c>
      <c r="Q31" s="108">
        <f t="shared" si="44"/>
        <v>-1147.7214889800846</v>
      </c>
      <c r="R31" s="108">
        <f t="shared" si="44"/>
        <v>-1074.1173655647983</v>
      </c>
      <c r="S31" s="108">
        <f t="shared" si="44"/>
        <v>-890.98877709878377</v>
      </c>
      <c r="T31" s="108">
        <f t="shared" si="44"/>
        <v>540.31948019800643</v>
      </c>
      <c r="U31" s="108">
        <f t="shared" si="44"/>
        <v>-1125.5105238293734</v>
      </c>
      <c r="V31" s="108">
        <f t="shared" si="44"/>
        <v>-1246.3285319697538</v>
      </c>
      <c r="W31" s="108">
        <f t="shared" si="44"/>
        <v>-1277.4566361482121</v>
      </c>
      <c r="X31" s="108">
        <f t="shared" si="44"/>
        <v>-1283.7575671282975</v>
      </c>
      <c r="Y31" s="108">
        <f t="shared" si="44"/>
        <v>-1149.1205105329002</v>
      </c>
      <c r="Z31" s="108">
        <f t="shared" ref="Z31:AJ31" si="45">+Z24+(Z36*Z24/SUM(Z22:Z26))</f>
        <v>-930.99016959799019</v>
      </c>
      <c r="AA31" s="108">
        <f t="shared" si="45"/>
        <v>-1093.7161245797652</v>
      </c>
      <c r="AB31" s="108">
        <f t="shared" si="45"/>
        <v>-1143.9483386266495</v>
      </c>
      <c r="AC31" s="108">
        <f t="shared" si="45"/>
        <v>-622.33711414935601</v>
      </c>
      <c r="AD31" s="108">
        <f t="shared" si="45"/>
        <v>-7.0491803278688527</v>
      </c>
      <c r="AE31" s="108">
        <f t="shared" si="45"/>
        <v>-6.3750000000000001E-2</v>
      </c>
      <c r="AF31" s="108">
        <f t="shared" si="45"/>
        <v>1.804793388429752</v>
      </c>
      <c r="AG31" s="108">
        <f t="shared" si="45"/>
        <v>0</v>
      </c>
      <c r="AH31" s="108">
        <f t="shared" si="45"/>
        <v>0</v>
      </c>
      <c r="AI31" s="108">
        <f t="shared" si="45"/>
        <v>0.65674999999999994</v>
      </c>
      <c r="AJ31" s="108">
        <f t="shared" si="45"/>
        <v>2.2258064516129033E-2</v>
      </c>
      <c r="AK31" s="108">
        <f t="shared" ref="AK31" si="46">+AK24+(AK36*AK24/SUM(AK22:AK26))</f>
        <v>0</v>
      </c>
      <c r="AL31" s="107">
        <v>0</v>
      </c>
      <c r="AM31" s="111">
        <v>0</v>
      </c>
      <c r="AN31" s="112">
        <v>0</v>
      </c>
    </row>
    <row r="32" spans="1:42" x14ac:dyDescent="0.25">
      <c r="A32" s="162" t="s">
        <v>6</v>
      </c>
      <c r="B32" s="107">
        <f t="shared" si="41"/>
        <v>0</v>
      </c>
      <c r="C32" s="111">
        <f t="shared" si="41"/>
        <v>0</v>
      </c>
      <c r="D32" s="111">
        <f t="shared" ref="D32:K32" si="47">+D25+(D36*D25/SUM(D22:D26))</f>
        <v>-56.477400497877113</v>
      </c>
      <c r="E32" s="111">
        <f t="shared" si="47"/>
        <v>-463.43907534899188</v>
      </c>
      <c r="F32" s="111">
        <f t="shared" si="47"/>
        <v>-466.98977670530689</v>
      </c>
      <c r="G32" s="111">
        <f t="shared" si="47"/>
        <v>-491.08741166334073</v>
      </c>
      <c r="H32" s="111">
        <f t="shared" si="47"/>
        <v>-560.61635651959568</v>
      </c>
      <c r="I32" s="111">
        <f t="shared" si="47"/>
        <v>-611.05239020419015</v>
      </c>
      <c r="J32" s="111">
        <f t="shared" si="47"/>
        <v>-632.770702485681</v>
      </c>
      <c r="K32" s="108">
        <f t="shared" si="47"/>
        <v>-622.30796585301403</v>
      </c>
      <c r="L32" s="108">
        <f t="shared" ref="L32:M32" si="48">+L25+(L36*L25/SUM(L22:L26))</f>
        <v>-605.82068946832567</v>
      </c>
      <c r="M32" s="108">
        <f t="shared" si="48"/>
        <v>-566.29476923829884</v>
      </c>
      <c r="N32" s="108">
        <f t="shared" ref="N32:Y32" si="49">+N25+(N36*N25/SUM(N22:N26))</f>
        <v>-523.503845362736</v>
      </c>
      <c r="O32" s="108">
        <f t="shared" si="49"/>
        <v>-561.90148922717049</v>
      </c>
      <c r="P32" s="108">
        <f t="shared" si="49"/>
        <v>-498.98081175825706</v>
      </c>
      <c r="Q32" s="108">
        <f t="shared" si="49"/>
        <v>-457.52052171736773</v>
      </c>
      <c r="R32" s="108">
        <f t="shared" si="49"/>
        <v>-437.15267703082964</v>
      </c>
      <c r="S32" s="108">
        <f t="shared" si="49"/>
        <v>-386.58099436369031</v>
      </c>
      <c r="T32" s="108">
        <f t="shared" si="49"/>
        <v>225.79111386138072</v>
      </c>
      <c r="U32" s="108">
        <f t="shared" si="49"/>
        <v>-491.19439316646475</v>
      </c>
      <c r="V32" s="108">
        <f t="shared" si="49"/>
        <v>-508.43183391304075</v>
      </c>
      <c r="W32" s="108">
        <f t="shared" si="49"/>
        <v>-534.46642503231351</v>
      </c>
      <c r="X32" s="108">
        <f t="shared" si="49"/>
        <v>-528.69066474790918</v>
      </c>
      <c r="Y32" s="108">
        <f t="shared" si="49"/>
        <v>-477.6346950071399</v>
      </c>
      <c r="Z32" s="108">
        <f t="shared" ref="Z32:AJ32" si="50">+Z25+(Z36*Z25/SUM(Z22:Z26))</f>
        <v>-405.35469535175883</v>
      </c>
      <c r="AA32" s="108">
        <f t="shared" si="50"/>
        <v>-461.98497236494347</v>
      </c>
      <c r="AB32" s="108">
        <f t="shared" si="50"/>
        <v>-459.45906711924511</v>
      </c>
      <c r="AC32" s="108">
        <f t="shared" si="50"/>
        <v>-289.88286246415311</v>
      </c>
      <c r="AD32" s="108">
        <f t="shared" si="50"/>
        <v>-3.5348360655737694</v>
      </c>
      <c r="AE32" s="108">
        <f t="shared" si="50"/>
        <v>0</v>
      </c>
      <c r="AF32" s="108">
        <f t="shared" si="50"/>
        <v>0</v>
      </c>
      <c r="AG32" s="108">
        <f t="shared" si="50"/>
        <v>0</v>
      </c>
      <c r="AH32" s="108">
        <f t="shared" si="50"/>
        <v>0</v>
      </c>
      <c r="AI32" s="108">
        <f t="shared" si="50"/>
        <v>0</v>
      </c>
      <c r="AJ32" s="108">
        <f t="shared" si="50"/>
        <v>0</v>
      </c>
      <c r="AK32" s="108">
        <f t="shared" ref="AK32" si="51">+AK25+(AK36*AK25/SUM(AK22:AK26))</f>
        <v>0</v>
      </c>
      <c r="AL32" s="107">
        <v>0</v>
      </c>
      <c r="AM32" s="111">
        <v>0</v>
      </c>
      <c r="AN32" s="112">
        <v>0</v>
      </c>
    </row>
    <row r="33" spans="1:44" x14ac:dyDescent="0.25">
      <c r="A33" s="162" t="s">
        <v>7</v>
      </c>
      <c r="B33" s="107">
        <f t="shared" si="41"/>
        <v>0</v>
      </c>
      <c r="C33" s="111">
        <f t="shared" si="41"/>
        <v>0</v>
      </c>
      <c r="D33" s="111">
        <f t="shared" ref="D33:K33" si="52">+D26+(D36*D26/SUM(D22:D26))</f>
        <v>-10.661746649241126</v>
      </c>
      <c r="E33" s="111">
        <f t="shared" si="52"/>
        <v>-118.24771276417437</v>
      </c>
      <c r="F33" s="111">
        <f t="shared" si="52"/>
        <v>-137.55534807822147</v>
      </c>
      <c r="G33" s="111">
        <f t="shared" si="52"/>
        <v>-239.44771694209572</v>
      </c>
      <c r="H33" s="111">
        <f t="shared" si="52"/>
        <v>-272.12929667728645</v>
      </c>
      <c r="I33" s="111">
        <f t="shared" si="52"/>
        <v>-302.70499544025955</v>
      </c>
      <c r="J33" s="111">
        <f t="shared" si="52"/>
        <v>-273.63346630405636</v>
      </c>
      <c r="K33" s="108">
        <f t="shared" si="52"/>
        <v>-311.91320370631945</v>
      </c>
      <c r="L33" s="108">
        <f t="shared" ref="L33:M33" si="53">+L26+(L36*L26/SUM(L22:L26))</f>
        <v>-293.04230550663289</v>
      </c>
      <c r="M33" s="108">
        <f t="shared" si="53"/>
        <v>-288.39256194368545</v>
      </c>
      <c r="N33" s="108">
        <f t="shared" ref="N33:Y33" si="54">+N26+(N36*N26/SUM(N22:N26))</f>
        <v>-269.19473978302608</v>
      </c>
      <c r="O33" s="108">
        <f t="shared" si="54"/>
        <v>-261.6722167658819</v>
      </c>
      <c r="P33" s="108">
        <f t="shared" si="54"/>
        <v>-232.80958514654642</v>
      </c>
      <c r="Q33" s="108">
        <f t="shared" si="54"/>
        <v>-176.82241491611131</v>
      </c>
      <c r="R33" s="108">
        <f t="shared" si="54"/>
        <v>-181.34437173381983</v>
      </c>
      <c r="S33" s="108">
        <f t="shared" si="54"/>
        <v>-166.52201578166716</v>
      </c>
      <c r="T33" s="108">
        <f t="shared" si="54"/>
        <v>95.052054455443169</v>
      </c>
      <c r="U33" s="108">
        <f t="shared" si="54"/>
        <v>-224.08237506368397</v>
      </c>
      <c r="V33" s="108">
        <f t="shared" si="54"/>
        <v>-214.85737403386401</v>
      </c>
      <c r="W33" s="108">
        <f t="shared" si="54"/>
        <v>-238.25176324859976</v>
      </c>
      <c r="X33" s="108">
        <f t="shared" si="54"/>
        <v>-240.24855984830526</v>
      </c>
      <c r="Y33" s="108">
        <f t="shared" si="54"/>
        <v>-220.99322962607255</v>
      </c>
      <c r="Z33" s="108">
        <f t="shared" ref="Z33:AJ33" si="55">+Z26+(Z36*Z26/SUM(Z22:Z26))</f>
        <v>-180.15858354271359</v>
      </c>
      <c r="AA33" s="108">
        <f t="shared" si="55"/>
        <v>-183.44100611058252</v>
      </c>
      <c r="AB33" s="108">
        <f t="shared" si="55"/>
        <v>-196.31517130493467</v>
      </c>
      <c r="AC33" s="108">
        <f t="shared" si="55"/>
        <v>-152.38410586355408</v>
      </c>
      <c r="AD33" s="108">
        <f t="shared" si="55"/>
        <v>7.0081967213114753</v>
      </c>
      <c r="AE33" s="108">
        <f t="shared" si="55"/>
        <v>0</v>
      </c>
      <c r="AF33" s="108">
        <f t="shared" si="55"/>
        <v>0</v>
      </c>
      <c r="AG33" s="108">
        <f t="shared" si="55"/>
        <v>86.339621362627085</v>
      </c>
      <c r="AH33" s="108">
        <f t="shared" si="55"/>
        <v>0</v>
      </c>
      <c r="AI33" s="108">
        <f t="shared" si="55"/>
        <v>0</v>
      </c>
      <c r="AJ33" s="108">
        <f t="shared" si="55"/>
        <v>0</v>
      </c>
      <c r="AK33" s="108">
        <f t="shared" ref="AK33" si="56">+AK26+(AK36*AK26/SUM(AK22:AK26))</f>
        <v>0</v>
      </c>
      <c r="AL33" s="107">
        <v>0</v>
      </c>
      <c r="AM33" s="111">
        <v>0</v>
      </c>
      <c r="AN33" s="112">
        <v>0</v>
      </c>
    </row>
    <row r="34" spans="1:44" s="47" customFormat="1" x14ac:dyDescent="0.25">
      <c r="B34" s="203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95"/>
      <c r="AM34" s="96"/>
      <c r="AN34" s="99"/>
    </row>
    <row r="35" spans="1:44" x14ac:dyDescent="0.25">
      <c r="A35" s="47" t="s">
        <v>106</v>
      </c>
      <c r="B35" s="202"/>
      <c r="C35" s="199"/>
      <c r="D35" s="100" t="s">
        <v>86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5"/>
      <c r="AM35" s="96"/>
      <c r="AN35" s="99"/>
      <c r="AO35" s="189"/>
      <c r="AP35" s="47"/>
    </row>
    <row r="36" spans="1:44" x14ac:dyDescent="0.25">
      <c r="A36" s="47" t="str">
        <f>A22</f>
        <v>RES</v>
      </c>
      <c r="B36" s="91"/>
      <c r="C36" s="92"/>
      <c r="D36" s="92">
        <v>421.67887468030682</v>
      </c>
      <c r="E36" s="92">
        <v>3697.040378516625</v>
      </c>
      <c r="F36" s="92">
        <v>2981.2800000000007</v>
      </c>
      <c r="G36" s="92">
        <v>1990.8299999999995</v>
      </c>
      <c r="H36" s="92">
        <v>2001.8799999999997</v>
      </c>
      <c r="I36" s="92">
        <v>2499.3000000000002</v>
      </c>
      <c r="J36" s="92">
        <v>2918.8999999999996</v>
      </c>
      <c r="K36" s="101">
        <v>2572.46</v>
      </c>
      <c r="L36" s="101">
        <v>2448.5699999999988</v>
      </c>
      <c r="M36" s="101">
        <v>2138.75</v>
      </c>
      <c r="N36" s="101">
        <v>2407.1500000000005</v>
      </c>
      <c r="O36" s="101">
        <v>3497.4900000000002</v>
      </c>
      <c r="P36" s="101">
        <v>3426.53</v>
      </c>
      <c r="Q36" s="101">
        <v>-248.61</v>
      </c>
      <c r="R36" s="101">
        <v>-225.38</v>
      </c>
      <c r="S36" s="101">
        <v>-133.12</v>
      </c>
      <c r="T36" s="101">
        <v>-84.42</v>
      </c>
      <c r="U36" s="101">
        <v>-117.89000000000001</v>
      </c>
      <c r="V36" s="101">
        <v>-161.88</v>
      </c>
      <c r="W36" s="101">
        <v>-177.45</v>
      </c>
      <c r="X36" s="101">
        <v>-158.68</v>
      </c>
      <c r="Y36" s="101">
        <v>-122.53999999999998</v>
      </c>
      <c r="Z36" s="101">
        <f>[1]OAR.3!U5</f>
        <v>-131.49</v>
      </c>
      <c r="AA36" s="101">
        <f>[1]OAR.3!V5</f>
        <v>-197.09000000000003</v>
      </c>
      <c r="AB36" s="101">
        <f>[1]OAR.3!W5</f>
        <v>-220.99</v>
      </c>
      <c r="AC36" s="101">
        <f>[1]OAR.3!X5</f>
        <v>-106.7</v>
      </c>
      <c r="AD36" s="101">
        <f>[1]OAR.3!Y5</f>
        <v>-6.0000000000000005E-2</v>
      </c>
      <c r="AE36" s="101">
        <f>[1]OAR.3!Z5</f>
        <v>-0.01</v>
      </c>
      <c r="AF36" s="101">
        <f>[1]OAR.3!AA5</f>
        <v>0.02</v>
      </c>
      <c r="AG36" s="101">
        <f>[1]OAR.3!AB5</f>
        <v>-0.04</v>
      </c>
      <c r="AH36" s="101">
        <f>[1]OAR.3!AC5</f>
        <v>4.0000000000000008E-2</v>
      </c>
      <c r="AI36" s="101">
        <f>[1]OAR.3!AD5</f>
        <v>0.03</v>
      </c>
      <c r="AJ36" s="101">
        <f>[1]OAR.3!AE5</f>
        <v>-7.0000000000000007E-2</v>
      </c>
      <c r="AK36" s="101">
        <v>0</v>
      </c>
      <c r="AL36" s="107">
        <f>-('PCR (M2)'!BH28*OAR!$AO$22*PPC!$B$14)</f>
        <v>0</v>
      </c>
      <c r="AM36" s="111">
        <f>-('PCR (M2)'!BI28*OAR!$AO$22*PPC!$B$14)</f>
        <v>0</v>
      </c>
      <c r="AN36" s="112">
        <f>-('PCR (M2)'!BJ28*OAR!$AO$22*PPC!$B$14)</f>
        <v>0</v>
      </c>
      <c r="AO36" s="201"/>
      <c r="AP36" s="199"/>
      <c r="AQ36" s="96"/>
      <c r="AR36" s="96"/>
    </row>
    <row r="37" spans="1:44" x14ac:dyDescent="0.25">
      <c r="A37" s="47"/>
      <c r="B37" s="97"/>
      <c r="C37" s="105"/>
      <c r="D37" s="100" t="s">
        <v>68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4"/>
      <c r="AM37" s="105"/>
      <c r="AN37" s="99"/>
      <c r="AP37" s="96"/>
      <c r="AQ37" s="96"/>
      <c r="AR37" s="96"/>
    </row>
    <row r="38" spans="1:44" ht="15.75" thickBot="1" x14ac:dyDescent="0.3">
      <c r="A38" s="47" t="s">
        <v>88</v>
      </c>
      <c r="B38" s="114">
        <v>-1142.98</v>
      </c>
      <c r="C38" s="115">
        <v>-1406.61</v>
      </c>
      <c r="D38" s="115">
        <v>-1346.15</v>
      </c>
      <c r="E38" s="115">
        <v>-1288.4100000000001</v>
      </c>
      <c r="F38" s="115">
        <v>-1315.95</v>
      </c>
      <c r="G38" s="115">
        <v>-1336.96</v>
      </c>
      <c r="H38" s="115">
        <v>-1160.06</v>
      </c>
      <c r="I38" s="115">
        <v>-1030.1500000000001</v>
      </c>
      <c r="J38" s="115">
        <v>-852.43</v>
      </c>
      <c r="K38" s="116">
        <v>-659.07</v>
      </c>
      <c r="L38" s="116">
        <v>-480.93</v>
      </c>
      <c r="M38" s="116">
        <v>-360.32</v>
      </c>
      <c r="N38" s="116">
        <v>-326.98</v>
      </c>
      <c r="O38" s="116">
        <v>-144.53</v>
      </c>
      <c r="P38" s="116">
        <v>67.83</v>
      </c>
      <c r="Q38" s="116">
        <v>59.92</v>
      </c>
      <c r="R38" s="116">
        <v>52.94</v>
      </c>
      <c r="S38" s="116">
        <v>48.8</v>
      </c>
      <c r="T38" s="116">
        <v>49.06</v>
      </c>
      <c r="U38" s="116">
        <v>45.33</v>
      </c>
      <c r="V38" s="116">
        <v>37.520000000000003</v>
      </c>
      <c r="W38" s="116">
        <v>26.97</v>
      </c>
      <c r="X38" s="116">
        <v>20.03</v>
      </c>
      <c r="Y38" s="116">
        <v>16.34</v>
      </c>
      <c r="Z38" s="116">
        <f>-[1]OAR.4!$W$29</f>
        <v>12.76</v>
      </c>
      <c r="AA38" s="116">
        <f>-[1]OAR.4!$W$30</f>
        <v>9.7100000000000009</v>
      </c>
      <c r="AB38" s="116">
        <f>-[1]OAR.4!$W$31</f>
        <v>4.83</v>
      </c>
      <c r="AC38" s="116">
        <f>-[1]OAR.4!$W$32</f>
        <v>3.2</v>
      </c>
      <c r="AD38" s="116">
        <f>-[1]OAR.4!$W$33</f>
        <v>3.36</v>
      </c>
      <c r="AE38" s="116">
        <f>-[1]OAR.4!$W$34</f>
        <v>1.67</v>
      </c>
      <c r="AF38" s="116">
        <f>-[1]OAR.4!$W$35</f>
        <v>0.23</v>
      </c>
      <c r="AG38" s="116">
        <f>-[1]OAR.4!$W$36</f>
        <v>0.21</v>
      </c>
      <c r="AH38" s="116">
        <f>-[1]OAR.4!$W$37</f>
        <v>0.33</v>
      </c>
      <c r="AI38" s="116">
        <f>-[1]OAR.4!$W$38</f>
        <v>0.23</v>
      </c>
      <c r="AJ38" s="116">
        <f>-[1]OAR.4!$W$39</f>
        <v>0.21</v>
      </c>
      <c r="AK38" s="116">
        <f>-[1]OAR.4!$W$40</f>
        <v>0.34</v>
      </c>
      <c r="AL38" s="221">
        <f>'[2]MEEIA 2 calcs'!$BI$81</f>
        <v>0.34241831991806154</v>
      </c>
      <c r="AM38" s="222">
        <f>'[2]MEEIA 2 calcs'!$BJ$81</f>
        <v>0.34247538963804791</v>
      </c>
      <c r="AN38" s="149">
        <f>'[2]MEEIA 2 calcs'!$BK$81</f>
        <v>0.34253246886965427</v>
      </c>
      <c r="AO38" s="47"/>
      <c r="AP38" s="318"/>
      <c r="AQ38" s="318"/>
      <c r="AR38" s="318"/>
    </row>
    <row r="39" spans="1:44" x14ac:dyDescent="0.25"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218"/>
      <c r="AM39" s="150"/>
      <c r="AN39" s="219"/>
      <c r="AP39" s="96"/>
      <c r="AQ39" s="96"/>
      <c r="AR39" s="96"/>
    </row>
    <row r="40" spans="1:44" x14ac:dyDescent="0.25">
      <c r="A40" s="162" t="s">
        <v>69</v>
      </c>
      <c r="B40" s="97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5"/>
      <c r="AM40" s="96"/>
      <c r="AN40" s="99"/>
      <c r="AP40" s="96"/>
      <c r="AQ40" s="96"/>
      <c r="AR40" s="96"/>
    </row>
    <row r="41" spans="1:44" x14ac:dyDescent="0.25">
      <c r="A41" s="162" t="s">
        <v>0</v>
      </c>
      <c r="B41" s="107">
        <f>B15-B29</f>
        <v>-921734.3709472178</v>
      </c>
      <c r="C41" s="111">
        <f>C15-C29</f>
        <v>0</v>
      </c>
      <c r="D41" s="111">
        <f t="shared" ref="B41:AN45" si="57">D15-D29</f>
        <v>11212.618540681071</v>
      </c>
      <c r="E41" s="111">
        <f t="shared" si="57"/>
        <v>94682.744407777034</v>
      </c>
      <c r="F41" s="111">
        <f t="shared" si="57"/>
        <v>76280.627958119221</v>
      </c>
      <c r="G41" s="111">
        <f t="shared" si="57"/>
        <v>73670.047933995724</v>
      </c>
      <c r="H41" s="111">
        <f t="shared" si="57"/>
        <v>60045.195744928365</v>
      </c>
      <c r="I41" s="111">
        <f t="shared" si="57"/>
        <v>89194.201368274415</v>
      </c>
      <c r="J41" s="111">
        <f t="shared" si="57"/>
        <v>104584.84754104615</v>
      </c>
      <c r="K41" s="108">
        <f t="shared" si="57"/>
        <v>93731.738888901542</v>
      </c>
      <c r="L41" s="108">
        <f t="shared" ref="L41:M41" si="58">L15-L29</f>
        <v>90149.75359462465</v>
      </c>
      <c r="M41" s="108">
        <f t="shared" si="58"/>
        <v>69772.812741129834</v>
      </c>
      <c r="N41" s="108">
        <f t="shared" ref="N41:X41" si="59">N15-N29</f>
        <v>45797.988617721887</v>
      </c>
      <c r="O41" s="108">
        <f t="shared" si="59"/>
        <v>90109.848680969895</v>
      </c>
      <c r="P41" s="108">
        <f t="shared" si="59"/>
        <v>88986.646587049632</v>
      </c>
      <c r="Q41" s="108">
        <f t="shared" si="59"/>
        <v>-5386.6745983000874</v>
      </c>
      <c r="R41" s="108">
        <f t="shared" si="59"/>
        <v>-4730.0965203005653</v>
      </c>
      <c r="S41" s="108">
        <f t="shared" si="59"/>
        <v>-2603.7607348561251</v>
      </c>
      <c r="T41" s="108">
        <f t="shared" si="59"/>
        <v>977.22529702967677</v>
      </c>
      <c r="U41" s="108">
        <f t="shared" si="59"/>
        <v>-3744.5872677769175</v>
      </c>
      <c r="V41" s="108">
        <f t="shared" si="59"/>
        <v>-5670.5088857205801</v>
      </c>
      <c r="W41" s="108">
        <f t="shared" si="59"/>
        <v>-6166.6388582507543</v>
      </c>
      <c r="X41" s="108">
        <f t="shared" si="59"/>
        <v>-5476.539148139369</v>
      </c>
      <c r="Y41" s="108">
        <f>Y15-Y29</f>
        <v>-3833.1117195101924</v>
      </c>
      <c r="Z41" s="108">
        <f>Z15-Z29</f>
        <v>-2697.4601853015079</v>
      </c>
      <c r="AA41" s="108">
        <f t="shared" ref="AA41:AI41" si="60">AA15-AA29</f>
        <v>-4532.0250048842381</v>
      </c>
      <c r="AB41" s="108">
        <f t="shared" si="60"/>
        <v>-5291.1120002117332</v>
      </c>
      <c r="AC41" s="108">
        <f t="shared" si="60"/>
        <v>-2224.8018137758067</v>
      </c>
      <c r="AD41" s="108">
        <f t="shared" si="60"/>
        <v>-1.4739344262295089</v>
      </c>
      <c r="AE41" s="108">
        <f t="shared" si="60"/>
        <v>0.25562499999999999</v>
      </c>
      <c r="AF41" s="108">
        <f t="shared" si="60"/>
        <v>-0.71603305785123972</v>
      </c>
      <c r="AG41" s="108">
        <f t="shared" si="60"/>
        <v>0.89956059366600449</v>
      </c>
      <c r="AH41" s="108">
        <f t="shared" si="60"/>
        <v>0.21307692307692311</v>
      </c>
      <c r="AI41" s="108">
        <f t="shared" si="60"/>
        <v>0.252</v>
      </c>
      <c r="AJ41" s="108">
        <f>AJ15-AJ29</f>
        <v>0.597741935483871</v>
      </c>
      <c r="AK41" s="108">
        <f>AK15-AK29</f>
        <v>-0.12</v>
      </c>
      <c r="AL41" s="107">
        <f>AL15-AL29</f>
        <v>0</v>
      </c>
      <c r="AM41" s="111">
        <f t="shared" si="57"/>
        <v>0</v>
      </c>
      <c r="AN41" s="112">
        <f t="shared" si="57"/>
        <v>0</v>
      </c>
    </row>
    <row r="42" spans="1:44" x14ac:dyDescent="0.25">
      <c r="A42" s="162" t="s">
        <v>4</v>
      </c>
      <c r="B42" s="107">
        <f t="shared" si="57"/>
        <v>-5996.3551165116669</v>
      </c>
      <c r="C42" s="111">
        <f t="shared" si="57"/>
        <v>0</v>
      </c>
      <c r="D42" s="111">
        <f t="shared" si="57"/>
        <v>56.015102540186433</v>
      </c>
      <c r="E42" s="111">
        <f t="shared" si="57"/>
        <v>585.69795676383399</v>
      </c>
      <c r="F42" s="111">
        <f t="shared" si="57"/>
        <v>426.02812399413364</v>
      </c>
      <c r="G42" s="111">
        <f t="shared" si="57"/>
        <v>423.6322758197565</v>
      </c>
      <c r="H42" s="111">
        <f t="shared" si="57"/>
        <v>369.62737263070312</v>
      </c>
      <c r="I42" s="111">
        <f t="shared" si="57"/>
        <v>498.01956651154421</v>
      </c>
      <c r="J42" s="111">
        <f t="shared" si="57"/>
        <v>560.15719260217099</v>
      </c>
      <c r="K42" s="108">
        <f t="shared" si="57"/>
        <v>517.04881825182383</v>
      </c>
      <c r="L42" s="108">
        <f t="shared" ref="L42:M42" si="61">L16-L30</f>
        <v>504.93009008434319</v>
      </c>
      <c r="M42" s="108">
        <f t="shared" si="61"/>
        <v>429.78429851813519</v>
      </c>
      <c r="N42" s="108">
        <f t="shared" ref="N42:Y42" si="62">N16-N30</f>
        <v>-5211.8980845144652</v>
      </c>
      <c r="O42" s="108">
        <f t="shared" si="62"/>
        <v>475.02061678548682</v>
      </c>
      <c r="P42" s="108">
        <f t="shared" si="62"/>
        <v>509.29924212486304</v>
      </c>
      <c r="Q42" s="108">
        <f t="shared" si="62"/>
        <v>487.98017268652359</v>
      </c>
      <c r="R42" s="108">
        <f t="shared" si="62"/>
        <v>450.36210597111852</v>
      </c>
      <c r="S42" s="108">
        <f t="shared" si="62"/>
        <v>316.91894761198449</v>
      </c>
      <c r="T42" s="108">
        <f t="shared" si="62"/>
        <v>-172.6226485148473</v>
      </c>
      <c r="U42" s="108">
        <f t="shared" si="62"/>
        <v>392.42997571739539</v>
      </c>
      <c r="V42" s="108">
        <f t="shared" si="62"/>
        <v>478.00114580392136</v>
      </c>
      <c r="W42" s="108">
        <f t="shared" si="62"/>
        <v>495.70403382162863</v>
      </c>
      <c r="X42" s="108">
        <f t="shared" si="62"/>
        <v>470.54235641485792</v>
      </c>
      <c r="Y42" s="108">
        <f t="shared" si="62"/>
        <v>402.70328434407895</v>
      </c>
      <c r="Z42" s="108">
        <f t="shared" ref="Z42:AJ42" si="63">Z16-Z30</f>
        <v>321.27673680904519</v>
      </c>
      <c r="AA42" s="108">
        <f t="shared" si="63"/>
        <v>428.13290182894599</v>
      </c>
      <c r="AB42" s="108">
        <f t="shared" si="63"/>
        <v>468.70942316090355</v>
      </c>
      <c r="AC42" s="108">
        <f t="shared" si="63"/>
        <v>215.20773129874391</v>
      </c>
      <c r="AD42" s="108">
        <f t="shared" si="63"/>
        <v>0.33811475409836073</v>
      </c>
      <c r="AE42" s="108">
        <f t="shared" si="63"/>
        <v>-0.15937499999999999</v>
      </c>
      <c r="AF42" s="108">
        <f t="shared" si="63"/>
        <v>0.10082644628099174</v>
      </c>
      <c r="AG42" s="108">
        <f t="shared" si="63"/>
        <v>-0.12993923103891553</v>
      </c>
      <c r="AH42" s="108">
        <f t="shared" si="63"/>
        <v>-8.3076923076923076E-2</v>
      </c>
      <c r="AI42" s="108">
        <f t="shared" si="63"/>
        <v>0.80475000000000008</v>
      </c>
      <c r="AJ42" s="108">
        <f t="shared" si="63"/>
        <v>4.4516129032258066E-2</v>
      </c>
      <c r="AK42" s="108">
        <f t="shared" ref="AK42" si="64">AK16-AK30</f>
        <v>0.13</v>
      </c>
      <c r="AL42" s="107">
        <f t="shared" si="57"/>
        <v>0</v>
      </c>
      <c r="AM42" s="111">
        <f t="shared" si="57"/>
        <v>0</v>
      </c>
      <c r="AN42" s="112">
        <f t="shared" si="57"/>
        <v>0</v>
      </c>
    </row>
    <row r="43" spans="1:44" x14ac:dyDescent="0.25">
      <c r="A43" s="162" t="s">
        <v>5</v>
      </c>
      <c r="B43" s="107">
        <f t="shared" si="57"/>
        <v>-13905.086120111719</v>
      </c>
      <c r="C43" s="111">
        <f t="shared" si="57"/>
        <v>0</v>
      </c>
      <c r="D43" s="111">
        <f t="shared" si="57"/>
        <v>98.267209631623501</v>
      </c>
      <c r="E43" s="111">
        <f t="shared" si="57"/>
        <v>1212.9408473459771</v>
      </c>
      <c r="F43" s="111">
        <f t="shared" si="57"/>
        <v>1128.6387931030963</v>
      </c>
      <c r="G43" s="111">
        <f t="shared" si="57"/>
        <v>1162.0746615790822</v>
      </c>
      <c r="H43" s="111">
        <f t="shared" si="57"/>
        <v>1145.4112292440591</v>
      </c>
      <c r="I43" s="111">
        <f t="shared" si="57"/>
        <v>1372.9416795696234</v>
      </c>
      <c r="J43" s="111">
        <f t="shared" si="57"/>
        <v>1457.9710975619055</v>
      </c>
      <c r="K43" s="108">
        <f t="shared" si="57"/>
        <v>1380.7111232872971</v>
      </c>
      <c r="L43" s="108">
        <f t="shared" ref="L43:M43" si="65">L17-L31</f>
        <v>1404.8933203160466</v>
      </c>
      <c r="M43" s="108">
        <f t="shared" si="65"/>
        <v>1272.5256291700475</v>
      </c>
      <c r="N43" s="108">
        <f t="shared" ref="N43:Y43" si="66">N17-N31</f>
        <v>-11776.677558920008</v>
      </c>
      <c r="O43" s="108">
        <f t="shared" si="66"/>
        <v>1221.8169962515492</v>
      </c>
      <c r="P43" s="108">
        <f t="shared" si="66"/>
        <v>1244.323773920692</v>
      </c>
      <c r="Q43" s="108">
        <f t="shared" si="66"/>
        <v>1147.7214889800846</v>
      </c>
      <c r="R43" s="108">
        <f t="shared" si="66"/>
        <v>1074.1173655647983</v>
      </c>
      <c r="S43" s="108">
        <f t="shared" si="66"/>
        <v>890.98877709878377</v>
      </c>
      <c r="T43" s="108">
        <f t="shared" si="66"/>
        <v>-540.31948019800643</v>
      </c>
      <c r="U43" s="108">
        <f t="shared" si="66"/>
        <v>1125.5105238293734</v>
      </c>
      <c r="V43" s="108">
        <f t="shared" si="66"/>
        <v>1246.3285319697538</v>
      </c>
      <c r="W43" s="108">
        <f t="shared" si="66"/>
        <v>1277.4566361482121</v>
      </c>
      <c r="X43" s="108">
        <f t="shared" si="66"/>
        <v>1283.7575671282975</v>
      </c>
      <c r="Y43" s="108">
        <f t="shared" si="66"/>
        <v>1149.1205105329002</v>
      </c>
      <c r="Z43" s="108">
        <f t="shared" ref="Z43:AJ43" si="67">Z17-Z31</f>
        <v>930.99016959799019</v>
      </c>
      <c r="AA43" s="108">
        <f t="shared" si="67"/>
        <v>1093.7161245797652</v>
      </c>
      <c r="AB43" s="108">
        <f t="shared" si="67"/>
        <v>1143.9483386266495</v>
      </c>
      <c r="AC43" s="108">
        <f t="shared" si="67"/>
        <v>622.33711414935601</v>
      </c>
      <c r="AD43" s="108">
        <f t="shared" si="67"/>
        <v>7.0491803278688527</v>
      </c>
      <c r="AE43" s="108">
        <f t="shared" si="67"/>
        <v>6.3750000000000001E-2</v>
      </c>
      <c r="AF43" s="108">
        <f t="shared" si="67"/>
        <v>-1.804793388429752</v>
      </c>
      <c r="AG43" s="108">
        <f t="shared" si="67"/>
        <v>0</v>
      </c>
      <c r="AH43" s="108">
        <f t="shared" si="67"/>
        <v>0</v>
      </c>
      <c r="AI43" s="108">
        <f t="shared" si="67"/>
        <v>-0.65674999999999994</v>
      </c>
      <c r="AJ43" s="108">
        <f t="shared" si="67"/>
        <v>-2.2258064516129033E-2</v>
      </c>
      <c r="AK43" s="108">
        <f t="shared" ref="AK43" si="68">AK17-AK31</f>
        <v>0</v>
      </c>
      <c r="AL43" s="107">
        <f t="shared" si="57"/>
        <v>0</v>
      </c>
      <c r="AM43" s="111">
        <f t="shared" si="57"/>
        <v>0</v>
      </c>
      <c r="AN43" s="112">
        <f t="shared" si="57"/>
        <v>0</v>
      </c>
    </row>
    <row r="44" spans="1:44" x14ac:dyDescent="0.25">
      <c r="A44" s="162" t="s">
        <v>6</v>
      </c>
      <c r="B44" s="107">
        <f t="shared" si="57"/>
        <v>-6107.6805178623044</v>
      </c>
      <c r="C44" s="111">
        <f t="shared" si="57"/>
        <v>0</v>
      </c>
      <c r="D44" s="111">
        <f t="shared" si="57"/>
        <v>56.477400497877113</v>
      </c>
      <c r="E44" s="111">
        <f t="shared" si="57"/>
        <v>463.43907534899188</v>
      </c>
      <c r="F44" s="111">
        <f t="shared" si="57"/>
        <v>466.98977670530689</v>
      </c>
      <c r="G44" s="111">
        <f t="shared" si="57"/>
        <v>491.08741166334073</v>
      </c>
      <c r="H44" s="111">
        <f t="shared" si="57"/>
        <v>560.61635651959568</v>
      </c>
      <c r="I44" s="111">
        <f t="shared" si="57"/>
        <v>611.05239020419015</v>
      </c>
      <c r="J44" s="111">
        <f t="shared" si="57"/>
        <v>632.770702485681</v>
      </c>
      <c r="K44" s="108">
        <f t="shared" si="57"/>
        <v>622.30796585301403</v>
      </c>
      <c r="L44" s="108">
        <f t="shared" ref="L44:M44" si="69">L18-L32</f>
        <v>605.82068946832567</v>
      </c>
      <c r="M44" s="108">
        <f t="shared" si="69"/>
        <v>566.29476923829884</v>
      </c>
      <c r="N44" s="108">
        <f t="shared" ref="N44:Y44" si="70">N18-N32</f>
        <v>-5204.5333048257762</v>
      </c>
      <c r="O44" s="108">
        <f t="shared" si="70"/>
        <v>561.90148922717049</v>
      </c>
      <c r="P44" s="108">
        <f t="shared" si="70"/>
        <v>498.98081175825706</v>
      </c>
      <c r="Q44" s="108">
        <f t="shared" si="70"/>
        <v>457.52052171736773</v>
      </c>
      <c r="R44" s="108">
        <f t="shared" si="70"/>
        <v>437.15267703082964</v>
      </c>
      <c r="S44" s="108">
        <f t="shared" si="70"/>
        <v>386.58099436369031</v>
      </c>
      <c r="T44" s="108">
        <f t="shared" si="70"/>
        <v>-225.79111386138072</v>
      </c>
      <c r="U44" s="108">
        <f t="shared" si="70"/>
        <v>491.19439316646475</v>
      </c>
      <c r="V44" s="108">
        <f t="shared" si="70"/>
        <v>508.43183391304075</v>
      </c>
      <c r="W44" s="108">
        <f t="shared" si="70"/>
        <v>534.46642503231351</v>
      </c>
      <c r="X44" s="108">
        <f t="shared" si="70"/>
        <v>528.69066474790918</v>
      </c>
      <c r="Y44" s="108">
        <f t="shared" si="70"/>
        <v>477.6346950071399</v>
      </c>
      <c r="Z44" s="108">
        <f t="shared" ref="Z44:AJ44" si="71">Z18-Z32</f>
        <v>405.35469535175883</v>
      </c>
      <c r="AA44" s="108">
        <f t="shared" si="71"/>
        <v>461.98497236494347</v>
      </c>
      <c r="AB44" s="108">
        <f t="shared" si="71"/>
        <v>459.45906711924511</v>
      </c>
      <c r="AC44" s="108">
        <f t="shared" si="71"/>
        <v>289.88286246415311</v>
      </c>
      <c r="AD44" s="108">
        <f t="shared" si="71"/>
        <v>3.5348360655737694</v>
      </c>
      <c r="AE44" s="108">
        <f t="shared" si="71"/>
        <v>0</v>
      </c>
      <c r="AF44" s="108">
        <f t="shared" si="71"/>
        <v>0</v>
      </c>
      <c r="AG44" s="108">
        <f t="shared" si="71"/>
        <v>0</v>
      </c>
      <c r="AH44" s="108">
        <f t="shared" si="71"/>
        <v>0</v>
      </c>
      <c r="AI44" s="108">
        <f t="shared" si="71"/>
        <v>0</v>
      </c>
      <c r="AJ44" s="108">
        <f t="shared" si="71"/>
        <v>0</v>
      </c>
      <c r="AK44" s="108">
        <f t="shared" ref="AK44" si="72">AK18-AK32</f>
        <v>0</v>
      </c>
      <c r="AL44" s="107">
        <f t="shared" si="57"/>
        <v>0</v>
      </c>
      <c r="AM44" s="111">
        <f t="shared" si="57"/>
        <v>0</v>
      </c>
      <c r="AN44" s="112">
        <f t="shared" si="57"/>
        <v>0</v>
      </c>
    </row>
    <row r="45" spans="1:44" x14ac:dyDescent="0.25">
      <c r="A45" s="162" t="s">
        <v>7</v>
      </c>
      <c r="B45" s="107">
        <f t="shared" si="57"/>
        <v>-2843.7872982965264</v>
      </c>
      <c r="C45" s="111">
        <f t="shared" si="57"/>
        <v>0</v>
      </c>
      <c r="D45" s="111">
        <f t="shared" si="57"/>
        <v>10.661746649241126</v>
      </c>
      <c r="E45" s="111">
        <f t="shared" si="57"/>
        <v>118.24771276417437</v>
      </c>
      <c r="F45" s="111">
        <f t="shared" si="57"/>
        <v>137.55534807822147</v>
      </c>
      <c r="G45" s="111">
        <f t="shared" si="57"/>
        <v>239.44771694209572</v>
      </c>
      <c r="H45" s="111">
        <f t="shared" si="57"/>
        <v>272.12929667728645</v>
      </c>
      <c r="I45" s="111">
        <f t="shared" si="57"/>
        <v>302.70499544025955</v>
      </c>
      <c r="J45" s="111">
        <f t="shared" si="57"/>
        <v>273.63346630405636</v>
      </c>
      <c r="K45" s="108">
        <f t="shared" si="57"/>
        <v>311.91320370631945</v>
      </c>
      <c r="L45" s="108">
        <f t="shared" ref="L45:M45" si="73">L19-L33</f>
        <v>293.04230550663289</v>
      </c>
      <c r="M45" s="108">
        <f t="shared" si="73"/>
        <v>288.39256194368545</v>
      </c>
      <c r="N45" s="108">
        <f t="shared" ref="N45:Y45" si="74">N19-N33</f>
        <v>-2561.7896694616511</v>
      </c>
      <c r="O45" s="108">
        <f t="shared" si="74"/>
        <v>261.6722167658819</v>
      </c>
      <c r="P45" s="108">
        <f t="shared" si="74"/>
        <v>232.80958514654642</v>
      </c>
      <c r="Q45" s="108">
        <f t="shared" si="74"/>
        <v>176.82241491611131</v>
      </c>
      <c r="R45" s="108">
        <f t="shared" si="74"/>
        <v>181.34437173381983</v>
      </c>
      <c r="S45" s="108">
        <f t="shared" si="74"/>
        <v>166.52201578166716</v>
      </c>
      <c r="T45" s="108">
        <f t="shared" si="74"/>
        <v>-95.052054455443169</v>
      </c>
      <c r="U45" s="108">
        <f t="shared" si="74"/>
        <v>224.08237506368397</v>
      </c>
      <c r="V45" s="108">
        <f t="shared" si="74"/>
        <v>214.85737403386401</v>
      </c>
      <c r="W45" s="108">
        <f t="shared" si="74"/>
        <v>238.25176324859976</v>
      </c>
      <c r="X45" s="108">
        <f t="shared" si="74"/>
        <v>240.24855984830526</v>
      </c>
      <c r="Y45" s="108">
        <f t="shared" si="74"/>
        <v>220.99322962607255</v>
      </c>
      <c r="Z45" s="108">
        <f t="shared" ref="Z45:AJ45" si="75">Z19-Z33</f>
        <v>180.15858354271359</v>
      </c>
      <c r="AA45" s="108">
        <f t="shared" si="75"/>
        <v>183.44100611058252</v>
      </c>
      <c r="AB45" s="108">
        <f t="shared" si="75"/>
        <v>196.31517130493467</v>
      </c>
      <c r="AC45" s="108">
        <f t="shared" si="75"/>
        <v>152.38410586355408</v>
      </c>
      <c r="AD45" s="108">
        <f t="shared" si="75"/>
        <v>-7.0081967213114753</v>
      </c>
      <c r="AE45" s="108">
        <f t="shared" si="75"/>
        <v>0</v>
      </c>
      <c r="AF45" s="108">
        <f t="shared" si="75"/>
        <v>0</v>
      </c>
      <c r="AG45" s="108">
        <f t="shared" si="75"/>
        <v>-86.339621362627085</v>
      </c>
      <c r="AH45" s="108">
        <f t="shared" si="75"/>
        <v>0</v>
      </c>
      <c r="AI45" s="108">
        <f t="shared" si="75"/>
        <v>0</v>
      </c>
      <c r="AJ45" s="108">
        <f t="shared" si="75"/>
        <v>0</v>
      </c>
      <c r="AK45" s="108">
        <f t="shared" ref="AK45" si="76">AK19-AK33</f>
        <v>0</v>
      </c>
      <c r="AL45" s="107">
        <f t="shared" si="57"/>
        <v>0</v>
      </c>
      <c r="AM45" s="111">
        <f t="shared" si="57"/>
        <v>0</v>
      </c>
      <c r="AN45" s="112">
        <f t="shared" si="57"/>
        <v>0</v>
      </c>
    </row>
    <row r="46" spans="1:44" x14ac:dyDescent="0.25">
      <c r="B46" s="97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5"/>
      <c r="AM46" s="96"/>
      <c r="AN46" s="99"/>
    </row>
    <row r="47" spans="1:44" x14ac:dyDescent="0.25">
      <c r="A47" s="162" t="s">
        <v>70</v>
      </c>
      <c r="B47" s="97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5"/>
      <c r="AM47" s="96"/>
      <c r="AN47" s="99"/>
    </row>
    <row r="48" spans="1:44" x14ac:dyDescent="0.25">
      <c r="A48" s="162" t="s">
        <v>0</v>
      </c>
      <c r="B48" s="107">
        <f>B41</f>
        <v>-921734.3709472178</v>
      </c>
      <c r="C48" s="111">
        <f>B48+C41+B55</f>
        <v>-922842.6558288018</v>
      </c>
      <c r="D48" s="111">
        <f t="shared" ref="C48:K52" si="77">C48+D41+C55</f>
        <v>-912993.95336033846</v>
      </c>
      <c r="E48" s="111">
        <f t="shared" si="77"/>
        <v>-819616.32315729395</v>
      </c>
      <c r="F48" s="111">
        <f t="shared" si="77"/>
        <v>-744583.9476368808</v>
      </c>
      <c r="G48" s="111">
        <f t="shared" si="77"/>
        <v>-672188.34572031256</v>
      </c>
      <c r="H48" s="111">
        <f t="shared" si="77"/>
        <v>-613437.78248861374</v>
      </c>
      <c r="I48" s="111">
        <f t="shared" si="77"/>
        <v>-525367.60106112855</v>
      </c>
      <c r="J48" s="111">
        <f t="shared" si="77"/>
        <v>-421780.75976511784</v>
      </c>
      <c r="K48" s="108">
        <f>J48+K41+J55</f>
        <v>-328874.0131463139</v>
      </c>
      <c r="L48" s="108">
        <f t="shared" ref="L48:M52" si="78">K48+L41+K55</f>
        <v>-239361.57518366846</v>
      </c>
      <c r="M48" s="108">
        <f t="shared" si="78"/>
        <v>-170053.31578659106</v>
      </c>
      <c r="N48" s="108">
        <f t="shared" ref="N48:N52" si="79">M48+N41+M55</f>
        <v>-124603.56985962507</v>
      </c>
      <c r="O48" s="108">
        <f t="shared" ref="O48:O52" si="80">N48+O41+N55</f>
        <v>-34756.127574529659</v>
      </c>
      <c r="P48" s="108">
        <f t="shared" ref="P48:P52" si="81">O48+P41+O55</f>
        <v>54150.736929904873</v>
      </c>
      <c r="Q48" s="108">
        <f t="shared" ref="Q48:Q52" si="82">P48+Q41+P55</f>
        <v>48893.559080783169</v>
      </c>
      <c r="R48" s="108">
        <f t="shared" ref="R48:R52" si="83">Q48+R41+Q55</f>
        <v>44279.193248125121</v>
      </c>
      <c r="S48" s="108">
        <f t="shared" ref="S48:S52" si="84">R48+S41+R55</f>
        <v>41778.30101253985</v>
      </c>
      <c r="T48" s="108">
        <f t="shared" ref="T48:T52" si="85">S48+T41+S55</f>
        <v>42848.214046694411</v>
      </c>
      <c r="U48" s="108">
        <f t="shared" ref="U48:U52" si="86">T48+U41+T55</f>
        <v>39199.226893257721</v>
      </c>
      <c r="V48" s="108">
        <f t="shared" ref="V48:V52" si="87">U48+V41+U55</f>
        <v>33615.2848288897</v>
      </c>
      <c r="W48" s="108">
        <f t="shared" ref="W48:W52" si="88">V48+W41+V55</f>
        <v>27521.335354412826</v>
      </c>
      <c r="X48" s="108">
        <f>W48+X41+W55</f>
        <v>22098.719446666742</v>
      </c>
      <c r="Y48" s="108">
        <f>X48+Y41+X55</f>
        <v>18306.432717306328</v>
      </c>
      <c r="Z48" s="108">
        <f t="shared" ref="Z48:AK52" si="89">Y48+Z41+Y55</f>
        <v>15641.221326943954</v>
      </c>
      <c r="AA48" s="108">
        <f t="shared" si="89"/>
        <v>11132.866560289964</v>
      </c>
      <c r="AB48" s="108">
        <f t="shared" si="89"/>
        <v>5859.5226058310645</v>
      </c>
      <c r="AC48" s="108">
        <f t="shared" si="89"/>
        <v>3643.9450380929061</v>
      </c>
      <c r="AD48" s="108">
        <f t="shared" si="89"/>
        <v>3647.9479014363756</v>
      </c>
      <c r="AE48" s="108">
        <f t="shared" si="89"/>
        <v>3653.9447641222664</v>
      </c>
      <c r="AF48" s="108">
        <f t="shared" si="89"/>
        <v>3656.086298567197</v>
      </c>
      <c r="AG48" s="108">
        <f t="shared" si="89"/>
        <v>3657.3790925694443</v>
      </c>
      <c r="AH48" s="108">
        <f t="shared" si="89"/>
        <v>3657.9750696531701</v>
      </c>
      <c r="AI48" s="108">
        <f t="shared" si="89"/>
        <v>3658.8174150080986</v>
      </c>
      <c r="AJ48" s="108">
        <f>AI48+AJ41+AI55</f>
        <v>3659.8316065907734</v>
      </c>
      <c r="AK48" s="108">
        <f>AJ48+AK41+AJ55</f>
        <v>3660.0895330019089</v>
      </c>
      <c r="AL48" s="107">
        <f>AK48+AL41+AK55</f>
        <v>3660.6995479240759</v>
      </c>
      <c r="AM48" s="111">
        <f t="shared" ref="AM48:AN52" si="90">AL48+AM41+AL55</f>
        <v>3661.3096645153964</v>
      </c>
      <c r="AN48" s="112">
        <f>AM48+AN41+AM55</f>
        <v>3661.9198827928158</v>
      </c>
      <c r="AO48" s="46"/>
    </row>
    <row r="49" spans="1:41" x14ac:dyDescent="0.25">
      <c r="A49" s="162" t="s">
        <v>4</v>
      </c>
      <c r="B49" s="107">
        <f>B42</f>
        <v>-5996.3551165116669</v>
      </c>
      <c r="C49" s="111">
        <f t="shared" si="77"/>
        <v>-6003.5650784374757</v>
      </c>
      <c r="D49" s="111">
        <f t="shared" si="77"/>
        <v>-5956.4229499079365</v>
      </c>
      <c r="E49" s="111">
        <f t="shared" si="77"/>
        <v>-5379.2396302593952</v>
      </c>
      <c r="F49" s="111">
        <f t="shared" si="77"/>
        <v>-4961.4039358103573</v>
      </c>
      <c r="G49" s="111">
        <f t="shared" si="77"/>
        <v>-4546.2637064642186</v>
      </c>
      <c r="H49" s="111">
        <f t="shared" si="77"/>
        <v>-4185.3924225779538</v>
      </c>
      <c r="I49" s="111">
        <f t="shared" si="77"/>
        <v>-3695.0418726762446</v>
      </c>
      <c r="J49" s="111">
        <f t="shared" si="77"/>
        <v>-3141.9039078626733</v>
      </c>
      <c r="K49" s="108">
        <f t="shared" si="77"/>
        <v>-2631.0005724887778</v>
      </c>
      <c r="L49" s="108">
        <f t="shared" si="78"/>
        <v>-2131.1690238688443</v>
      </c>
      <c r="M49" s="108">
        <f t="shared" si="78"/>
        <v>-1705.5209017441823</v>
      </c>
      <c r="N49" s="108">
        <f t="shared" si="79"/>
        <v>-6920.9116272884121</v>
      </c>
      <c r="O49" s="108">
        <f t="shared" si="80"/>
        <v>-6460.4659659261806</v>
      </c>
      <c r="P49" s="108">
        <f t="shared" si="81"/>
        <v>-5965.9966103679471</v>
      </c>
      <c r="Q49" s="108">
        <f t="shared" si="82"/>
        <v>-5492.2835965504155</v>
      </c>
      <c r="R49" s="108">
        <f t="shared" si="83"/>
        <v>-5054.9216846602048</v>
      </c>
      <c r="S49" s="108">
        <f t="shared" si="84"/>
        <v>-4749.7462257951547</v>
      </c>
      <c r="T49" s="108">
        <f t="shared" si="85"/>
        <v>-4932.9064792129457</v>
      </c>
      <c r="U49" s="108">
        <f t="shared" si="86"/>
        <v>-4551.4824796822932</v>
      </c>
      <c r="V49" s="108">
        <f t="shared" si="87"/>
        <v>-4083.5327405497546</v>
      </c>
      <c r="W49" s="108">
        <f t="shared" si="88"/>
        <v>-3596.6589004939074</v>
      </c>
      <c r="X49" s="108">
        <f t="shared" ref="X49:X52" si="91">W49+X42+W56</f>
        <v>-3133.1635677792597</v>
      </c>
      <c r="Y49" s="108">
        <f t="shared" ref="Y49:Y52" si="92">X49+Y42+X56</f>
        <v>-2736.2484637006</v>
      </c>
      <c r="Z49" s="108">
        <f t="shared" si="89"/>
        <v>-2419.7919295476945</v>
      </c>
      <c r="AA49" s="108">
        <f t="shared" si="89"/>
        <v>-1995.3209573240381</v>
      </c>
      <c r="AB49" s="108">
        <f t="shared" si="89"/>
        <v>-1529.7960647482562</v>
      </c>
      <c r="AC49" s="108">
        <f t="shared" si="89"/>
        <v>-1316.996586858181</v>
      </c>
      <c r="AD49" s="108">
        <f t="shared" si="89"/>
        <v>-1318.6378993166788</v>
      </c>
      <c r="AE49" s="108">
        <f t="shared" si="89"/>
        <v>-1320.8725818063008</v>
      </c>
      <c r="AF49" s="108">
        <f t="shared" si="89"/>
        <v>-1321.8047437626215</v>
      </c>
      <c r="AG49" s="108">
        <f t="shared" si="89"/>
        <v>-1322.0768508043795</v>
      </c>
      <c r="AH49" s="108">
        <f t="shared" si="89"/>
        <v>-1322.2983392581593</v>
      </c>
      <c r="AI49" s="108">
        <f t="shared" si="89"/>
        <v>-1321.7069894775557</v>
      </c>
      <c r="AJ49" s="108">
        <f t="shared" si="89"/>
        <v>-1321.8129111394883</v>
      </c>
      <c r="AK49" s="108">
        <f t="shared" si="89"/>
        <v>-1321.8194059467355</v>
      </c>
      <c r="AL49" s="107">
        <f t="shared" ref="AL49:AL52" si="93">AK49+AL42+AK56</f>
        <v>-1322.0397091810601</v>
      </c>
      <c r="AM49" s="111">
        <f t="shared" si="90"/>
        <v>-1322.2600491325902</v>
      </c>
      <c r="AN49" s="112">
        <f t="shared" si="90"/>
        <v>-1322.4804258074457</v>
      </c>
      <c r="AO49" s="46"/>
    </row>
    <row r="50" spans="1:41" x14ac:dyDescent="0.25">
      <c r="A50" s="162" t="s">
        <v>5</v>
      </c>
      <c r="B50" s="107">
        <f>B43</f>
        <v>-13905.086120111719</v>
      </c>
      <c r="C50" s="111">
        <f t="shared" si="77"/>
        <v>-13921.805467040494</v>
      </c>
      <c r="D50" s="111">
        <f t="shared" si="77"/>
        <v>-13844.114001400389</v>
      </c>
      <c r="E50" s="111">
        <f t="shared" si="77"/>
        <v>-12650.96315350475</v>
      </c>
      <c r="F50" s="111">
        <f t="shared" si="77"/>
        <v>-11541.591418840486</v>
      </c>
      <c r="G50" s="111">
        <f t="shared" si="77"/>
        <v>-10399.271595201706</v>
      </c>
      <c r="H50" s="111">
        <f t="shared" si="77"/>
        <v>-9273.8893283857669</v>
      </c>
      <c r="I50" s="111">
        <f t="shared" si="77"/>
        <v>-7917.9404667209837</v>
      </c>
      <c r="J50" s="111">
        <f t="shared" si="77"/>
        <v>-6475.0105593992939</v>
      </c>
      <c r="K50" s="108">
        <f t="shared" si="77"/>
        <v>-5106.964389495075</v>
      </c>
      <c r="L50" s="108">
        <f t="shared" si="78"/>
        <v>-3711.9677107721063</v>
      </c>
      <c r="M50" s="108">
        <f t="shared" si="78"/>
        <v>-2446.6462747217383</v>
      </c>
      <c r="N50" s="108">
        <f t="shared" si="79"/>
        <v>-14228.334183943331</v>
      </c>
      <c r="O50" s="108">
        <f t="shared" si="80"/>
        <v>-13036.481063499772</v>
      </c>
      <c r="P50" s="108">
        <f t="shared" si="81"/>
        <v>-11822.082303721925</v>
      </c>
      <c r="Q50" s="108">
        <f t="shared" si="82"/>
        <v>-10702.632290138989</v>
      </c>
      <c r="R50" s="108">
        <f t="shared" si="83"/>
        <v>-9653.8479749352064</v>
      </c>
      <c r="S50" s="108">
        <f t="shared" si="84"/>
        <v>-8785.286816329959</v>
      </c>
      <c r="T50" s="108">
        <f t="shared" si="85"/>
        <v>-9345.0969970893475</v>
      </c>
      <c r="U50" s="108">
        <f t="shared" si="86"/>
        <v>-8240.4366384609948</v>
      </c>
      <c r="V50" s="108">
        <f t="shared" si="87"/>
        <v>-7012.306128821916</v>
      </c>
      <c r="W50" s="108">
        <f t="shared" si="88"/>
        <v>-5750.012839167196</v>
      </c>
      <c r="X50" s="108">
        <f t="shared" si="91"/>
        <v>-4477.5214159449997</v>
      </c>
      <c r="Y50" s="108">
        <f t="shared" si="92"/>
        <v>-3336.672641163238</v>
      </c>
      <c r="Z50" s="108">
        <f t="shared" si="89"/>
        <v>-2411.5603874566473</v>
      </c>
      <c r="AA50" s="108">
        <f t="shared" si="89"/>
        <v>-1321.4937354905962</v>
      </c>
      <c r="AB50" s="108">
        <f t="shared" si="89"/>
        <v>-179.65449976454494</v>
      </c>
      <c r="AC50" s="108">
        <f t="shared" si="89"/>
        <v>442.39979658222256</v>
      </c>
      <c r="AD50" s="108">
        <f t="shared" si="89"/>
        <v>450.11389753702406</v>
      </c>
      <c r="AE50" s="108">
        <f t="shared" si="89"/>
        <v>450.88604879200511</v>
      </c>
      <c r="AF50" s="108">
        <f t="shared" si="89"/>
        <v>449.43387083803316</v>
      </c>
      <c r="AG50" s="108">
        <f t="shared" si="89"/>
        <v>449.48221007253937</v>
      </c>
      <c r="AH50" s="108">
        <f t="shared" si="89"/>
        <v>449.52926748881737</v>
      </c>
      <c r="AI50" s="108">
        <f t="shared" si="89"/>
        <v>448.94506514425876</v>
      </c>
      <c r="AJ50" s="108">
        <f t="shared" si="89"/>
        <v>448.97390638117827</v>
      </c>
      <c r="AK50" s="108">
        <f t="shared" si="89"/>
        <v>449.02026892333089</v>
      </c>
      <c r="AL50" s="107">
        <f t="shared" si="93"/>
        <v>449.09510563481808</v>
      </c>
      <c r="AM50" s="111">
        <f t="shared" si="90"/>
        <v>449.16995481909055</v>
      </c>
      <c r="AN50" s="112">
        <f t="shared" si="90"/>
        <v>449.24481647822705</v>
      </c>
      <c r="AO50" s="46"/>
    </row>
    <row r="51" spans="1:41" x14ac:dyDescent="0.25">
      <c r="A51" s="162" t="s">
        <v>6</v>
      </c>
      <c r="B51" s="107">
        <f>B44</f>
        <v>-6107.6805178623044</v>
      </c>
      <c r="C51" s="111">
        <f t="shared" si="77"/>
        <v>-6115.0243364209373</v>
      </c>
      <c r="D51" s="111">
        <f t="shared" si="77"/>
        <v>-6067.5846412369274</v>
      </c>
      <c r="E51" s="111">
        <f t="shared" si="77"/>
        <v>-5612.8191073440967</v>
      </c>
      <c r="F51" s="111">
        <f t="shared" si="77"/>
        <v>-5154.3774951094001</v>
      </c>
      <c r="G51" s="111">
        <f t="shared" si="77"/>
        <v>-4672.1124276448681</v>
      </c>
      <c r="H51" s="111">
        <f t="shared" si="77"/>
        <v>-4120.4945440872079</v>
      </c>
      <c r="I51" s="111">
        <f t="shared" si="77"/>
        <v>-3516.9922562172396</v>
      </c>
      <c r="J51" s="111">
        <f t="shared" si="77"/>
        <v>-2890.9025523853711</v>
      </c>
      <c r="K51" s="108">
        <f t="shared" si="77"/>
        <v>-2274.2491172431737</v>
      </c>
      <c r="L51" s="108">
        <f t="shared" si="78"/>
        <v>-1672.8356307020952</v>
      </c>
      <c r="M51" s="108">
        <f t="shared" si="78"/>
        <v>-1109.7875036439223</v>
      </c>
      <c r="N51" s="108">
        <f t="shared" si="79"/>
        <v>-6316.5934803352748</v>
      </c>
      <c r="O51" s="108">
        <f t="shared" si="80"/>
        <v>-5767.9942948161461</v>
      </c>
      <c r="P51" s="108">
        <f t="shared" si="81"/>
        <v>-5282.253813021739</v>
      </c>
      <c r="Q51" s="108">
        <f t="shared" si="82"/>
        <v>-4837.3653391010039</v>
      </c>
      <c r="R51" s="108">
        <f t="shared" si="83"/>
        <v>-4411.662669547587</v>
      </c>
      <c r="S51" s="108">
        <f t="shared" si="84"/>
        <v>-4035.3307579881507</v>
      </c>
      <c r="T51" s="108">
        <f t="shared" si="85"/>
        <v>-4270.0745019815249</v>
      </c>
      <c r="U51" s="108">
        <f t="shared" si="86"/>
        <v>-3788.4072179306436</v>
      </c>
      <c r="V51" s="108">
        <f t="shared" si="87"/>
        <v>-3288.3416299065425</v>
      </c>
      <c r="W51" s="108">
        <f t="shared" si="88"/>
        <v>-2760.9858846716074</v>
      </c>
      <c r="X51" s="108">
        <f t="shared" si="91"/>
        <v>-2237.7048885921827</v>
      </c>
      <c r="Y51" s="108">
        <f t="shared" si="92"/>
        <v>-1764.2041109486872</v>
      </c>
      <c r="Z51" s="108">
        <f t="shared" si="89"/>
        <v>-1361.9572552008167</v>
      </c>
      <c r="AA51" s="108">
        <f t="shared" si="89"/>
        <v>-902.03336566413566</v>
      </c>
      <c r="AB51" s="108">
        <f t="shared" si="89"/>
        <v>-444.01394304479606</v>
      </c>
      <c r="AC51" s="108">
        <f t="shared" si="89"/>
        <v>-154.83006139022561</v>
      </c>
      <c r="AD51" s="108">
        <f t="shared" si="89"/>
        <v>-151.52793271349549</v>
      </c>
      <c r="AE51" s="108">
        <f t="shared" si="89"/>
        <v>-151.76641141474485</v>
      </c>
      <c r="AF51" s="108">
        <f t="shared" si="89"/>
        <v>-151.88510033679177</v>
      </c>
      <c r="AG51" s="108">
        <f t="shared" si="89"/>
        <v>-151.9014364653294</v>
      </c>
      <c r="AH51" s="108">
        <f t="shared" si="89"/>
        <v>-151.91733940646654</v>
      </c>
      <c r="AI51" s="108">
        <f t="shared" si="89"/>
        <v>-151.94185671288443</v>
      </c>
      <c r="AJ51" s="108">
        <f t="shared" si="89"/>
        <v>-151.9591508616337</v>
      </c>
      <c r="AK51" s="108">
        <f t="shared" si="89"/>
        <v>-151.97484267008218</v>
      </c>
      <c r="AL51" s="107">
        <f t="shared" si="93"/>
        <v>-152.00017181052721</v>
      </c>
      <c r="AM51" s="111">
        <f t="shared" si="90"/>
        <v>-152.02550517249563</v>
      </c>
      <c r="AN51" s="112">
        <f t="shared" si="90"/>
        <v>-152.05084275669105</v>
      </c>
      <c r="AO51" s="46"/>
    </row>
    <row r="52" spans="1:41" x14ac:dyDescent="0.25">
      <c r="A52" s="162" t="s">
        <v>7</v>
      </c>
      <c r="B52" s="107">
        <f>B45</f>
        <v>-2843.7872982965264</v>
      </c>
      <c r="C52" s="111">
        <f t="shared" si="77"/>
        <v>-2847.2066418389654</v>
      </c>
      <c r="D52" s="111">
        <f t="shared" si="77"/>
        <v>-2840.7529266187025</v>
      </c>
      <c r="E52" s="111">
        <f t="shared" si="77"/>
        <v>-2726.5660370210121</v>
      </c>
      <c r="F52" s="111">
        <f t="shared" si="77"/>
        <v>-2593.1631717644691</v>
      </c>
      <c r="G52" s="111">
        <f t="shared" si="77"/>
        <v>-2358.1539690923673</v>
      </c>
      <c r="H52" s="111">
        <f t="shared" si="77"/>
        <v>-2090.5664690990398</v>
      </c>
      <c r="I52" s="111">
        <f t="shared" si="77"/>
        <v>-1791.6920795749656</v>
      </c>
      <c r="J52" s="111">
        <f t="shared" si="77"/>
        <v>-1521.462172761416</v>
      </c>
      <c r="K52" s="108">
        <f t="shared" si="77"/>
        <v>-1212.5249097605786</v>
      </c>
      <c r="L52" s="108">
        <f t="shared" si="78"/>
        <v>-921.83232192169828</v>
      </c>
      <c r="M52" s="108">
        <f t="shared" si="78"/>
        <v>-635.22885368478569</v>
      </c>
      <c r="N52" s="108">
        <f t="shared" si="79"/>
        <v>-3198.3193728489532</v>
      </c>
      <c r="O52" s="108">
        <f t="shared" si="80"/>
        <v>-2943.3825927999351</v>
      </c>
      <c r="P52" s="108">
        <f t="shared" si="81"/>
        <v>-2717.3294908859657</v>
      </c>
      <c r="Q52" s="108">
        <f t="shared" si="82"/>
        <v>-2547.0053316809776</v>
      </c>
      <c r="R52" s="108">
        <f t="shared" si="83"/>
        <v>-2371.6897024647064</v>
      </c>
      <c r="S52" s="108">
        <f t="shared" si="84"/>
        <v>-2210.6775467896032</v>
      </c>
      <c r="T52" s="108">
        <f t="shared" si="85"/>
        <v>-2310.6341257077147</v>
      </c>
      <c r="U52" s="108">
        <f t="shared" si="86"/>
        <v>-2091.707085388563</v>
      </c>
      <c r="V52" s="108">
        <f t="shared" si="87"/>
        <v>-1881.4689971910186</v>
      </c>
      <c r="W52" s="108">
        <f t="shared" si="88"/>
        <v>-1647.2857052551456</v>
      </c>
      <c r="X52" s="108">
        <f t="shared" si="91"/>
        <v>-1410.2647134712895</v>
      </c>
      <c r="Y52" s="108">
        <f t="shared" si="92"/>
        <v>-1191.876795124678</v>
      </c>
      <c r="Z52" s="108">
        <f t="shared" si="89"/>
        <v>-1013.817833663024</v>
      </c>
      <c r="AA52" s="108">
        <f t="shared" si="89"/>
        <v>-831.91106258072136</v>
      </c>
      <c r="AB52" s="108">
        <f t="shared" si="89"/>
        <v>-636.92362063840631</v>
      </c>
      <c r="AC52" s="108">
        <f t="shared" si="89"/>
        <v>-485.54218010770921</v>
      </c>
      <c r="AD52" s="108">
        <f t="shared" si="89"/>
        <v>-493.28013984720837</v>
      </c>
      <c r="AE52" s="108">
        <f t="shared" si="89"/>
        <v>-494.05647728543698</v>
      </c>
      <c r="AF52" s="108">
        <f t="shared" si="89"/>
        <v>-494.44285415349805</v>
      </c>
      <c r="AG52" s="108">
        <f t="shared" si="89"/>
        <v>-580.83565572933935</v>
      </c>
      <c r="AH52" s="108">
        <f t="shared" si="89"/>
        <v>-580.89646486622678</v>
      </c>
      <c r="AI52" s="108">
        <f t="shared" si="89"/>
        <v>-580.99021332628956</v>
      </c>
      <c r="AJ52" s="108">
        <f t="shared" si="89"/>
        <v>-581.05634211652887</v>
      </c>
      <c r="AK52" s="108">
        <f t="shared" si="89"/>
        <v>-581.11634393127031</v>
      </c>
      <c r="AL52" s="107">
        <f t="shared" si="93"/>
        <v>-581.2131966552588</v>
      </c>
      <c r="AM52" s="111">
        <f t="shared" si="90"/>
        <v>-581.31006552136796</v>
      </c>
      <c r="AN52" s="112">
        <f t="shared" si="90"/>
        <v>-581.40695053228819</v>
      </c>
      <c r="AO52" s="46"/>
    </row>
    <row r="53" spans="1:41" x14ac:dyDescent="0.25"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5"/>
      <c r="AM53" s="96"/>
      <c r="AN53" s="99"/>
    </row>
    <row r="54" spans="1:41" x14ac:dyDescent="0.25">
      <c r="A54" s="162" t="s">
        <v>65</v>
      </c>
      <c r="B54" s="120">
        <f>+'PCR (M2)'!X67</f>
        <v>1.2023907500000001E-3</v>
      </c>
      <c r="C54" s="121">
        <f>+'PCR (M2)'!Y67</f>
        <v>1.4779508333333333E-3</v>
      </c>
      <c r="D54" s="121">
        <f>+'PCR (M2)'!Z67</f>
        <v>1.4294883333333334E-3</v>
      </c>
      <c r="E54" s="121">
        <f>+'PCR (M2)'!AA67</f>
        <v>1.5229716666666667E-3</v>
      </c>
      <c r="F54" s="121">
        <f>+'PCR (M2)'!AB67</f>
        <v>1.7116216666666665E-3</v>
      </c>
      <c r="G54" s="121">
        <f>+'PCR (M2)'!AC67</f>
        <v>1.9259966666666664E-3</v>
      </c>
      <c r="H54" s="121">
        <f>+'PCR (M2)'!AD67</f>
        <v>1.8323291666666665E-3</v>
      </c>
      <c r="I54" s="121">
        <f>+'PCR (M2)'!AE67</f>
        <v>1.8996341666666667E-3</v>
      </c>
      <c r="J54" s="121">
        <f>+'PCR (M2)'!AF67</f>
        <v>1.9559741666666667E-3</v>
      </c>
      <c r="K54" s="183">
        <f>+'PCR (M2)'!AG67</f>
        <v>1.9378716666666664E-3</v>
      </c>
      <c r="L54" s="183">
        <f>+'PCR (M2)'!AH67</f>
        <v>1.9408016666666668E-3</v>
      </c>
      <c r="M54" s="183">
        <f>+'PCR (M2)'!AI67</f>
        <v>2.0478441666666666E-3</v>
      </c>
      <c r="N54" s="183">
        <f>+'PCR (M2)'!AJ67</f>
        <v>2.1059300000000002E-3</v>
      </c>
      <c r="O54" s="183">
        <f>+'PCR (M2)'!AK67</f>
        <v>2.2954824999999999E-3</v>
      </c>
      <c r="P54" s="183">
        <f>+'PCR (M2)'!AL67</f>
        <v>2.3914125E-3</v>
      </c>
      <c r="Q54" s="183">
        <f>+'PCR (M2)'!AM67</f>
        <v>2.3669924999999998E-3</v>
      </c>
      <c r="R54" s="183">
        <f>+'PCR (M2)'!AN67</f>
        <v>2.3231791666666669E-3</v>
      </c>
      <c r="S54" s="183">
        <f>+'PCR (M2)'!AO67</f>
        <v>2.2185616666666667E-3</v>
      </c>
      <c r="T54" s="183">
        <f>+'PCR (M2)'!AP67</f>
        <v>2.2311341666666666E-3</v>
      </c>
      <c r="U54" s="183">
        <f>+'PCR (M2)'!AQ67</f>
        <v>2.2083808333333331E-3</v>
      </c>
      <c r="V54" s="183">
        <f>+'PCR (M2)'!AR67</f>
        <v>2.1623908333333335E-3</v>
      </c>
      <c r="W54" s="183">
        <f>+'PCR (M2)'!AS67</f>
        <v>1.959325E-3</v>
      </c>
      <c r="X54" s="183">
        <f>+'PCR (M2)'!AT67</f>
        <v>1.8473916666666666E-3</v>
      </c>
      <c r="Y54" s="183">
        <f>+'PCR (M2)'!AU67</f>
        <v>1.7616100000000003E-3</v>
      </c>
      <c r="Z54" s="183">
        <f>+'PCR (M2)'!AV67</f>
        <v>1.5133241666666667E-3</v>
      </c>
      <c r="AA54" s="183">
        <f>+'PCR (M2)'!AW67</f>
        <v>1.5959991666666667E-3</v>
      </c>
      <c r="AB54" s="183">
        <f>+'PCR (M2)'!AX67</f>
        <v>1.5742316666666667E-3</v>
      </c>
      <c r="AC54" s="183">
        <f>+'PCR (M2)'!AY67</f>
        <v>1.5029858333333332E-3</v>
      </c>
      <c r="AD54" s="183">
        <f>+'PCR (M2)'!AZ67</f>
        <v>1.5738266666666667E-3</v>
      </c>
      <c r="AE54" s="183">
        <f>+'PCR (M2)'!BA67</f>
        <v>7.8204999999999995E-4</v>
      </c>
      <c r="AF54" s="183">
        <f>+'PCR (M2)'!BB67</f>
        <v>1.0755583333333334E-4</v>
      </c>
      <c r="AG54" s="183">
        <f>+'PCR (M2)'!BC67</f>
        <v>1.046925E-4</v>
      </c>
      <c r="AH54" s="183">
        <f>+'PCR (M2)'!BD67</f>
        <v>1.6138583333333333E-4</v>
      </c>
      <c r="AI54" s="183">
        <f>+'PCR (M2)'!BE67</f>
        <v>1.1382083333333333E-4</v>
      </c>
      <c r="AJ54" s="183">
        <f>+'PCR (M2)'!BF67</f>
        <v>1.0326333333333334E-4</v>
      </c>
      <c r="AK54" s="183">
        <f>+'PCR (M2)'!BG67</f>
        <v>1.6666666666666666E-4</v>
      </c>
      <c r="AL54" s="311">
        <f>+'PCR (M2)'!BH67</f>
        <v>1.6666666666666666E-4</v>
      </c>
      <c r="AM54" s="183">
        <f>+'PCR (M2)'!BI67</f>
        <v>1.6666666666666666E-4</v>
      </c>
      <c r="AN54" s="249">
        <f>+'PCR (M2)'!BJ67</f>
        <v>1.6666666666666666E-4</v>
      </c>
    </row>
    <row r="55" spans="1:41" x14ac:dyDescent="0.25">
      <c r="A55" s="162" t="s">
        <v>0</v>
      </c>
      <c r="B55" s="107">
        <f t="shared" ref="B55:AN59" si="94">B48*B$54</f>
        <v>-1108.2848815840034</v>
      </c>
      <c r="C55" s="111">
        <f t="shared" si="94"/>
        <v>-1363.9160722177241</v>
      </c>
      <c r="D55" s="111">
        <f t="shared" si="94"/>
        <v>-1305.1142047324813</v>
      </c>
      <c r="E55" s="111">
        <f t="shared" si="94"/>
        <v>-1248.2524377060693</v>
      </c>
      <c r="F55" s="111">
        <f t="shared" si="94"/>
        <v>-1274.4460174274839</v>
      </c>
      <c r="G55" s="111">
        <f t="shared" si="94"/>
        <v>-1294.6325132295028</v>
      </c>
      <c r="H55" s="111">
        <f t="shared" si="94"/>
        <v>-1124.0199407892094</v>
      </c>
      <c r="I55" s="111">
        <f t="shared" si="94"/>
        <v>-998.00624503542269</v>
      </c>
      <c r="J55" s="111">
        <f t="shared" si="94"/>
        <v>-824.99227009760989</v>
      </c>
      <c r="K55" s="108">
        <f t="shared" si="94"/>
        <v>-637.31563197920252</v>
      </c>
      <c r="L55" s="108">
        <f t="shared" ref="L55:M55" si="95">L48*L$54</f>
        <v>-464.5533440524224</v>
      </c>
      <c r="M55" s="108">
        <f t="shared" si="95"/>
        <v>-348.24269075589507</v>
      </c>
      <c r="N55" s="108">
        <f t="shared" ref="N55:W55" si="96">N48*N$54</f>
        <v>-262.40639587448027</v>
      </c>
      <c r="O55" s="108">
        <f t="shared" si="96"/>
        <v>-79.782082615100279</v>
      </c>
      <c r="P55" s="108">
        <f t="shared" si="96"/>
        <v>129.49674917838615</v>
      </c>
      <c r="Q55" s="108">
        <f t="shared" si="96"/>
        <v>115.73068764252065</v>
      </c>
      <c r="R55" s="108">
        <f t="shared" si="96"/>
        <v>102.86849927085161</v>
      </c>
      <c r="S55" s="108">
        <f t="shared" si="96"/>
        <v>92.687737124882105</v>
      </c>
      <c r="T55" s="108">
        <f t="shared" si="96"/>
        <v>95.600114340226497</v>
      </c>
      <c r="U55" s="108">
        <f t="shared" si="96"/>
        <v>86.566821352554882</v>
      </c>
      <c r="V55" s="108">
        <f t="shared" si="96"/>
        <v>72.689383773880166</v>
      </c>
      <c r="W55" s="108">
        <f t="shared" si="96"/>
        <v>53.923240393284914</v>
      </c>
      <c r="X55" s="108">
        <f>X48*X$54</f>
        <v>40.824990149776752</v>
      </c>
      <c r="Y55" s="108">
        <f>Y48*Y$54</f>
        <v>32.248794939134008</v>
      </c>
      <c r="Z55" s="108">
        <f t="shared" ref="Z55:AJ55" si="97">Z48*Z$54</f>
        <v>23.670238230246355</v>
      </c>
      <c r="AA55" s="108">
        <f t="shared" si="97"/>
        <v>17.768045752833981</v>
      </c>
      <c r="AB55" s="108">
        <f t="shared" si="97"/>
        <v>9.224246037648447</v>
      </c>
      <c r="AC55" s="108">
        <f t="shared" si="97"/>
        <v>5.4767977696989307</v>
      </c>
      <c r="AD55" s="108">
        <f t="shared" si="97"/>
        <v>5.7412376858912726</v>
      </c>
      <c r="AE55" s="108">
        <f t="shared" si="97"/>
        <v>2.8575675027818184</v>
      </c>
      <c r="AF55" s="108">
        <f t="shared" si="97"/>
        <v>0.39323340858097705</v>
      </c>
      <c r="AG55" s="108">
        <f t="shared" si="97"/>
        <v>0.38290016064882654</v>
      </c>
      <c r="AH55" s="108">
        <f t="shared" si="97"/>
        <v>0.5903453549285349</v>
      </c>
      <c r="AI55" s="108">
        <f t="shared" si="97"/>
        <v>0.4164496471907343</v>
      </c>
      <c r="AJ55" s="108">
        <f t="shared" si="97"/>
        <v>0.37792641113525194</v>
      </c>
      <c r="AK55" s="108">
        <f t="shared" ref="AK55" si="98">AK48*AK$54</f>
        <v>0.61001492216698483</v>
      </c>
      <c r="AL55" s="107">
        <f>AL48*AL$54</f>
        <v>0.6101165913206793</v>
      </c>
      <c r="AM55" s="111">
        <f t="shared" si="94"/>
        <v>0.61021827741923274</v>
      </c>
      <c r="AN55" s="112">
        <f t="shared" si="94"/>
        <v>0.61031998046546931</v>
      </c>
    </row>
    <row r="56" spans="1:41" x14ac:dyDescent="0.25">
      <c r="A56" s="162" t="s">
        <v>4</v>
      </c>
      <c r="B56" s="107">
        <f t="shared" si="94"/>
        <v>-7.209961925808801</v>
      </c>
      <c r="C56" s="111">
        <f t="shared" si="94"/>
        <v>-8.8729740106475656</v>
      </c>
      <c r="D56" s="111">
        <f t="shared" si="94"/>
        <v>-8.514637115292313</v>
      </c>
      <c r="E56" s="111">
        <f t="shared" si="94"/>
        <v>-8.1924295450955356</v>
      </c>
      <c r="F56" s="111">
        <f t="shared" si="94"/>
        <v>-8.4920464736182826</v>
      </c>
      <c r="G56" s="111">
        <f t="shared" si="94"/>
        <v>-8.7560887444377293</v>
      </c>
      <c r="H56" s="111">
        <f t="shared" si="94"/>
        <v>-7.6690166098352428</v>
      </c>
      <c r="I56" s="111">
        <f t="shared" si="94"/>
        <v>-7.0192277885997774</v>
      </c>
      <c r="J56" s="111">
        <f t="shared" si="94"/>
        <v>-6.1454828779284361</v>
      </c>
      <c r="K56" s="108">
        <f t="shared" si="94"/>
        <v>-5.0985414644097817</v>
      </c>
      <c r="L56" s="108">
        <f t="shared" ref="L56:M56" si="99">L49*L$54</f>
        <v>-4.1361763934730265</v>
      </c>
      <c r="M56" s="108">
        <f t="shared" si="99"/>
        <v>-3.4926410297648967</v>
      </c>
      <c r="N56" s="108">
        <f t="shared" ref="N56:Y56" si="100">N49*N$54</f>
        <v>-14.574955423255487</v>
      </c>
      <c r="O56" s="108">
        <f t="shared" si="100"/>
        <v>-14.829886566629144</v>
      </c>
      <c r="P56" s="108">
        <f t="shared" si="100"/>
        <v>-14.267158868991539</v>
      </c>
      <c r="Q56" s="108">
        <f t="shared" si="100"/>
        <v>-13.000194080907859</v>
      </c>
      <c r="R56" s="108">
        <f t="shared" si="100"/>
        <v>-11.743488746934158</v>
      </c>
      <c r="S56" s="108">
        <f t="shared" si="100"/>
        <v>-10.537604902943809</v>
      </c>
      <c r="T56" s="108">
        <f t="shared" si="100"/>
        <v>-11.005976186743377</v>
      </c>
      <c r="U56" s="108">
        <f t="shared" si="100"/>
        <v>-10.051406671382848</v>
      </c>
      <c r="V56" s="108">
        <f t="shared" si="100"/>
        <v>-8.8301937657813347</v>
      </c>
      <c r="W56" s="108">
        <f t="shared" si="100"/>
        <v>-7.0470237002102252</v>
      </c>
      <c r="X56" s="108">
        <f t="shared" si="100"/>
        <v>-5.7881802654190064</v>
      </c>
      <c r="Y56" s="108">
        <f t="shared" si="100"/>
        <v>-4.8202026561396147</v>
      </c>
      <c r="Z56" s="108">
        <f t="shared" ref="Z56:AJ56" si="101">Z49*Z$54</f>
        <v>-3.6619296052894903</v>
      </c>
      <c r="AA56" s="108">
        <f t="shared" si="101"/>
        <v>-3.1845305851217005</v>
      </c>
      <c r="AB56" s="108">
        <f t="shared" si="101"/>
        <v>-2.4082534086687555</v>
      </c>
      <c r="AC56" s="108">
        <f t="shared" si="101"/>
        <v>-1.9794272125961987</v>
      </c>
      <c r="AD56" s="108">
        <f t="shared" si="101"/>
        <v>-2.0753074896219044</v>
      </c>
      <c r="AE56" s="108">
        <f t="shared" si="101"/>
        <v>-1.0329884026016174</v>
      </c>
      <c r="AF56" s="108">
        <f t="shared" si="101"/>
        <v>-0.1421678107193419</v>
      </c>
      <c r="AG56" s="108">
        <f t="shared" si="101"/>
        <v>-0.13841153070283752</v>
      </c>
      <c r="AH56" s="108">
        <f t="shared" si="101"/>
        <v>-0.21340021939646076</v>
      </c>
      <c r="AI56" s="108">
        <f t="shared" si="101"/>
        <v>-0.15043779096482662</v>
      </c>
      <c r="AJ56" s="108">
        <f t="shared" si="101"/>
        <v>-0.1364948072473007</v>
      </c>
      <c r="AK56" s="108">
        <f t="shared" ref="AK56" si="102">AK49*AK$54</f>
        <v>-0.22030323432445592</v>
      </c>
      <c r="AL56" s="107">
        <f t="shared" si="94"/>
        <v>-0.22033995153017666</v>
      </c>
      <c r="AM56" s="111">
        <f t="shared" si="94"/>
        <v>-0.22037667485543169</v>
      </c>
      <c r="AN56" s="112">
        <f t="shared" si="94"/>
        <v>-0.22041340430124096</v>
      </c>
    </row>
    <row r="57" spans="1:41" x14ac:dyDescent="0.25">
      <c r="A57" s="162" t="s">
        <v>5</v>
      </c>
      <c r="B57" s="107">
        <f t="shared" si="94"/>
        <v>-16.719346928775721</v>
      </c>
      <c r="C57" s="111">
        <f t="shared" si="94"/>
        <v>-20.575743991517054</v>
      </c>
      <c r="D57" s="111">
        <f t="shared" si="94"/>
        <v>-19.789999450338506</v>
      </c>
      <c r="E57" s="111">
        <f t="shared" si="94"/>
        <v>-19.267058438831718</v>
      </c>
      <c r="F57" s="111">
        <f t="shared" si="94"/>
        <v>-19.754837940301449</v>
      </c>
      <c r="G57" s="111">
        <f t="shared" si="94"/>
        <v>-20.028962428119833</v>
      </c>
      <c r="H57" s="111">
        <f t="shared" si="94"/>
        <v>-16.992817904839985</v>
      </c>
      <c r="I57" s="111">
        <f t="shared" si="94"/>
        <v>-15.041190240215794</v>
      </c>
      <c r="J57" s="111">
        <f t="shared" si="94"/>
        <v>-12.664953383078901</v>
      </c>
      <c r="K57" s="108">
        <f t="shared" si="94"/>
        <v>-9.8966415930781348</v>
      </c>
      <c r="L57" s="108">
        <f t="shared" ref="L57:M57" si="103">L50*L$54</f>
        <v>-7.2041931196793554</v>
      </c>
      <c r="M57" s="108">
        <f t="shared" si="103"/>
        <v>-5.0103503015856425</v>
      </c>
      <c r="N57" s="108">
        <f t="shared" ref="N57:Y57" si="104">N50*N$54</f>
        <v>-29.96387580799178</v>
      </c>
      <c r="O57" s="108">
        <f t="shared" si="104"/>
        <v>-29.925014142845114</v>
      </c>
      <c r="P57" s="108">
        <f t="shared" si="104"/>
        <v>-28.271475397149409</v>
      </c>
      <c r="Q57" s="108">
        <f t="shared" si="104"/>
        <v>-25.333050361016806</v>
      </c>
      <c r="R57" s="108">
        <f t="shared" si="104"/>
        <v>-22.427618493536663</v>
      </c>
      <c r="S57" s="108">
        <f t="shared" si="104"/>
        <v>-19.49070056138169</v>
      </c>
      <c r="T57" s="108">
        <f t="shared" si="104"/>
        <v>-20.850165201020111</v>
      </c>
      <c r="U57" s="108">
        <f t="shared" si="104"/>
        <v>-18.198022330675023</v>
      </c>
      <c r="V57" s="108">
        <f t="shared" si="104"/>
        <v>-15.163346493491664</v>
      </c>
      <c r="W57" s="108">
        <f t="shared" si="104"/>
        <v>-11.266143906101266</v>
      </c>
      <c r="X57" s="108">
        <f t="shared" si="104"/>
        <v>-8.2717357511383263</v>
      </c>
      <c r="Y57" s="108">
        <f t="shared" si="104"/>
        <v>-5.8779158913995726</v>
      </c>
      <c r="Z57" s="108">
        <f t="shared" ref="Z57:AJ57" si="105">Z50*Z$54</f>
        <v>-3.6494726137141749</v>
      </c>
      <c r="AA57" s="108">
        <f t="shared" si="105"/>
        <v>-2.109102900598212</v>
      </c>
      <c r="AB57" s="108">
        <f t="shared" si="105"/>
        <v>-0.28281780258850586</v>
      </c>
      <c r="AC57" s="108">
        <f t="shared" si="105"/>
        <v>0.66492062693262888</v>
      </c>
      <c r="AD57" s="108">
        <f t="shared" si="105"/>
        <v>0.70840125498103612</v>
      </c>
      <c r="AE57" s="108">
        <f t="shared" si="105"/>
        <v>0.35261543445778759</v>
      </c>
      <c r="AF57" s="108">
        <f t="shared" si="105"/>
        <v>4.833923450621036E-2</v>
      </c>
      <c r="AG57" s="108">
        <f t="shared" si="105"/>
        <v>4.7057416278019328E-2</v>
      </c>
      <c r="AH57" s="108">
        <f t="shared" si="105"/>
        <v>7.2547655441405692E-2</v>
      </c>
      <c r="AI57" s="108">
        <f t="shared" si="105"/>
        <v>5.1099301435607154E-2</v>
      </c>
      <c r="AJ57" s="108">
        <f t="shared" si="105"/>
        <v>4.6362542152608405E-2</v>
      </c>
      <c r="AK57" s="108">
        <f t="shared" ref="AK57" si="106">AK50*AK$54</f>
        <v>7.4836711487221819E-2</v>
      </c>
      <c r="AL57" s="107">
        <f t="shared" si="94"/>
        <v>7.4849184272469685E-2</v>
      </c>
      <c r="AM57" s="111">
        <f t="shared" si="94"/>
        <v>7.4861659136515088E-2</v>
      </c>
      <c r="AN57" s="112">
        <f t="shared" si="94"/>
        <v>7.4874136079704501E-2</v>
      </c>
    </row>
    <row r="58" spans="1:41" x14ac:dyDescent="0.25">
      <c r="A58" s="162" t="s">
        <v>6</v>
      </c>
      <c r="B58" s="107">
        <f t="shared" si="94"/>
        <v>-7.3438185586328446</v>
      </c>
      <c r="C58" s="111">
        <f t="shared" si="94"/>
        <v>-9.0377053138669385</v>
      </c>
      <c r="D58" s="111">
        <f t="shared" si="94"/>
        <v>-8.6735414561607076</v>
      </c>
      <c r="E58" s="111">
        <f t="shared" si="94"/>
        <v>-8.5481644706103506</v>
      </c>
      <c r="F58" s="111">
        <f t="shared" si="94"/>
        <v>-8.8223441988083096</v>
      </c>
      <c r="G58" s="111">
        <f t="shared" si="94"/>
        <v>-8.9984729619359225</v>
      </c>
      <c r="H58" s="111">
        <f t="shared" si="94"/>
        <v>-7.5501023342218598</v>
      </c>
      <c r="I58" s="111">
        <f t="shared" si="94"/>
        <v>-6.680998653812356</v>
      </c>
      <c r="J58" s="111">
        <f t="shared" si="94"/>
        <v>-5.6545307108165161</v>
      </c>
      <c r="K58" s="108">
        <f t="shared" si="94"/>
        <v>-4.4072029272472237</v>
      </c>
      <c r="L58" s="108">
        <f t="shared" ref="L58:M58" si="107">L51*L$54</f>
        <v>-3.246642180126011</v>
      </c>
      <c r="M58" s="108">
        <f t="shared" si="107"/>
        <v>-2.2726718655767684</v>
      </c>
      <c r="N58" s="108">
        <f t="shared" ref="N58:Y58" si="108">N51*N$54</f>
        <v>-13.302303708042466</v>
      </c>
      <c r="O58" s="108">
        <f t="shared" si="108"/>
        <v>-13.240329963850304</v>
      </c>
      <c r="P58" s="108">
        <f t="shared" si="108"/>
        <v>-12.63204779663285</v>
      </c>
      <c r="Q58" s="108">
        <f t="shared" si="108"/>
        <v>-11.450007477412031</v>
      </c>
      <c r="R58" s="108">
        <f t="shared" si="108"/>
        <v>-10.249082804254007</v>
      </c>
      <c r="S58" s="108">
        <f t="shared" si="108"/>
        <v>-8.9526301319934554</v>
      </c>
      <c r="T58" s="108">
        <f t="shared" si="108"/>
        <v>-9.5271091155831318</v>
      </c>
      <c r="U58" s="108">
        <f t="shared" si="108"/>
        <v>-8.3662458889396891</v>
      </c>
      <c r="V58" s="108">
        <f t="shared" si="108"/>
        <v>-7.1106797973783005</v>
      </c>
      <c r="W58" s="108">
        <f t="shared" si="108"/>
        <v>-5.4096686684841977</v>
      </c>
      <c r="X58" s="108">
        <f t="shared" si="108"/>
        <v>-4.1339173636444597</v>
      </c>
      <c r="Y58" s="108">
        <f t="shared" si="108"/>
        <v>-3.1078396038883174</v>
      </c>
      <c r="Z58" s="108">
        <f t="shared" ref="Z58:AJ58" si="109">Z51*Z$54</f>
        <v>-2.0610828282623967</v>
      </c>
      <c r="AA58" s="108">
        <f t="shared" si="109"/>
        <v>-1.4396444999054892</v>
      </c>
      <c r="AB58" s="108">
        <f t="shared" si="109"/>
        <v>-0.69898080958264774</v>
      </c>
      <c r="AC58" s="108">
        <f t="shared" si="109"/>
        <v>-0.23270738884363937</v>
      </c>
      <c r="AD58" s="108">
        <f t="shared" si="109"/>
        <v>-0.23847870124937157</v>
      </c>
      <c r="AE58" s="108">
        <f t="shared" si="109"/>
        <v>-0.11868892204690121</v>
      </c>
      <c r="AF58" s="108">
        <f t="shared" si="109"/>
        <v>-1.6336128537640587E-2</v>
      </c>
      <c r="AG58" s="108">
        <f t="shared" si="109"/>
        <v>-1.5902941137146499E-2</v>
      </c>
      <c r="AH58" s="108">
        <f t="shared" si="109"/>
        <v>-2.451730641789544E-2</v>
      </c>
      <c r="AI58" s="108">
        <f t="shared" si="109"/>
        <v>-1.7294148749274433E-2</v>
      </c>
      <c r="AJ58" s="108">
        <f t="shared" si="109"/>
        <v>-1.5691808448475168E-2</v>
      </c>
      <c r="AK58" s="108">
        <f t="shared" ref="AK58" si="110">AK51*AK$54</f>
        <v>-2.5329140445013696E-2</v>
      </c>
      <c r="AL58" s="107">
        <f t="shared" si="94"/>
        <v>-2.53333619684212E-2</v>
      </c>
      <c r="AM58" s="111">
        <f t="shared" si="94"/>
        <v>-2.5337584195415937E-2</v>
      </c>
      <c r="AN58" s="112">
        <f t="shared" si="94"/>
        <v>-2.5341807126115175E-2</v>
      </c>
    </row>
    <row r="59" spans="1:41" ht="15.75" thickBot="1" x14ac:dyDescent="0.3">
      <c r="A59" s="162" t="s">
        <v>7</v>
      </c>
      <c r="B59" s="107">
        <f t="shared" si="94"/>
        <v>-3.4193435424392344</v>
      </c>
      <c r="C59" s="111">
        <f t="shared" si="94"/>
        <v>-4.2080314289781002</v>
      </c>
      <c r="D59" s="111">
        <f t="shared" si="94"/>
        <v>-4.0608231664839582</v>
      </c>
      <c r="E59" s="111">
        <f t="shared" si="94"/>
        <v>-4.1524828216786194</v>
      </c>
      <c r="F59" s="111">
        <f t="shared" si="94"/>
        <v>-4.43851426999412</v>
      </c>
      <c r="G59" s="111">
        <f t="shared" si="94"/>
        <v>-4.541796683958669</v>
      </c>
      <c r="H59" s="111">
        <f t="shared" si="94"/>
        <v>-3.8306059161855188</v>
      </c>
      <c r="I59" s="111">
        <f t="shared" si="94"/>
        <v>-3.4035594905066571</v>
      </c>
      <c r="J59" s="111">
        <f t="shared" si="94"/>
        <v>-2.9759407054818667</v>
      </c>
      <c r="K59" s="108">
        <f t="shared" si="94"/>
        <v>-2.3497176677525817</v>
      </c>
      <c r="L59" s="108">
        <f t="shared" ref="L59:M59" si="111">L52*L$54</f>
        <v>-1.7890937067728354</v>
      </c>
      <c r="M59" s="108">
        <f t="shared" si="111"/>
        <v>-1.3008497025167418</v>
      </c>
      <c r="N59" s="108">
        <f t="shared" ref="N59:Y59" si="112">N52*N$54</f>
        <v>-6.7354367168637967</v>
      </c>
      <c r="O59" s="108">
        <f t="shared" si="112"/>
        <v>-6.7564832325768771</v>
      </c>
      <c r="P59" s="108">
        <f t="shared" si="112"/>
        <v>-6.4982557111233348</v>
      </c>
      <c r="Q59" s="108">
        <f t="shared" si="112"/>
        <v>-6.0287425175488858</v>
      </c>
      <c r="R59" s="108">
        <f t="shared" si="112"/>
        <v>-5.5098601065638722</v>
      </c>
      <c r="S59" s="108">
        <f t="shared" si="112"/>
        <v>-4.9045244626681201</v>
      </c>
      <c r="T59" s="108">
        <f t="shared" si="112"/>
        <v>-5.1553347445324436</v>
      </c>
      <c r="U59" s="108">
        <f t="shared" si="112"/>
        <v>-4.6192858363196319</v>
      </c>
      <c r="V59" s="108">
        <f t="shared" si="112"/>
        <v>-4.068471312726718</v>
      </c>
      <c r="W59" s="108">
        <f t="shared" si="112"/>
        <v>-3.2275680644490383</v>
      </c>
      <c r="X59" s="108">
        <f t="shared" si="112"/>
        <v>-2.6053112794609148</v>
      </c>
      <c r="Y59" s="108">
        <f t="shared" si="112"/>
        <v>-2.0996220810595845</v>
      </c>
      <c r="Z59" s="108">
        <f t="shared" ref="Z59:AJ59" si="113">Z52*Z$54</f>
        <v>-1.5342350282799011</v>
      </c>
      <c r="AA59" s="108">
        <f t="shared" si="113"/>
        <v>-1.3277293626196125</v>
      </c>
      <c r="AB59" s="108">
        <f t="shared" si="113"/>
        <v>-1.0026653328569661</v>
      </c>
      <c r="AC59" s="108">
        <f t="shared" si="113"/>
        <v>-0.72976301818766864</v>
      </c>
      <c r="AD59" s="108">
        <f t="shared" si="113"/>
        <v>-0.77633743822859913</v>
      </c>
      <c r="AE59" s="108">
        <f t="shared" si="113"/>
        <v>-0.38637686806107596</v>
      </c>
      <c r="AF59" s="108">
        <f t="shared" si="113"/>
        <v>-5.318021321419128E-2</v>
      </c>
      <c r="AG59" s="108">
        <f t="shared" si="113"/>
        <v>-6.0809136887443861E-2</v>
      </c>
      <c r="AH59" s="108">
        <f t="shared" si="113"/>
        <v>-9.3748460062823391E-2</v>
      </c>
      <c r="AI59" s="108">
        <f t="shared" si="113"/>
        <v>-6.6128790239309385E-2</v>
      </c>
      <c r="AJ59" s="108">
        <f t="shared" si="113"/>
        <v>-6.0001814741426497E-2</v>
      </c>
      <c r="AK59" s="108">
        <f t="shared" ref="AK59" si="114">AK52*AK$54</f>
        <v>-9.6852723988545053E-2</v>
      </c>
      <c r="AL59" s="107">
        <f t="shared" si="94"/>
        <v>-9.6868866109209792E-2</v>
      </c>
      <c r="AM59" s="111">
        <f t="shared" si="94"/>
        <v>-9.6885010920227985E-2</v>
      </c>
      <c r="AN59" s="112">
        <f t="shared" si="94"/>
        <v>-9.6901158422048023E-2</v>
      </c>
    </row>
    <row r="60" spans="1:41" ht="16.5" thickTop="1" thickBot="1" x14ac:dyDescent="0.3">
      <c r="A60" s="123" t="s">
        <v>71</v>
      </c>
      <c r="B60" s="127">
        <f>SUM(B55:B59)+SUM(B48:B52)-B63</f>
        <v>0</v>
      </c>
      <c r="C60" s="128">
        <f>SUM(C55:C59)+SUM(C48:C52)-C63</f>
        <v>0</v>
      </c>
      <c r="D60" s="128">
        <f>SUM(D55:D59)+SUM(D48:D52)-D63</f>
        <v>0</v>
      </c>
      <c r="E60" s="128">
        <f t="shared" ref="E60:AN60" si="115">SUM(E55:E59)+SUM(E48:E52)-E63</f>
        <v>0</v>
      </c>
      <c r="F60" s="128">
        <f t="shared" si="115"/>
        <v>0</v>
      </c>
      <c r="G60" s="128">
        <f t="shared" si="115"/>
        <v>0</v>
      </c>
      <c r="H60" s="128">
        <f t="shared" si="115"/>
        <v>0</v>
      </c>
      <c r="I60" s="128">
        <f t="shared" si="115"/>
        <v>0</v>
      </c>
      <c r="J60" s="128">
        <f t="shared" si="115"/>
        <v>0</v>
      </c>
      <c r="K60" s="151">
        <f t="shared" si="115"/>
        <v>0</v>
      </c>
      <c r="L60" s="151">
        <f t="shared" ref="L60:M60" si="116">SUM(L55:L59)+SUM(L48:L52)-L63</f>
        <v>0</v>
      </c>
      <c r="M60" s="151">
        <f t="shared" si="116"/>
        <v>0</v>
      </c>
      <c r="N60" s="151">
        <f t="shared" ref="N60:X60" si="117">SUM(N55:N59)+SUM(N48:N52)-N63</f>
        <v>0</v>
      </c>
      <c r="O60" s="151">
        <f t="shared" si="117"/>
        <v>1.3096723705530167E-10</v>
      </c>
      <c r="P60" s="151">
        <f t="shared" si="117"/>
        <v>1.3096723705530167E-10</v>
      </c>
      <c r="Q60" s="151">
        <f t="shared" si="117"/>
        <v>1.3096723705530167E-10</v>
      </c>
      <c r="R60" s="151">
        <f t="shared" si="117"/>
        <v>1.2369127944111824E-10</v>
      </c>
      <c r="S60" s="151">
        <f t="shared" si="117"/>
        <v>1.2732925824820995E-10</v>
      </c>
      <c r="T60" s="151">
        <f t="shared" si="117"/>
        <v>1.3096723705530167E-10</v>
      </c>
      <c r="U60" s="151">
        <f t="shared" si="117"/>
        <v>1.2732925824820995E-10</v>
      </c>
      <c r="V60" s="151">
        <f t="shared" si="117"/>
        <v>1.3460521586239338E-10</v>
      </c>
      <c r="W60" s="151">
        <f t="shared" si="117"/>
        <v>1.3096723705530167E-10</v>
      </c>
      <c r="X60" s="151">
        <f t="shared" si="117"/>
        <v>1.3460521586239338E-10</v>
      </c>
      <c r="Y60" s="151">
        <f>SUM(Y55:Y59)+SUM(Y48:Y52)-Y63</f>
        <v>1.3460521586239338E-10</v>
      </c>
      <c r="Z60" s="151">
        <f t="shared" ref="Z60:AJ60" si="118">SUM(Z55:Z59)+SUM(Z48:Z52)-Z63</f>
        <v>1.3278622645884752E-10</v>
      </c>
      <c r="AA60" s="151">
        <f t="shared" si="118"/>
        <v>1.3460521586239338E-10</v>
      </c>
      <c r="AB60" s="151">
        <f t="shared" si="118"/>
        <v>1.3505996321327984E-10</v>
      </c>
      <c r="AC60" s="151">
        <f t="shared" si="118"/>
        <v>1.3551471056416631E-10</v>
      </c>
      <c r="AD60" s="151">
        <f t="shared" si="118"/>
        <v>1.3596945791505277E-10</v>
      </c>
      <c r="AE60" s="151">
        <f t="shared" si="118"/>
        <v>1.3505996321327984E-10</v>
      </c>
      <c r="AF60" s="151">
        <f t="shared" si="118"/>
        <v>1.3460521586239338E-10</v>
      </c>
      <c r="AG60" s="151">
        <f t="shared" si="118"/>
        <v>1.3551471056416631E-10</v>
      </c>
      <c r="AH60" s="151">
        <f t="shared" si="118"/>
        <v>1.3551471056416631E-10</v>
      </c>
      <c r="AI60" s="151">
        <f t="shared" si="118"/>
        <v>1.3505996321327984E-10</v>
      </c>
      <c r="AJ60" s="151">
        <f t="shared" si="118"/>
        <v>1.3505996321327984E-10</v>
      </c>
      <c r="AK60" s="151">
        <f t="shared" ref="AK60" si="119">SUM(AK55:AK59)+SUM(AK48:AK52)-AK63</f>
        <v>1.3551471056416631E-10</v>
      </c>
      <c r="AL60" s="127">
        <f>SUM(AL55:AL59)+SUM(AL48:AL52)-AL63</f>
        <v>1.3551471056416631E-10</v>
      </c>
      <c r="AM60" s="128">
        <f>SUM(AM55:AM59)+SUM(AM48:AM52)-AM63</f>
        <v>1.3505996321327984E-10</v>
      </c>
      <c r="AN60" s="129">
        <f t="shared" si="115"/>
        <v>1.3551471056416631E-10</v>
      </c>
    </row>
    <row r="61" spans="1:41" ht="16.5" thickTop="1" thickBot="1" x14ac:dyDescent="0.3">
      <c r="A61" s="123" t="s">
        <v>72</v>
      </c>
      <c r="B61" s="127">
        <f>SUM(B55:B59)-B38</f>
        <v>2.6474603400856722E-3</v>
      </c>
      <c r="C61" s="128">
        <f>SUM(C55:C59)-C38</f>
        <v>-5.26962734056724E-4</v>
      </c>
      <c r="D61" s="128">
        <f t="shared" ref="D61:J61" si="120">SUM(D55:D59)-D38</f>
        <v>-3.2059207567272097E-3</v>
      </c>
      <c r="E61" s="128">
        <f t="shared" si="120"/>
        <v>-2.5729822855282691E-3</v>
      </c>
      <c r="F61" s="128">
        <f t="shared" si="120"/>
        <v>-3.7603102059620142E-3</v>
      </c>
      <c r="G61" s="128">
        <f>SUM(G55:G59)-G38</f>
        <v>2.1659520450612035E-3</v>
      </c>
      <c r="H61" s="128">
        <f t="shared" si="120"/>
        <v>-2.4835542922119203E-3</v>
      </c>
      <c r="I61" s="128">
        <f t="shared" si="120"/>
        <v>-1.2212085571263742E-3</v>
      </c>
      <c r="J61" s="128">
        <f t="shared" si="120"/>
        <v>-3.1777749156844948E-3</v>
      </c>
      <c r="K61" s="151">
        <f>SUM(K55:K59)-K38</f>
        <v>2.264368309852216E-3</v>
      </c>
      <c r="L61" s="151">
        <f t="shared" ref="L61" si="121">SUM(L55:L59)-L38</f>
        <v>5.5054752635896875E-4</v>
      </c>
      <c r="M61" s="151">
        <f>SUM(M55:M59)-M38</f>
        <v>7.9634466084144151E-4</v>
      </c>
      <c r="N61" s="151">
        <f t="shared" ref="N61:Y61" si="122">SUM(N55:N59)-N38</f>
        <v>-2.967530633725346E-3</v>
      </c>
      <c r="O61" s="151">
        <f t="shared" si="122"/>
        <v>-3.7965210017034678E-3</v>
      </c>
      <c r="P61" s="151">
        <f t="shared" si="122"/>
        <v>-2.1885955109723909E-3</v>
      </c>
      <c r="Q61" s="151">
        <f t="shared" si="122"/>
        <v>-1.3067943649289759E-3</v>
      </c>
      <c r="R61" s="151">
        <f t="shared" si="122"/>
        <v>-1.550880437079627E-3</v>
      </c>
      <c r="S61" s="151">
        <f t="shared" si="122"/>
        <v>2.2770658950292955E-3</v>
      </c>
      <c r="T61" s="151">
        <f t="shared" si="122"/>
        <v>1.5290923474253759E-3</v>
      </c>
      <c r="U61" s="151">
        <f t="shared" si="122"/>
        <v>1.8606252376898169E-3</v>
      </c>
      <c r="V61" s="151">
        <f t="shared" si="122"/>
        <v>-3.3075954978514233E-3</v>
      </c>
      <c r="W61" s="151">
        <f t="shared" si="122"/>
        <v>2.8360540401841661E-3</v>
      </c>
      <c r="X61" s="151">
        <f t="shared" si="122"/>
        <v>-4.1545098859572249E-3</v>
      </c>
      <c r="Y61" s="151">
        <f t="shared" si="122"/>
        <v>3.2147066469185859E-3</v>
      </c>
      <c r="Z61" s="151">
        <f t="shared" ref="Z61:AJ61" si="123">SUM(Z55:Z59)-Z38</f>
        <v>3.5181547003926283E-3</v>
      </c>
      <c r="AA61" s="151">
        <f t="shared" si="123"/>
        <v>-2.9615954110333575E-3</v>
      </c>
      <c r="AB61" s="151">
        <f t="shared" si="123"/>
        <v>1.5286839515713524E-3</v>
      </c>
      <c r="AC61" s="151">
        <f t="shared" si="123"/>
        <v>-1.7922299594719249E-4</v>
      </c>
      <c r="AD61" s="151">
        <f t="shared" si="123"/>
        <v>-4.84688227566199E-4</v>
      </c>
      <c r="AE61" s="151">
        <f t="shared" si="123"/>
        <v>2.1287445300115504E-3</v>
      </c>
      <c r="AF61" s="151">
        <f t="shared" si="123"/>
        <v>-1.1150938398635235E-4</v>
      </c>
      <c r="AG61" s="151">
        <f t="shared" si="123"/>
        <v>4.8339681994180039E-3</v>
      </c>
      <c r="AH61" s="151">
        <f t="shared" si="123"/>
        <v>1.2270244927609641E-3</v>
      </c>
      <c r="AI61" s="151">
        <f t="shared" si="123"/>
        <v>3.6882186729309818E-3</v>
      </c>
      <c r="AJ61" s="151">
        <f t="shared" si="123"/>
        <v>2.1005228506579821E-3</v>
      </c>
      <c r="AK61" s="151">
        <f t="shared" ref="AK61" si="124">SUM(AK55:AK59)-AK38</f>
        <v>2.3665348961919297E-3</v>
      </c>
      <c r="AL61" s="127">
        <f>SUM(AL55:AL59)-AL38</f>
        <v>5.2760672797913521E-6</v>
      </c>
      <c r="AM61" s="128">
        <f>SUM(AM55:AM59)-AM38</f>
        <v>5.2769466243329788E-6</v>
      </c>
      <c r="AN61" s="129">
        <f>SUM(AN55:AN59)-AN38</f>
        <v>5.2778261153685335E-6</v>
      </c>
    </row>
    <row r="62" spans="1:41" ht="15.75" thickTop="1" x14ac:dyDescent="0.25">
      <c r="B62" s="97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5"/>
      <c r="AM62" s="96"/>
      <c r="AN62" s="99"/>
    </row>
    <row r="63" spans="1:41" x14ac:dyDescent="0.25">
      <c r="A63" s="162" t="s">
        <v>73</v>
      </c>
      <c r="B63" s="107">
        <f>(SUM(B15:B19)-SUM(B22:B26))+SUM(B55:B59)</f>
        <v>-951730.2573525398</v>
      </c>
      <c r="C63" s="111">
        <f>(SUM(C15:C19)-SUM(C22:C26))+SUM(C55:C59)+B63</f>
        <v>-953136.86787950259</v>
      </c>
      <c r="D63" s="111">
        <f t="shared" ref="D63:AM63" si="125">(SUM(D15:D19)-SUM(D22:D26))+SUM(D55:D59)+C63</f>
        <v>-943048.98108542338</v>
      </c>
      <c r="E63" s="111">
        <f t="shared" si="125"/>
        <v>-847274.32365840569</v>
      </c>
      <c r="F63" s="111">
        <f t="shared" si="125"/>
        <v>-770150.43741871591</v>
      </c>
      <c r="G63" s="111">
        <f t="shared" si="125"/>
        <v>-695501.10525276384</v>
      </c>
      <c r="H63" s="111">
        <f t="shared" si="125"/>
        <v>-634268.1877363181</v>
      </c>
      <c r="I63" s="111">
        <f t="shared" si="125"/>
        <v>-543319.41895752668</v>
      </c>
      <c r="J63" s="111">
        <f t="shared" si="125"/>
        <v>-436662.47213530162</v>
      </c>
      <c r="K63" s="108">
        <f t="shared" si="125"/>
        <v>-340757.81987093331</v>
      </c>
      <c r="L63" s="108">
        <f t="shared" ref="L63" si="126">(SUM(L15:L19)-SUM(L22:L26))+SUM(L55:L59)+K63</f>
        <v>-248280.3093203858</v>
      </c>
      <c r="M63" s="108">
        <f t="shared" ref="M63" si="127">(SUM(M15:M19)-SUM(M22:M26))+SUM(M55:M59)+L63</f>
        <v>-176310.81852404115</v>
      </c>
      <c r="N63" s="108">
        <f t="shared" ref="N63" si="128">(SUM(N15:N19)-SUM(N22:N26))+SUM(N55:N59)+M63</f>
        <v>-155594.7114915718</v>
      </c>
      <c r="O63" s="108">
        <f t="shared" ref="O63" si="129">(SUM(O15:O19)-SUM(O22:O26))+SUM(O55:O59)+N63</f>
        <v>-63108.985288092823</v>
      </c>
      <c r="P63" s="108">
        <f t="shared" ref="P63" si="130">(SUM(P15:P19)-SUM(P22:P26))+SUM(P55:P59)+O63</f>
        <v>28430.902523311655</v>
      </c>
      <c r="Q63" s="108">
        <f t="shared" ref="Q63" si="131">(SUM(Q15:Q19)-SUM(Q22:Q26))+SUM(Q55:Q59)+P63</f>
        <v>25374.191216517291</v>
      </c>
      <c r="R63" s="108">
        <f t="shared" ref="R63" si="132">(SUM(R15:R19)-SUM(R22:R26))+SUM(R55:R59)+Q63</f>
        <v>22840.009665636855</v>
      </c>
      <c r="S63" s="108">
        <f t="shared" ref="S63" si="133">(SUM(S15:S19)-SUM(S22:S26))+SUM(S55:S59)+R63</f>
        <v>22046.061942702749</v>
      </c>
      <c r="T63" s="108">
        <f t="shared" ref="T63" si="134">(SUM(T15:T19)-SUM(T22:T26))+SUM(T55:T59)+S63</f>
        <v>22038.563471795096</v>
      </c>
      <c r="U63" s="108">
        <f t="shared" ref="U63" si="135">(SUM(U15:U19)-SUM(U22:U26))+SUM(U55:U59)+T63</f>
        <v>20572.525332420333</v>
      </c>
      <c r="V63" s="108">
        <f t="shared" ref="V63" si="136">(SUM(V15:V19)-SUM(V22:V26))+SUM(V55:V59)+U63</f>
        <v>17387.152024824834</v>
      </c>
      <c r="W63" s="108">
        <f t="shared" ref="W63" si="137">(SUM(W15:W19)-SUM(W22:W26))+SUM(W55:W59)+V63</f>
        <v>13793.364860878875</v>
      </c>
      <c r="X63" s="108">
        <f t="shared" ref="X63" si="138">(SUM(X15:X19)-SUM(X22:X26))+SUM(X55:X59)+W63</f>
        <v>10860.09070636899</v>
      </c>
      <c r="Y63" s="108">
        <f>(SUM(Y15:Y19)-SUM(Y22:Y26))+SUM(Y55:Y59)+X63</f>
        <v>9293.7739210756372</v>
      </c>
      <c r="Z63" s="108">
        <f t="shared" ref="Z63:AK63" si="139">(SUM(Z15:Z19)-SUM(Z22:Z26))+SUM(Z55:Z59)+Y63</f>
        <v>8446.8574392303381</v>
      </c>
      <c r="AA63" s="108">
        <f t="shared" si="139"/>
        <v>6091.8144776349263</v>
      </c>
      <c r="AB63" s="108">
        <f t="shared" si="139"/>
        <v>3073.9660063188776</v>
      </c>
      <c r="AC63" s="108">
        <f t="shared" si="139"/>
        <v>2132.1758270958817</v>
      </c>
      <c r="AD63" s="108">
        <f t="shared" si="139"/>
        <v>2137.9753424076539</v>
      </c>
      <c r="AE63" s="108">
        <f t="shared" si="139"/>
        <v>2139.807471152184</v>
      </c>
      <c r="AF63" s="108">
        <f t="shared" si="139"/>
        <v>2137.6173596428002</v>
      </c>
      <c r="AG63" s="108">
        <f t="shared" si="139"/>
        <v>2052.2621936109995</v>
      </c>
      <c r="AH63" s="108">
        <f t="shared" si="139"/>
        <v>2052.7234206354924</v>
      </c>
      <c r="AI63" s="108">
        <f t="shared" si="139"/>
        <v>2053.3571088541653</v>
      </c>
      <c r="AJ63" s="108">
        <f t="shared" si="139"/>
        <v>2054.1892093770161</v>
      </c>
      <c r="AK63" s="108">
        <f t="shared" si="139"/>
        <v>2054.5415759119123</v>
      </c>
      <c r="AL63" s="107">
        <f>(SUM(AL15:AL19)-SUM(AL22:AL26))+SUM(AL55:AL59)+AK63</f>
        <v>2054.8839995078979</v>
      </c>
      <c r="AM63" s="111">
        <f t="shared" si="125"/>
        <v>2055.2264801744827</v>
      </c>
      <c r="AN63" s="112">
        <f>(SUM(AN15:AN19)-SUM(AN22:AN26))+SUM(AN55:AN59)+AM63</f>
        <v>2055.5690179211783</v>
      </c>
    </row>
    <row r="64" spans="1:41" x14ac:dyDescent="0.25">
      <c r="A64" s="162" t="s">
        <v>74</v>
      </c>
      <c r="B64" s="97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5"/>
      <c r="AM64" s="96"/>
      <c r="AN64" s="99"/>
    </row>
    <row r="65" spans="1:40" ht="15.75" thickBot="1" x14ac:dyDescent="0.3">
      <c r="A65" s="101">
        <v>0</v>
      </c>
      <c r="B65" s="146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0"/>
      <c r="AM65" s="131"/>
      <c r="AN65" s="132"/>
    </row>
    <row r="67" spans="1:40" x14ac:dyDescent="0.25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</sheetData>
  <mergeCells count="1">
    <mergeCell ref="AL13:AN13"/>
  </mergeCells>
  <pageMargins left="0.7" right="0.7" top="0.75" bottom="0.75" header="0.3" footer="0.3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B2:Y36"/>
  <sheetViews>
    <sheetView topLeftCell="A13" workbookViewId="0">
      <selection activeCell="Q32" sqref="Q32"/>
    </sheetView>
  </sheetViews>
  <sheetFormatPr defaultRowHeight="15" x14ac:dyDescent="0.25"/>
  <cols>
    <col min="1" max="2" width="9.140625" style="162"/>
    <col min="3" max="3" width="16.5703125" style="162" customWidth="1"/>
    <col min="4" max="5" width="15.5703125" style="162" customWidth="1"/>
    <col min="6" max="6" width="8.28515625" style="162" customWidth="1"/>
    <col min="7" max="7" width="17.140625" style="162" customWidth="1"/>
    <col min="8" max="8" width="13.7109375" style="162" bestFit="1" customWidth="1"/>
    <col min="9" max="9" width="5.7109375" style="162" customWidth="1"/>
    <col min="10" max="10" width="14.85546875" style="162" customWidth="1"/>
    <col min="11" max="11" width="17.5703125" style="162" customWidth="1"/>
    <col min="12" max="12" width="14.5703125" style="162" bestFit="1" customWidth="1"/>
    <col min="13" max="13" width="13.7109375" style="162" bestFit="1" customWidth="1"/>
    <col min="14" max="14" width="11" style="162" bestFit="1" customWidth="1"/>
    <col min="15" max="15" width="2.5703125" style="162" customWidth="1"/>
    <col min="16" max="17" width="11" style="162" bestFit="1" customWidth="1"/>
    <col min="18" max="18" width="10.28515625" style="162" customWidth="1"/>
    <col min="19" max="20" width="11" style="162" bestFit="1" customWidth="1"/>
    <col min="21" max="16384" width="9.140625" style="162"/>
  </cols>
  <sheetData>
    <row r="2" spans="2:25" ht="15.75" thickBot="1" x14ac:dyDescent="0.3">
      <c r="J2" s="377" t="s">
        <v>28</v>
      </c>
      <c r="K2" s="377"/>
      <c r="L2" s="377"/>
      <c r="M2" s="377"/>
      <c r="P2" s="377" t="s">
        <v>136</v>
      </c>
      <c r="Q2" s="377"/>
      <c r="R2" s="377"/>
      <c r="S2" s="377"/>
      <c r="T2" s="377"/>
    </row>
    <row r="3" spans="2:25" ht="27.75" thickBot="1" x14ac:dyDescent="0.3">
      <c r="B3" s="8" t="s">
        <v>11</v>
      </c>
      <c r="C3" s="157" t="s">
        <v>33</v>
      </c>
      <c r="D3" s="157" t="s">
        <v>34</v>
      </c>
      <c r="E3" s="157" t="s">
        <v>43</v>
      </c>
      <c r="F3" s="157" t="s">
        <v>35</v>
      </c>
      <c r="G3" s="157" t="s">
        <v>13</v>
      </c>
      <c r="H3" s="10" t="s">
        <v>14</v>
      </c>
      <c r="J3" s="160" t="s">
        <v>29</v>
      </c>
      <c r="K3" s="160" t="s">
        <v>44</v>
      </c>
      <c r="L3" s="160" t="s">
        <v>135</v>
      </c>
      <c r="M3" s="160" t="s">
        <v>134</v>
      </c>
      <c r="N3" s="160"/>
      <c r="P3" s="162" t="s">
        <v>33</v>
      </c>
      <c r="Q3" s="162" t="s">
        <v>34</v>
      </c>
      <c r="R3" s="162" t="s">
        <v>43</v>
      </c>
      <c r="S3" s="162" t="s">
        <v>35</v>
      </c>
      <c r="T3" s="162" t="s">
        <v>9</v>
      </c>
    </row>
    <row r="4" spans="2:25" ht="15.75" thickBot="1" x14ac:dyDescent="0.3">
      <c r="B4" s="11" t="s">
        <v>15</v>
      </c>
      <c r="C4" s="275">
        <f>C16+C26</f>
        <v>40657117.586872332</v>
      </c>
      <c r="D4" s="250">
        <f>D16+D26</f>
        <v>19343592.098500896</v>
      </c>
      <c r="E4" s="250">
        <f>E16+E26</f>
        <v>2892189.3755692802</v>
      </c>
      <c r="F4" s="250">
        <f>F16+F26</f>
        <v>0</v>
      </c>
      <c r="G4" s="60">
        <f>PPC!B15</f>
        <v>12657453455.338533</v>
      </c>
      <c r="H4" s="209">
        <f>SUM(C4:F4)/G4</f>
        <v>4.9688430048633664E-3</v>
      </c>
      <c r="J4" s="67">
        <f>C4/G4</f>
        <v>3.2121087966335269E-3</v>
      </c>
      <c r="K4" s="68">
        <f>(D4)/G4</f>
        <v>1.5282372687961457E-3</v>
      </c>
      <c r="L4" s="68">
        <f>(E4)/G4</f>
        <v>2.2849693943369326E-4</v>
      </c>
      <c r="M4" s="68">
        <f>(F4)/G4</f>
        <v>0</v>
      </c>
      <c r="N4" s="227">
        <f>SUM(J4:M4)-H4</f>
        <v>0</v>
      </c>
      <c r="P4" s="161">
        <f>ROUND(C4/G4,6)</f>
        <v>3.212E-3</v>
      </c>
      <c r="Q4" s="161">
        <f>ROUND(D4/G4,6)</f>
        <v>1.5280000000000001E-3</v>
      </c>
      <c r="R4" s="161">
        <f>+ROUND(E4/G4,6)</f>
        <v>2.2800000000000001E-4</v>
      </c>
      <c r="S4" s="161">
        <f>ROUND(F4/G4,6)</f>
        <v>0</v>
      </c>
      <c r="T4" s="161">
        <f>SUM(P4:S4)</f>
        <v>4.9680000000000002E-3</v>
      </c>
      <c r="W4" s="62"/>
      <c r="Y4" s="63"/>
    </row>
    <row r="5" spans="2:25" ht="15.75" thickBot="1" x14ac:dyDescent="0.3">
      <c r="B5" s="11" t="s">
        <v>16</v>
      </c>
      <c r="C5" s="275">
        <f t="shared" ref="C5:D9" si="0">C17+C27</f>
        <v>10190150.991355175</v>
      </c>
      <c r="D5" s="250">
        <f>D17+D27</f>
        <v>4254196.7615648713</v>
      </c>
      <c r="E5" s="250">
        <f t="shared" ref="E5:F8" si="1">E17+E27</f>
        <v>723095.3810576757</v>
      </c>
      <c r="F5" s="250">
        <f t="shared" si="1"/>
        <v>0</v>
      </c>
      <c r="G5" s="15">
        <f>PPC!B6</f>
        <v>2940523212.4376469</v>
      </c>
      <c r="H5" s="209">
        <f t="shared" ref="H5:H8" si="2">SUM(C5:F5)/G5</f>
        <v>5.1580763143862941E-3</v>
      </c>
      <c r="J5" s="67">
        <f t="shared" ref="J5:J8" si="3">C5/G5</f>
        <v>3.4654210340028919E-3</v>
      </c>
      <c r="K5" s="68">
        <f t="shared" ref="K5:K8" si="4">(D5)/G5</f>
        <v>1.4467482329575661E-3</v>
      </c>
      <c r="L5" s="68">
        <f t="shared" ref="L5:L8" si="5">(E5)/G5</f>
        <v>2.459070474258359E-4</v>
      </c>
      <c r="M5" s="68">
        <f t="shared" ref="M5:M8" si="6">(F5)/G5</f>
        <v>0</v>
      </c>
      <c r="N5" s="227">
        <f t="shared" ref="N5:N8" si="7">SUM(J5:M5)-H5</f>
        <v>0</v>
      </c>
      <c r="P5" s="161">
        <f>ROUND(C5/G5,6)</f>
        <v>3.4650000000000002E-3</v>
      </c>
      <c r="Q5" s="161">
        <f>ROUND(D5/G5,6)</f>
        <v>1.4469999999999999E-3</v>
      </c>
      <c r="R5" s="161">
        <f t="shared" ref="R5:R8" si="8">+ROUND(E5/G5,6)</f>
        <v>2.4600000000000002E-4</v>
      </c>
      <c r="S5" s="161">
        <f>ROUND(F5/G5,6)</f>
        <v>0</v>
      </c>
      <c r="T5" s="161">
        <f t="shared" ref="T5:T8" si="9">SUM(P5:S5)</f>
        <v>5.1579999999999994E-3</v>
      </c>
      <c r="W5" s="62"/>
    </row>
    <row r="6" spans="2:25" ht="15.75" thickBot="1" x14ac:dyDescent="0.3">
      <c r="B6" s="11" t="s">
        <v>17</v>
      </c>
      <c r="C6" s="275">
        <f t="shared" si="0"/>
        <v>23291376.34675042</v>
      </c>
      <c r="D6" s="250">
        <f t="shared" si="0"/>
        <v>7083175.2905119415</v>
      </c>
      <c r="E6" s="250">
        <f t="shared" si="1"/>
        <v>1640487.1570507197</v>
      </c>
      <c r="F6" s="250">
        <f t="shared" si="1"/>
        <v>0</v>
      </c>
      <c r="G6" s="15">
        <f>PPC!B7</f>
        <v>6730675980.4505386</v>
      </c>
      <c r="H6" s="209">
        <f t="shared" si="2"/>
        <v>4.7565859487667768E-3</v>
      </c>
      <c r="J6" s="67">
        <f t="shared" si="3"/>
        <v>3.4604809998878211E-3</v>
      </c>
      <c r="K6" s="68">
        <f t="shared" si="4"/>
        <v>1.0523720516461123E-3</v>
      </c>
      <c r="L6" s="68">
        <f t="shared" si="5"/>
        <v>2.4373289723284355E-4</v>
      </c>
      <c r="M6" s="68">
        <f t="shared" si="6"/>
        <v>0</v>
      </c>
      <c r="N6" s="227">
        <f t="shared" si="7"/>
        <v>0</v>
      </c>
      <c r="P6" s="161">
        <f>ROUND(C6/G6,6)</f>
        <v>3.46E-3</v>
      </c>
      <c r="Q6" s="161">
        <f>ROUND(D6/G6,6)</f>
        <v>1.052E-3</v>
      </c>
      <c r="R6" s="161">
        <f t="shared" si="8"/>
        <v>2.4399999999999999E-4</v>
      </c>
      <c r="S6" s="161">
        <f>ROUND(F6/G6,6)</f>
        <v>0</v>
      </c>
      <c r="T6" s="161">
        <f t="shared" si="9"/>
        <v>4.7560000000000007E-3</v>
      </c>
    </row>
    <row r="7" spans="2:25" ht="15.75" thickBot="1" x14ac:dyDescent="0.3">
      <c r="B7" s="11" t="s">
        <v>18</v>
      </c>
      <c r="C7" s="275">
        <f t="shared" si="0"/>
        <v>10151666.986837829</v>
      </c>
      <c r="D7" s="250">
        <f t="shared" si="0"/>
        <v>2586759.4630038338</v>
      </c>
      <c r="E7" s="250">
        <f t="shared" si="1"/>
        <v>684733.34986267576</v>
      </c>
      <c r="F7" s="250">
        <f t="shared" si="1"/>
        <v>0</v>
      </c>
      <c r="G7" s="15">
        <f>PPC!B8</f>
        <v>2945037998.1503868</v>
      </c>
      <c r="H7" s="209">
        <f t="shared" si="2"/>
        <v>4.5578901895780878E-3</v>
      </c>
      <c r="J7" s="67">
        <f t="shared" si="3"/>
        <v>3.4470410885066752E-3</v>
      </c>
      <c r="K7" s="68">
        <f t="shared" si="4"/>
        <v>8.7834502122839577E-4</v>
      </c>
      <c r="L7" s="68">
        <f t="shared" si="5"/>
        <v>2.3250407984301674E-4</v>
      </c>
      <c r="M7" s="68">
        <f t="shared" si="6"/>
        <v>0</v>
      </c>
      <c r="N7" s="227">
        <f t="shared" si="7"/>
        <v>0</v>
      </c>
      <c r="P7" s="161">
        <f>ROUND(C7/G7,6)</f>
        <v>3.447E-3</v>
      </c>
      <c r="Q7" s="161">
        <f>ROUND(D7/G7,6)</f>
        <v>8.7799999999999998E-4</v>
      </c>
      <c r="R7" s="161">
        <f>+ROUND(E7/G7,6)</f>
        <v>2.33E-4</v>
      </c>
      <c r="S7" s="161">
        <f>ROUND(F7/G7,6)</f>
        <v>0</v>
      </c>
      <c r="T7" s="161">
        <f t="shared" si="9"/>
        <v>4.5579999999999996E-3</v>
      </c>
    </row>
    <row r="8" spans="2:25" ht="15.75" thickBot="1" x14ac:dyDescent="0.3">
      <c r="B8" s="11" t="s">
        <v>19</v>
      </c>
      <c r="C8" s="275">
        <f t="shared" si="0"/>
        <v>4477581.3775539193</v>
      </c>
      <c r="D8" s="250">
        <f t="shared" si="0"/>
        <v>599388.34714385483</v>
      </c>
      <c r="E8" s="250">
        <f t="shared" si="1"/>
        <v>298875.4115969385</v>
      </c>
      <c r="F8" s="250">
        <f t="shared" si="1"/>
        <v>0</v>
      </c>
      <c r="G8" s="15">
        <f>PPC!B9</f>
        <v>1262009824.932905</v>
      </c>
      <c r="H8" s="209">
        <f t="shared" si="2"/>
        <v>4.259749036882911E-3</v>
      </c>
      <c r="J8" s="67">
        <f t="shared" si="3"/>
        <v>3.5479766393989613E-3</v>
      </c>
      <c r="K8" s="228">
        <f t="shared" si="4"/>
        <v>4.7494744914186501E-4</v>
      </c>
      <c r="L8" s="68">
        <f t="shared" si="5"/>
        <v>2.3682494834208464E-4</v>
      </c>
      <c r="M8" s="68">
        <f t="shared" si="6"/>
        <v>0</v>
      </c>
      <c r="N8" s="227">
        <f t="shared" si="7"/>
        <v>0</v>
      </c>
      <c r="P8" s="161">
        <f>ROUND(C8/G8,6)</f>
        <v>3.5479999999999999E-3</v>
      </c>
      <c r="Q8" s="161">
        <f>ROUND(D8/G8,6)</f>
        <v>4.75E-4</v>
      </c>
      <c r="R8" s="161">
        <f t="shared" si="8"/>
        <v>2.3699999999999999E-4</v>
      </c>
      <c r="S8" s="161">
        <f>ROUND(F8/G8,6)</f>
        <v>0</v>
      </c>
      <c r="T8" s="161">
        <f t="shared" si="9"/>
        <v>4.2599999999999999E-3</v>
      </c>
    </row>
    <row r="9" spans="2:25" ht="15.75" thickBot="1" x14ac:dyDescent="0.3">
      <c r="B9" s="11" t="s">
        <v>20</v>
      </c>
      <c r="C9" s="12">
        <f t="shared" si="0"/>
        <v>0</v>
      </c>
      <c r="D9" s="163">
        <f t="shared" si="0"/>
        <v>0</v>
      </c>
      <c r="E9" s="158">
        <v>0</v>
      </c>
      <c r="F9" s="251">
        <v>0</v>
      </c>
      <c r="G9" s="15">
        <v>0</v>
      </c>
      <c r="H9" s="71">
        <v>0</v>
      </c>
    </row>
    <row r="10" spans="2:25" x14ac:dyDescent="0.25">
      <c r="F10" s="47"/>
      <c r="K10" s="215"/>
      <c r="L10" s="215"/>
    </row>
    <row r="11" spans="2:25" x14ac:dyDescent="0.25">
      <c r="F11" s="47"/>
    </row>
    <row r="12" spans="2:25" x14ac:dyDescent="0.25">
      <c r="F12" s="47"/>
    </row>
    <row r="13" spans="2:25" x14ac:dyDescent="0.25">
      <c r="F13" s="47"/>
    </row>
    <row r="14" spans="2:25" ht="15.75" thickBot="1" x14ac:dyDescent="0.3">
      <c r="F14" s="47"/>
      <c r="I14" s="47"/>
      <c r="J14" s="47"/>
      <c r="K14" s="47"/>
      <c r="L14" s="47"/>
    </row>
    <row r="15" spans="2:25" ht="27.75" thickBot="1" x14ac:dyDescent="0.3">
      <c r="B15" s="8" t="s">
        <v>11</v>
      </c>
      <c r="C15" s="157" t="s">
        <v>21</v>
      </c>
      <c r="D15" s="157" t="s">
        <v>22</v>
      </c>
      <c r="E15" s="157" t="s">
        <v>42</v>
      </c>
      <c r="F15" s="252" t="s">
        <v>132</v>
      </c>
      <c r="G15" s="157" t="s">
        <v>12</v>
      </c>
      <c r="I15" s="47"/>
      <c r="J15" s="160" t="s">
        <v>101</v>
      </c>
      <c r="K15" s="47"/>
      <c r="L15" s="47"/>
    </row>
    <row r="16" spans="2:25" ht="15.75" thickBot="1" x14ac:dyDescent="0.3">
      <c r="B16" s="11" t="s">
        <v>15</v>
      </c>
      <c r="C16" s="251">
        <f>PPC!D5</f>
        <v>36899525.117034197</v>
      </c>
      <c r="D16" s="251">
        <f>PTD!C5</f>
        <v>16282546.653734548</v>
      </c>
      <c r="E16" s="251">
        <f>EO!C48</f>
        <v>2892189.3755692802</v>
      </c>
      <c r="F16" s="251">
        <v>0</v>
      </c>
      <c r="G16" s="12">
        <f>SUM(C16:F16)</f>
        <v>56074261.146338031</v>
      </c>
      <c r="I16" s="57" t="s">
        <v>15</v>
      </c>
      <c r="J16" s="284">
        <f>SUM(C4:F4)</f>
        <v>62892899.060942516</v>
      </c>
      <c r="K16" s="284"/>
      <c r="L16" s="47"/>
    </row>
    <row r="17" spans="2:16" ht="15.75" thickBot="1" x14ac:dyDescent="0.3">
      <c r="B17" s="11" t="s">
        <v>16</v>
      </c>
      <c r="C17" s="251">
        <f>PPC!D6</f>
        <v>9836779.4876453914</v>
      </c>
      <c r="D17" s="251">
        <f>PTD!C6</f>
        <v>3789701.5332512702</v>
      </c>
      <c r="E17" s="251">
        <f>EO!C49</f>
        <v>723095.3810576757</v>
      </c>
      <c r="F17" s="251">
        <v>0</v>
      </c>
      <c r="G17" s="12">
        <f t="shared" ref="G17:G21" si="10">SUM(C17:F17)</f>
        <v>14349576.401954338</v>
      </c>
      <c r="I17" s="57" t="s">
        <v>16</v>
      </c>
      <c r="J17" s="284">
        <f t="shared" ref="J17:J21" si="11">SUM(C5:F5)</f>
        <v>15167443.133977722</v>
      </c>
      <c r="K17" s="284"/>
      <c r="L17" s="47"/>
    </row>
    <row r="18" spans="2:16" ht="15.75" thickBot="1" x14ac:dyDescent="0.3">
      <c r="B18" s="11" t="s">
        <v>17</v>
      </c>
      <c r="C18" s="251">
        <f>PPC!D7</f>
        <v>22515780.573484361</v>
      </c>
      <c r="D18" s="251">
        <f>PTD!C7</f>
        <v>6503105.0890115267</v>
      </c>
      <c r="E18" s="251">
        <f>EO!C50</f>
        <v>1640487.1570507197</v>
      </c>
      <c r="F18" s="251">
        <v>0</v>
      </c>
      <c r="G18" s="12">
        <f t="shared" si="10"/>
        <v>30659372.81954661</v>
      </c>
      <c r="I18" s="57" t="s">
        <v>17</v>
      </c>
      <c r="J18" s="284">
        <f t="shared" si="11"/>
        <v>32015038.794313081</v>
      </c>
      <c r="K18" s="284"/>
      <c r="L18" s="47"/>
    </row>
    <row r="19" spans="2:16" ht="15.75" thickBot="1" x14ac:dyDescent="0.3">
      <c r="B19" s="11" t="s">
        <v>18</v>
      </c>
      <c r="C19" s="251">
        <f>PPC!D8</f>
        <v>9851882.5656630564</v>
      </c>
      <c r="D19" s="251">
        <f>PTD!C8</f>
        <v>2467177.910913982</v>
      </c>
      <c r="E19" s="251">
        <f>EO!C51</f>
        <v>684733.34986267576</v>
      </c>
      <c r="F19" s="251">
        <v>0</v>
      </c>
      <c r="G19" s="12">
        <f t="shared" si="10"/>
        <v>13003793.826439714</v>
      </c>
      <c r="I19" s="57" t="s">
        <v>18</v>
      </c>
      <c r="J19" s="284">
        <f t="shared" si="11"/>
        <v>13423159.799704339</v>
      </c>
      <c r="K19" s="284"/>
      <c r="L19" s="47"/>
      <c r="P19" s="47"/>
    </row>
    <row r="20" spans="2:16" ht="15.75" thickBot="1" x14ac:dyDescent="0.3">
      <c r="B20" s="11" t="s">
        <v>19</v>
      </c>
      <c r="C20" s="251">
        <f>PPC!D9</f>
        <v>4221735.882443808</v>
      </c>
      <c r="D20" s="251">
        <f>PTD!C9</f>
        <v>666278.79432071</v>
      </c>
      <c r="E20" s="251">
        <f>EO!C52</f>
        <v>298875.4115969385</v>
      </c>
      <c r="F20" s="251">
        <v>0</v>
      </c>
      <c r="G20" s="12">
        <f t="shared" si="10"/>
        <v>5186890.088361457</v>
      </c>
      <c r="I20" s="57" t="s">
        <v>19</v>
      </c>
      <c r="J20" s="284">
        <f t="shared" si="11"/>
        <v>5375845.1362947132</v>
      </c>
      <c r="K20" s="284"/>
      <c r="L20" s="47"/>
    </row>
    <row r="21" spans="2:16" ht="15.75" thickBot="1" x14ac:dyDescent="0.3">
      <c r="B21" s="11" t="s">
        <v>20</v>
      </c>
      <c r="C21" s="16">
        <v>0</v>
      </c>
      <c r="D21" s="251">
        <v>0</v>
      </c>
      <c r="E21" s="251">
        <v>0</v>
      </c>
      <c r="F21" s="251">
        <v>0</v>
      </c>
      <c r="G21" s="12">
        <f t="shared" si="10"/>
        <v>0</v>
      </c>
      <c r="I21" s="57" t="s">
        <v>20</v>
      </c>
      <c r="J21" s="284">
        <f t="shared" si="11"/>
        <v>0</v>
      </c>
      <c r="K21" s="284"/>
      <c r="L21" s="47"/>
    </row>
    <row r="22" spans="2:16" x14ac:dyDescent="0.25">
      <c r="F22" s="47"/>
      <c r="I22" s="57" t="s">
        <v>9</v>
      </c>
      <c r="J22" s="285">
        <f>SUM(J16:J21)</f>
        <v>128874385.92523237</v>
      </c>
      <c r="K22" s="284"/>
      <c r="L22" s="284"/>
    </row>
    <row r="23" spans="2:16" x14ac:dyDescent="0.25">
      <c r="F23" s="47"/>
      <c r="I23" s="47"/>
      <c r="J23" s="284"/>
      <c r="K23" s="47"/>
      <c r="L23" s="286"/>
    </row>
    <row r="24" spans="2:16" ht="15.75" thickBot="1" x14ac:dyDescent="0.3">
      <c r="F24" s="47"/>
      <c r="I24" s="47"/>
      <c r="J24" s="47"/>
      <c r="K24" s="47"/>
      <c r="L24" s="286"/>
    </row>
    <row r="25" spans="2:16" ht="27.75" thickBot="1" x14ac:dyDescent="0.3">
      <c r="B25" s="8" t="s">
        <v>11</v>
      </c>
      <c r="C25" s="157" t="s">
        <v>23</v>
      </c>
      <c r="D25" s="157" t="s">
        <v>24</v>
      </c>
      <c r="E25" s="157" t="s">
        <v>41</v>
      </c>
      <c r="F25" s="252" t="s">
        <v>133</v>
      </c>
      <c r="G25" s="157" t="s">
        <v>32</v>
      </c>
      <c r="I25" s="47"/>
      <c r="J25" s="355" t="s">
        <v>120</v>
      </c>
      <c r="K25" s="355" t="s">
        <v>121</v>
      </c>
      <c r="L25" s="355" t="s">
        <v>9</v>
      </c>
    </row>
    <row r="26" spans="2:16" ht="15.75" thickBot="1" x14ac:dyDescent="0.3">
      <c r="B26" s="11" t="s">
        <v>15</v>
      </c>
      <c r="C26" s="250">
        <f>'PCR (M3)'!G4</f>
        <v>3757592.4698381373</v>
      </c>
      <c r="D26" s="250">
        <f>'TDR (M3)'!F4</f>
        <v>3061045.4447663473</v>
      </c>
      <c r="E26" s="251">
        <v>0</v>
      </c>
      <c r="F26" s="251">
        <v>0</v>
      </c>
      <c r="G26" s="17">
        <f>SUM(C26:F26)</f>
        <v>6818637.914604485</v>
      </c>
      <c r="I26" s="57" t="s">
        <v>15</v>
      </c>
      <c r="J26" s="287">
        <f>+G26+'tariff tables (M2)'!G26</f>
        <v>4980209.1575036161</v>
      </c>
      <c r="K26" s="284">
        <f>+G16+'tariff tables (M2)'!G16</f>
        <v>65063736.099576831</v>
      </c>
      <c r="L26" s="287">
        <f>+K26+J26</f>
        <v>70043945.257080451</v>
      </c>
    </row>
    <row r="27" spans="2:16" ht="15.75" thickBot="1" x14ac:dyDescent="0.3">
      <c r="B27" s="11" t="s">
        <v>16</v>
      </c>
      <c r="C27" s="250">
        <f>'PCR (M3)'!G5</f>
        <v>353371.50370978448</v>
      </c>
      <c r="D27" s="250">
        <f>'TDR (M3)'!F5</f>
        <v>464495.22831360094</v>
      </c>
      <c r="E27" s="251">
        <v>0</v>
      </c>
      <c r="F27" s="251">
        <v>0</v>
      </c>
      <c r="G27" s="17">
        <f t="shared" ref="G27:G31" si="12">SUM(C27:F27)</f>
        <v>817866.73202338535</v>
      </c>
      <c r="I27" s="57" t="s">
        <v>16</v>
      </c>
      <c r="J27" s="287">
        <f>+G27+'tariff tables (M2)'!G27</f>
        <v>-127473.99816458975</v>
      </c>
      <c r="K27" s="284">
        <f>+G17+'tariff tables (M2)'!G17</f>
        <v>16645509.487830082</v>
      </c>
      <c r="L27" s="287">
        <f t="shared" ref="L27:L31" si="13">+K27+J27</f>
        <v>16518035.489665492</v>
      </c>
    </row>
    <row r="28" spans="2:16" ht="15.75" thickBot="1" x14ac:dyDescent="0.3">
      <c r="B28" s="11" t="s">
        <v>17</v>
      </c>
      <c r="C28" s="250">
        <f>'PCR (M3)'!G6</f>
        <v>775595.7732660597</v>
      </c>
      <c r="D28" s="250">
        <f>'TDR (M3)'!F6</f>
        <v>580070.20150041499</v>
      </c>
      <c r="E28" s="251">
        <v>0</v>
      </c>
      <c r="F28" s="251">
        <v>0</v>
      </c>
      <c r="G28" s="17">
        <f t="shared" si="12"/>
        <v>1355665.9747664747</v>
      </c>
      <c r="I28" s="57" t="s">
        <v>17</v>
      </c>
      <c r="J28" s="287">
        <f>+G28+'tariff tables (M2)'!G28</f>
        <v>46301.300576163689</v>
      </c>
      <c r="K28" s="284">
        <f>+G18+'tariff tables (M2)'!G18</f>
        <v>36308308.932420544</v>
      </c>
      <c r="L28" s="287">
        <f t="shared" si="13"/>
        <v>36354610.23299671</v>
      </c>
    </row>
    <row r="29" spans="2:16" ht="15.75" thickBot="1" x14ac:dyDescent="0.3">
      <c r="B29" s="11" t="s">
        <v>18</v>
      </c>
      <c r="C29" s="250">
        <f>'PCR (M3)'!G7</f>
        <v>299784.42117477243</v>
      </c>
      <c r="D29" s="250">
        <f>'TDR (M3)'!F7</f>
        <v>119581.55208985187</v>
      </c>
      <c r="E29" s="251">
        <v>0</v>
      </c>
      <c r="F29" s="251">
        <v>0</v>
      </c>
      <c r="G29" s="17">
        <f t="shared" si="12"/>
        <v>419365.97326462431</v>
      </c>
      <c r="I29" s="57" t="s">
        <v>18</v>
      </c>
      <c r="J29" s="287">
        <f>+G29+'tariff tables (M2)'!G29</f>
        <v>41992.30234409339</v>
      </c>
      <c r="K29" s="284">
        <f>+G19+'tariff tables (M2)'!G19</f>
        <v>15598095.432061898</v>
      </c>
      <c r="L29" s="287">
        <f t="shared" si="13"/>
        <v>15640087.734405991</v>
      </c>
    </row>
    <row r="30" spans="2:16" ht="15.75" thickBot="1" x14ac:dyDescent="0.3">
      <c r="B30" s="11" t="s">
        <v>19</v>
      </c>
      <c r="C30" s="250">
        <f>'PCR (M3)'!G8</f>
        <v>255845.4951101116</v>
      </c>
      <c r="D30" s="250">
        <f>'TDR (M3)'!F8</f>
        <v>-66890.447176855174</v>
      </c>
      <c r="E30" s="251">
        <v>0</v>
      </c>
      <c r="F30" s="251">
        <v>0</v>
      </c>
      <c r="G30" s="17">
        <f t="shared" si="12"/>
        <v>188955.04793325643</v>
      </c>
      <c r="I30" s="57" t="s">
        <v>19</v>
      </c>
      <c r="J30" s="287">
        <f>+G30+'tariff tables (M2)'!G30</f>
        <v>387501.15023426921</v>
      </c>
      <c r="K30" s="284">
        <f>+G20+'tariff tables (M2)'!G20</f>
        <v>6362920.5114285378</v>
      </c>
      <c r="L30" s="287">
        <f t="shared" si="13"/>
        <v>6750421.6616628068</v>
      </c>
    </row>
    <row r="31" spans="2:16" ht="15.75" thickBot="1" x14ac:dyDescent="0.3">
      <c r="B31" s="11" t="s">
        <v>20</v>
      </c>
      <c r="C31" s="163">
        <v>0</v>
      </c>
      <c r="D31" s="163">
        <v>0</v>
      </c>
      <c r="E31" s="251">
        <v>0</v>
      </c>
      <c r="F31" s="251">
        <v>0</v>
      </c>
      <c r="G31" s="17">
        <f t="shared" si="12"/>
        <v>0</v>
      </c>
      <c r="I31" s="57" t="s">
        <v>20</v>
      </c>
      <c r="J31" s="287">
        <f>+G31+'tariff tables (M2)'!G31</f>
        <v>0</v>
      </c>
      <c r="K31" s="284">
        <f>+G21+'tariff tables (M2)'!G21</f>
        <v>0</v>
      </c>
      <c r="L31" s="287">
        <f t="shared" si="13"/>
        <v>0</v>
      </c>
    </row>
    <row r="32" spans="2:16" x14ac:dyDescent="0.25">
      <c r="I32" s="57" t="s">
        <v>9</v>
      </c>
      <c r="J32" s="287">
        <f>SUM(J26:J31)</f>
        <v>5328529.9124935521</v>
      </c>
      <c r="K32" s="287">
        <f>SUM(K26:K31)</f>
        <v>139978570.4633179</v>
      </c>
      <c r="L32" s="287">
        <f>SUM(L26:L31)</f>
        <v>145307100.37581146</v>
      </c>
    </row>
    <row r="33" spans="5:12" x14ac:dyDescent="0.25">
      <c r="I33" s="47"/>
      <c r="J33" s="47"/>
      <c r="K33" s="287"/>
      <c r="L33" s="287"/>
    </row>
    <row r="34" spans="5:12" x14ac:dyDescent="0.25">
      <c r="E34" s="284"/>
      <c r="F34" s="47"/>
      <c r="G34" s="287"/>
      <c r="H34" s="284"/>
      <c r="I34" s="287"/>
      <c r="J34" s="287"/>
      <c r="K34" s="287"/>
      <c r="L34" s="287"/>
    </row>
    <row r="35" spans="5:12" x14ac:dyDescent="0.25">
      <c r="E35" s="284"/>
      <c r="F35" s="284"/>
      <c r="G35" s="284"/>
      <c r="H35" s="284"/>
      <c r="I35" s="47"/>
      <c r="J35" s="47"/>
      <c r="K35" s="287"/>
      <c r="L35" s="287"/>
    </row>
    <row r="36" spans="5:12" x14ac:dyDescent="0.25">
      <c r="E36" s="284"/>
      <c r="F36" s="47"/>
      <c r="G36" s="284"/>
      <c r="H36" s="284"/>
      <c r="I36" s="47"/>
      <c r="J36" s="47"/>
      <c r="K36" s="47"/>
      <c r="L36" s="47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B2:Y42"/>
  <sheetViews>
    <sheetView workbookViewId="0">
      <selection activeCell="R24" sqref="R24"/>
    </sheetView>
  </sheetViews>
  <sheetFormatPr defaultRowHeight="15" x14ac:dyDescent="0.25"/>
  <cols>
    <col min="3" max="3" width="16.5703125" customWidth="1"/>
    <col min="4" max="4" width="15.5703125" customWidth="1"/>
    <col min="5" max="5" width="16.140625" customWidth="1"/>
    <col min="6" max="6" width="17.28515625" bestFit="1" customWidth="1"/>
    <col min="7" max="7" width="17.140625" customWidth="1"/>
    <col min="8" max="8" width="13.7109375" bestFit="1" customWidth="1"/>
    <col min="9" max="9" width="5.7109375" customWidth="1"/>
    <col min="10" max="10" width="14.85546875" customWidth="1"/>
    <col min="11" max="11" width="17.5703125" customWidth="1"/>
    <col min="12" max="12" width="15.28515625" style="162" bestFit="1" customWidth="1"/>
    <col min="13" max="13" width="13.7109375" bestFit="1" customWidth="1"/>
    <col min="14" max="14" width="11" bestFit="1" customWidth="1"/>
    <col min="15" max="15" width="2.5703125" customWidth="1"/>
    <col min="16" max="17" width="11" bestFit="1" customWidth="1"/>
    <col min="18" max="18" width="10.28515625" style="162" customWidth="1"/>
    <col min="19" max="19" width="11" bestFit="1" customWidth="1"/>
    <col min="20" max="20" width="10.28515625" bestFit="1" customWidth="1"/>
  </cols>
  <sheetData>
    <row r="2" spans="2:25" ht="15.75" thickBot="1" x14ac:dyDescent="0.3">
      <c r="J2" s="377" t="s">
        <v>28</v>
      </c>
      <c r="K2" s="377"/>
      <c r="L2" s="377"/>
      <c r="M2" s="377"/>
      <c r="P2" s="377" t="s">
        <v>136</v>
      </c>
      <c r="Q2" s="377"/>
      <c r="R2" s="377"/>
      <c r="S2" s="377"/>
      <c r="T2" s="377"/>
    </row>
    <row r="3" spans="2:25" ht="27.75" thickBot="1" x14ac:dyDescent="0.3">
      <c r="B3" s="8" t="s">
        <v>11</v>
      </c>
      <c r="C3" s="9" t="s">
        <v>33</v>
      </c>
      <c r="D3" s="9" t="s">
        <v>34</v>
      </c>
      <c r="E3" s="9" t="s">
        <v>43</v>
      </c>
      <c r="F3" s="9" t="s">
        <v>35</v>
      </c>
      <c r="G3" s="9" t="s">
        <v>13</v>
      </c>
      <c r="H3" s="10" t="s">
        <v>14</v>
      </c>
      <c r="J3" s="45" t="s">
        <v>29</v>
      </c>
      <c r="K3" s="45" t="s">
        <v>44</v>
      </c>
      <c r="L3" s="160" t="s">
        <v>135</v>
      </c>
      <c r="M3" s="160" t="s">
        <v>134</v>
      </c>
      <c r="N3" s="160"/>
      <c r="P3" t="s">
        <v>33</v>
      </c>
      <c r="Q3" t="s">
        <v>34</v>
      </c>
      <c r="R3" s="162" t="s">
        <v>43</v>
      </c>
      <c r="S3" t="s">
        <v>35</v>
      </c>
      <c r="T3" t="s">
        <v>9</v>
      </c>
    </row>
    <row r="4" spans="2:25" ht="15.75" thickBot="1" x14ac:dyDescent="0.3">
      <c r="B4" s="11" t="s">
        <v>15</v>
      </c>
      <c r="C4" s="360">
        <f>C16+C26</f>
        <v>1850069.5111545799</v>
      </c>
      <c r="D4" s="13">
        <f>D16+D26</f>
        <v>-3587025.0160719706</v>
      </c>
      <c r="E4" s="163">
        <f>E16+E26</f>
        <v>8884339.1708525531</v>
      </c>
      <c r="F4" s="163">
        <f>F16+F26</f>
        <v>3662.5302027732159</v>
      </c>
      <c r="G4" s="60">
        <f>PPC!B15</f>
        <v>12657453455.338533</v>
      </c>
      <c r="H4" s="209">
        <f>SUM(C4:F4)/G4</f>
        <v>5.6496721251002031E-4</v>
      </c>
      <c r="J4" s="67">
        <f>C4/G4</f>
        <v>1.46164433286877E-4</v>
      </c>
      <c r="K4" s="68">
        <f>(D4)/G4</f>
        <v>-2.8339231336924818E-4</v>
      </c>
      <c r="L4" s="68">
        <f>(E4)/G4</f>
        <v>7.0190573500433502E-4</v>
      </c>
      <c r="M4" s="68">
        <f>(F4)/G4</f>
        <v>2.8935758805642465E-7</v>
      </c>
      <c r="N4" s="227">
        <f>SUM(J4:M4)-H4</f>
        <v>0</v>
      </c>
      <c r="P4" s="64">
        <f>ROUND(C4/G4,6)</f>
        <v>1.46E-4</v>
      </c>
      <c r="Q4" s="64">
        <f>ROUND(D4/G4,6)</f>
        <v>-2.8299999999999999E-4</v>
      </c>
      <c r="R4" s="161">
        <f>+ROUND(E4/G4,6)</f>
        <v>7.0200000000000004E-4</v>
      </c>
      <c r="S4" s="161">
        <f>ROUND(F4/G4,6)</f>
        <v>0</v>
      </c>
      <c r="T4" s="64">
        <f>SUM(P4:S4)</f>
        <v>5.6500000000000007E-4</v>
      </c>
      <c r="W4" s="62"/>
      <c r="Y4" s="63"/>
    </row>
    <row r="5" spans="2:25" ht="15.75" thickBot="1" x14ac:dyDescent="0.3">
      <c r="B5" s="11" t="s">
        <v>16</v>
      </c>
      <c r="C5" s="250">
        <f t="shared" ref="C5:D9" si="0">C17+C27</f>
        <v>-138968.99528255756</v>
      </c>
      <c r="D5" s="13">
        <f>D17+D27</f>
        <v>-1152150.4072133529</v>
      </c>
      <c r="E5" s="163">
        <f>E17+E27</f>
        <v>2643034.4590228903</v>
      </c>
      <c r="F5" s="163">
        <f t="shared" ref="F5:F8" si="1">F17+F27</f>
        <v>-1322.7008392117468</v>
      </c>
      <c r="G5" s="15">
        <f>PPC!B6</f>
        <v>2940523212.4376469</v>
      </c>
      <c r="H5" s="209">
        <f t="shared" ref="H5:H8" si="2">SUM(C5:F5)/G5</f>
        <v>4.5930341579182728E-4</v>
      </c>
      <c r="J5" s="67">
        <f t="shared" ref="J5:J8" si="3">C5/G5</f>
        <v>-4.725995519938592E-5</v>
      </c>
      <c r="K5" s="68">
        <f t="shared" ref="K5:K8" si="4">(D5)/G5</f>
        <v>-3.9181816431173094E-4</v>
      </c>
      <c r="L5" s="68">
        <f t="shared" ref="L5:L8" si="5">(E5)/G5</f>
        <v>8.9883135349639253E-4</v>
      </c>
      <c r="M5" s="68">
        <f t="shared" ref="M5:M8" si="6">(F5)/G5</f>
        <v>-4.4981819344838599E-7</v>
      </c>
      <c r="N5" s="227">
        <f t="shared" ref="N5:N8" si="7">SUM(J5:M5)-H5</f>
        <v>0</v>
      </c>
      <c r="P5" s="161">
        <f>ROUND(C5/G5,6)</f>
        <v>-4.6999999999999997E-5</v>
      </c>
      <c r="Q5" s="161">
        <f>ROUND(D5/G5,6)</f>
        <v>-3.9199999999999999E-4</v>
      </c>
      <c r="R5" s="161">
        <f t="shared" ref="R5:R8" si="8">+ROUND(E5/G5,6)</f>
        <v>8.9899999999999995E-4</v>
      </c>
      <c r="S5" s="161">
        <f>ROUND(F5/G5,6)</f>
        <v>0</v>
      </c>
      <c r="T5" s="161">
        <f t="shared" ref="T5:T8" si="9">SUM(P5:S5)</f>
        <v>4.5999999999999996E-4</v>
      </c>
      <c r="V5" s="52"/>
      <c r="W5" s="62"/>
    </row>
    <row r="6" spans="2:25" ht="15.75" thickBot="1" x14ac:dyDescent="0.3">
      <c r="B6" s="11" t="s">
        <v>17</v>
      </c>
      <c r="C6" s="250">
        <f t="shared" si="0"/>
        <v>-382110.27827944374</v>
      </c>
      <c r="D6" s="13">
        <f t="shared" si="0"/>
        <v>-1490092.5458567389</v>
      </c>
      <c r="E6" s="163">
        <f t="shared" ref="E6" si="10">E18+E28</f>
        <v>6211324.9431291912</v>
      </c>
      <c r="F6" s="163">
        <f t="shared" si="1"/>
        <v>449.31969061430766</v>
      </c>
      <c r="G6" s="15">
        <f>PPC!B7</f>
        <v>6730675980.4505386</v>
      </c>
      <c r="H6" s="209">
        <f t="shared" si="2"/>
        <v>6.4474526054857562E-4</v>
      </c>
      <c r="J6" s="67">
        <f t="shared" si="3"/>
        <v>-5.6771456446469138E-5</v>
      </c>
      <c r="K6" s="68">
        <f t="shared" si="4"/>
        <v>-2.21388245428061E-4</v>
      </c>
      <c r="L6" s="68">
        <f t="shared" si="5"/>
        <v>9.2283820542991238E-4</v>
      </c>
      <c r="M6" s="68">
        <f t="shared" si="6"/>
        <v>6.6756993193457965E-8</v>
      </c>
      <c r="N6" s="227">
        <f t="shared" si="7"/>
        <v>0</v>
      </c>
      <c r="P6" s="161">
        <f>ROUND(C6/G6,6)</f>
        <v>-5.7000000000000003E-5</v>
      </c>
      <c r="Q6" s="161">
        <f>ROUND(D6/G6,6)</f>
        <v>-2.2100000000000001E-4</v>
      </c>
      <c r="R6" s="161">
        <f t="shared" si="8"/>
        <v>9.2299999999999999E-4</v>
      </c>
      <c r="S6" s="161">
        <f>ROUND(F6/G6,6)</f>
        <v>0</v>
      </c>
      <c r="T6" s="161">
        <f t="shared" si="9"/>
        <v>6.4499999999999996E-4</v>
      </c>
    </row>
    <row r="7" spans="2:25" ht="15.75" thickBot="1" x14ac:dyDescent="0.3">
      <c r="B7" s="11" t="s">
        <v>18</v>
      </c>
      <c r="C7" s="250">
        <f t="shared" si="0"/>
        <v>-195205.5424255096</v>
      </c>
      <c r="D7" s="13">
        <f t="shared" si="0"/>
        <v>-347928.74706724315</v>
      </c>
      <c r="E7" s="163">
        <f t="shared" ref="E7" si="11">E19+E29</f>
        <v>2760214.3003789699</v>
      </c>
      <c r="F7" s="163">
        <f t="shared" si="1"/>
        <v>-152.07618456381493</v>
      </c>
      <c r="G7" s="15">
        <f>PPC!B8</f>
        <v>2945037998.1503868</v>
      </c>
      <c r="H7" s="209">
        <f t="shared" si="2"/>
        <v>7.5276717519230012E-4</v>
      </c>
      <c r="J7" s="67">
        <f t="shared" si="3"/>
        <v>-6.6282860373315127E-5</v>
      </c>
      <c r="K7" s="68">
        <f t="shared" si="4"/>
        <v>-1.1814066483548181E-4</v>
      </c>
      <c r="L7" s="68">
        <f t="shared" si="5"/>
        <v>9.3724233850717912E-4</v>
      </c>
      <c r="M7" s="68">
        <f t="shared" si="6"/>
        <v>-5.1638106081933566E-8</v>
      </c>
      <c r="N7" s="227">
        <f t="shared" si="7"/>
        <v>0</v>
      </c>
      <c r="P7" s="161">
        <f>ROUND(C7/G7,6)</f>
        <v>-6.6000000000000005E-5</v>
      </c>
      <c r="Q7" s="161">
        <f>ROUND(D7/G7,6)</f>
        <v>-1.18E-4</v>
      </c>
      <c r="R7" s="161">
        <f t="shared" si="8"/>
        <v>9.3700000000000001E-4</v>
      </c>
      <c r="S7" s="161">
        <f>ROUND(F7/G7,6)</f>
        <v>0</v>
      </c>
      <c r="T7" s="161">
        <f t="shared" si="9"/>
        <v>7.5299999999999998E-4</v>
      </c>
    </row>
    <row r="8" spans="2:25" ht="15.75" thickBot="1" x14ac:dyDescent="0.3">
      <c r="B8" s="11" t="s">
        <v>19</v>
      </c>
      <c r="C8" s="250">
        <f t="shared" si="0"/>
        <v>-147823.93232515821</v>
      </c>
      <c r="D8" s="13">
        <f t="shared" si="0"/>
        <v>15743.156771450411</v>
      </c>
      <c r="E8" s="163">
        <f t="shared" ref="E8" si="12">E20+E30</f>
        <v>1507238.804773492</v>
      </c>
      <c r="F8" s="163">
        <f t="shared" si="1"/>
        <v>-581.50385169071103</v>
      </c>
      <c r="G8" s="15">
        <f>PPC!B9</f>
        <v>1262009824.932905</v>
      </c>
      <c r="H8" s="209">
        <f t="shared" si="2"/>
        <v>1.0891963740782868E-3</v>
      </c>
      <c r="J8" s="67">
        <f t="shared" si="3"/>
        <v>-1.1713374127892967E-4</v>
      </c>
      <c r="K8" s="228">
        <f t="shared" si="4"/>
        <v>1.2474670529833156E-5</v>
      </c>
      <c r="L8" s="68">
        <f t="shared" si="5"/>
        <v>1.1943162208373653E-3</v>
      </c>
      <c r="M8" s="68">
        <f t="shared" si="6"/>
        <v>-4.6077600998203544E-7</v>
      </c>
      <c r="N8" s="227">
        <f t="shared" si="7"/>
        <v>0</v>
      </c>
      <c r="P8" s="161">
        <f>ROUND(C8/G8,6)</f>
        <v>-1.17E-4</v>
      </c>
      <c r="Q8" s="282">
        <f>ROUND(D8/G8,6)</f>
        <v>1.2E-5</v>
      </c>
      <c r="R8" s="161">
        <f t="shared" si="8"/>
        <v>1.194E-3</v>
      </c>
      <c r="S8" s="161">
        <f>ROUND(F8/G8,6)</f>
        <v>0</v>
      </c>
      <c r="T8" s="282">
        <f t="shared" si="9"/>
        <v>1.0889999999999999E-3</v>
      </c>
    </row>
    <row r="9" spans="2:25" ht="15.75" thickBot="1" x14ac:dyDescent="0.3">
      <c r="B9" s="11" t="s">
        <v>20</v>
      </c>
      <c r="C9" s="360">
        <f t="shared" si="0"/>
        <v>0</v>
      </c>
      <c r="D9" s="13">
        <f t="shared" si="0"/>
        <v>0</v>
      </c>
      <c r="E9" s="14">
        <v>0</v>
      </c>
      <c r="F9" s="14">
        <v>0</v>
      </c>
      <c r="G9" s="15">
        <v>0</v>
      </c>
      <c r="H9" s="51">
        <v>0</v>
      </c>
      <c r="M9" s="162"/>
    </row>
    <row r="10" spans="2:25" x14ac:dyDescent="0.25">
      <c r="K10" s="215"/>
      <c r="L10" s="215"/>
    </row>
    <row r="14" spans="2:25" ht="15.75" thickBot="1" x14ac:dyDescent="0.3">
      <c r="I14" s="47"/>
      <c r="J14" s="55"/>
      <c r="K14" s="47"/>
      <c r="L14" s="47"/>
      <c r="M14" s="47"/>
    </row>
    <row r="15" spans="2:25" ht="27.75" thickBot="1" x14ac:dyDescent="0.3">
      <c r="B15" s="8" t="s">
        <v>11</v>
      </c>
      <c r="C15" s="9" t="s">
        <v>21</v>
      </c>
      <c r="D15" s="9" t="s">
        <v>22</v>
      </c>
      <c r="E15" s="9" t="s">
        <v>42</v>
      </c>
      <c r="F15" s="157" t="s">
        <v>132</v>
      </c>
      <c r="G15" s="9" t="s">
        <v>12</v>
      </c>
      <c r="I15" s="47"/>
      <c r="J15" s="283"/>
      <c r="K15" s="283"/>
      <c r="L15" s="353"/>
      <c r="M15" s="47"/>
    </row>
    <row r="16" spans="2:25" ht="15.75" thickBot="1" x14ac:dyDescent="0.3">
      <c r="B16" s="11" t="s">
        <v>15</v>
      </c>
      <c r="C16" s="251">
        <f>PPC!C5</f>
        <v>0</v>
      </c>
      <c r="D16" s="251">
        <f>PTD!B5</f>
        <v>0</v>
      </c>
      <c r="E16" s="251">
        <f>EO!C11+EO!C30</f>
        <v>8989474.9532388039</v>
      </c>
      <c r="F16" s="251">
        <v>0</v>
      </c>
      <c r="G16" s="12">
        <f>SUM(C16:F16)</f>
        <v>8989474.9532388039</v>
      </c>
      <c r="I16" s="165" t="s">
        <v>15</v>
      </c>
      <c r="J16" s="284">
        <f>SUM(C4:F4)</f>
        <v>7151046.1961379359</v>
      </c>
      <c r="K16" s="284"/>
      <c r="L16" s="284"/>
      <c r="M16" s="47"/>
    </row>
    <row r="17" spans="2:13" ht="15.75" thickBot="1" x14ac:dyDescent="0.3">
      <c r="B17" s="11" t="s">
        <v>16</v>
      </c>
      <c r="C17" s="251">
        <f>PPC!C6</f>
        <v>0</v>
      </c>
      <c r="D17" s="251">
        <f>PTD!B6</f>
        <v>3588.3899999999921</v>
      </c>
      <c r="E17" s="251">
        <f>EO!C12+EO!C31</f>
        <v>2292344.6958757434</v>
      </c>
      <c r="F17" s="251">
        <v>0</v>
      </c>
      <c r="G17" s="12">
        <f t="shared" ref="G17:G21" si="13">SUM(C17:F17)</f>
        <v>2295933.0858757435</v>
      </c>
      <c r="I17" s="165" t="s">
        <v>16</v>
      </c>
      <c r="J17" s="284">
        <f t="shared" ref="J17:J21" si="14">SUM(C5:F5)</f>
        <v>1350592.3556877682</v>
      </c>
      <c r="K17" s="284"/>
      <c r="L17" s="284"/>
      <c r="M17" s="47"/>
    </row>
    <row r="18" spans="2:13" ht="15.75" thickBot="1" x14ac:dyDescent="0.3">
      <c r="B18" s="11" t="s">
        <v>17</v>
      </c>
      <c r="C18" s="251">
        <f>PPC!C7</f>
        <v>0</v>
      </c>
      <c r="D18" s="251">
        <f>PTD!B7</f>
        <v>313220.07999999996</v>
      </c>
      <c r="E18" s="251">
        <f>EO!C13+EO!C32</f>
        <v>5335716.0328739341</v>
      </c>
      <c r="F18" s="251">
        <v>0</v>
      </c>
      <c r="G18" s="12">
        <f t="shared" si="13"/>
        <v>5648936.1128739342</v>
      </c>
      <c r="I18" s="165" t="s">
        <v>17</v>
      </c>
      <c r="J18" s="284">
        <f t="shared" si="14"/>
        <v>4339571.4386836225</v>
      </c>
      <c r="K18" s="284"/>
      <c r="L18" s="284"/>
      <c r="M18" s="47"/>
    </row>
    <row r="19" spans="2:13" ht="15.75" thickBot="1" x14ac:dyDescent="0.3">
      <c r="B19" s="11" t="s">
        <v>18</v>
      </c>
      <c r="C19" s="251">
        <f>PPC!C8</f>
        <v>0</v>
      </c>
      <c r="D19" s="251">
        <f>PTD!B8</f>
        <v>238115.91999999998</v>
      </c>
      <c r="E19" s="251">
        <f>EO!C14+EO!C33</f>
        <v>2356185.6856221841</v>
      </c>
      <c r="F19" s="251">
        <v>0</v>
      </c>
      <c r="G19" s="12">
        <f t="shared" si="13"/>
        <v>2594301.605622184</v>
      </c>
      <c r="I19" s="165" t="s">
        <v>18</v>
      </c>
      <c r="J19" s="284">
        <f t="shared" si="14"/>
        <v>2216927.9347016532</v>
      </c>
      <c r="K19" s="284"/>
      <c r="L19" s="284"/>
      <c r="M19" s="47"/>
    </row>
    <row r="20" spans="2:13" ht="15.75" thickBot="1" x14ac:dyDescent="0.3">
      <c r="B20" s="11" t="s">
        <v>19</v>
      </c>
      <c r="C20" s="251">
        <f>PPC!C9</f>
        <v>0</v>
      </c>
      <c r="D20" s="251">
        <f>PTD!B9</f>
        <v>0</v>
      </c>
      <c r="E20" s="251">
        <f>EO!C15+EO!C34</f>
        <v>1176030.4230670808</v>
      </c>
      <c r="F20" s="251">
        <v>0</v>
      </c>
      <c r="G20" s="12">
        <f t="shared" si="13"/>
        <v>1176030.4230670808</v>
      </c>
      <c r="I20" s="165" t="s">
        <v>19</v>
      </c>
      <c r="J20" s="284">
        <f t="shared" si="14"/>
        <v>1374576.5253680935</v>
      </c>
      <c r="K20" s="284"/>
      <c r="L20" s="284"/>
      <c r="M20" s="47"/>
    </row>
    <row r="21" spans="2:13" ht="15.75" thickBot="1" x14ac:dyDescent="0.3">
      <c r="B21" s="11" t="s">
        <v>20</v>
      </c>
      <c r="C21" s="276">
        <v>0</v>
      </c>
      <c r="D21" s="251">
        <v>0</v>
      </c>
      <c r="E21" s="251">
        <v>0</v>
      </c>
      <c r="F21" s="251">
        <v>0</v>
      </c>
      <c r="G21" s="12">
        <f t="shared" si="13"/>
        <v>0</v>
      </c>
      <c r="I21" s="165" t="s">
        <v>20</v>
      </c>
      <c r="J21" s="284">
        <f t="shared" si="14"/>
        <v>0</v>
      </c>
      <c r="K21" s="284"/>
      <c r="L21" s="284"/>
      <c r="M21" s="47"/>
    </row>
    <row r="22" spans="2:13" x14ac:dyDescent="0.25">
      <c r="C22" s="47"/>
      <c r="D22" s="47"/>
      <c r="E22" s="47"/>
      <c r="F22" s="47"/>
      <c r="I22" s="165" t="s">
        <v>9</v>
      </c>
      <c r="J22" s="285">
        <f>SUM(J16:J21)</f>
        <v>16432714.450579073</v>
      </c>
      <c r="K22" s="285"/>
      <c r="L22" s="284"/>
      <c r="M22" s="47"/>
    </row>
    <row r="23" spans="2:13" x14ac:dyDescent="0.25">
      <c r="C23" s="47"/>
      <c r="D23" s="47"/>
      <c r="E23" s="47"/>
      <c r="F23" s="47"/>
      <c r="J23" s="47"/>
      <c r="K23" s="47"/>
      <c r="L23" s="286"/>
      <c r="M23" s="47"/>
    </row>
    <row r="24" spans="2:13" ht="15.75" thickBot="1" x14ac:dyDescent="0.3">
      <c r="C24" s="47"/>
      <c r="D24" s="47"/>
      <c r="E24" s="47"/>
      <c r="F24" s="47"/>
      <c r="I24" s="47"/>
      <c r="J24" s="285"/>
      <c r="K24" s="47"/>
      <c r="L24" s="286"/>
      <c r="M24" s="47"/>
    </row>
    <row r="25" spans="2:13" ht="27.75" thickBot="1" x14ac:dyDescent="0.3">
      <c r="B25" s="8" t="s">
        <v>11</v>
      </c>
      <c r="C25" s="252" t="s">
        <v>23</v>
      </c>
      <c r="D25" s="252" t="s">
        <v>24</v>
      </c>
      <c r="E25" s="252" t="s">
        <v>41</v>
      </c>
      <c r="F25" s="252" t="s">
        <v>133</v>
      </c>
      <c r="G25" s="9" t="s">
        <v>32</v>
      </c>
      <c r="I25" s="47"/>
      <c r="J25" s="354"/>
      <c r="K25" s="283"/>
      <c r="L25" s="353"/>
      <c r="M25" s="47"/>
    </row>
    <row r="26" spans="2:13" ht="15.75" thickBot="1" x14ac:dyDescent="0.3">
      <c r="B26" s="11" t="s">
        <v>15</v>
      </c>
      <c r="C26" s="250">
        <f>'PCR (M2)'!H4</f>
        <v>1850069.5111545799</v>
      </c>
      <c r="D26" s="250">
        <f>'TDR (M2)'!G4</f>
        <v>-3587025.0160719706</v>
      </c>
      <c r="E26" s="250">
        <f>+'EOR (M2)'!G4</f>
        <v>-105135.78238625151</v>
      </c>
      <c r="F26" s="250">
        <f>+OAR!F4</f>
        <v>3662.5302027732159</v>
      </c>
      <c r="G26" s="17">
        <f>SUM(C26:F26)</f>
        <v>-1838428.757100869</v>
      </c>
      <c r="I26" s="57"/>
      <c r="J26" s="284"/>
      <c r="K26" s="284"/>
      <c r="L26" s="284"/>
      <c r="M26" s="47"/>
    </row>
    <row r="27" spans="2:13" ht="15.75" thickBot="1" x14ac:dyDescent="0.3">
      <c r="B27" s="11" t="s">
        <v>16</v>
      </c>
      <c r="C27" s="250">
        <f>'PCR (M2)'!H5</f>
        <v>-138968.99528255756</v>
      </c>
      <c r="D27" s="250">
        <f>'TDR (M2)'!G5</f>
        <v>-1155738.7972133528</v>
      </c>
      <c r="E27" s="251">
        <f>+'EOR (M2)'!G5</f>
        <v>350689.76314714685</v>
      </c>
      <c r="F27" s="250">
        <f>+OAR!F5</f>
        <v>-1322.7008392117468</v>
      </c>
      <c r="G27" s="17">
        <f t="shared" ref="G27:G31" si="15">SUM(C27:F27)</f>
        <v>-945340.7301879751</v>
      </c>
      <c r="I27" s="57"/>
      <c r="J27" s="284"/>
      <c r="K27" s="284"/>
      <c r="L27" s="284"/>
      <c r="M27" s="47"/>
    </row>
    <row r="28" spans="2:13" ht="15.75" thickBot="1" x14ac:dyDescent="0.3">
      <c r="B28" s="11" t="s">
        <v>17</v>
      </c>
      <c r="C28" s="250">
        <f>'PCR (M2)'!H6</f>
        <v>-382110.27827944374</v>
      </c>
      <c r="D28" s="250">
        <f>'TDR (M2)'!G6</f>
        <v>-1803312.625856739</v>
      </c>
      <c r="E28" s="251">
        <f>+'EOR (M2)'!G6</f>
        <v>875608.91025525739</v>
      </c>
      <c r="F28" s="250">
        <f>+OAR!F6</f>
        <v>449.31969061430766</v>
      </c>
      <c r="G28" s="17">
        <f t="shared" si="15"/>
        <v>-1309364.674190311</v>
      </c>
      <c r="I28" s="57"/>
      <c r="J28" s="284"/>
      <c r="K28" s="284"/>
      <c r="L28" s="284"/>
      <c r="M28" s="47"/>
    </row>
    <row r="29" spans="2:13" ht="15.75" thickBot="1" x14ac:dyDescent="0.3">
      <c r="B29" s="11" t="s">
        <v>18</v>
      </c>
      <c r="C29" s="250">
        <f>'PCR (M2)'!H7</f>
        <v>-195205.5424255096</v>
      </c>
      <c r="D29" s="250">
        <f>'TDR (M2)'!G7</f>
        <v>-586044.66706724314</v>
      </c>
      <c r="E29" s="251">
        <f>+'EOR (M2)'!G7</f>
        <v>404028.61475678568</v>
      </c>
      <c r="F29" s="250">
        <f>+OAR!F7</f>
        <v>-152.07618456381493</v>
      </c>
      <c r="G29" s="17">
        <f t="shared" si="15"/>
        <v>-377373.67092053092</v>
      </c>
      <c r="I29" s="57"/>
      <c r="J29" s="284"/>
      <c r="K29" s="284"/>
      <c r="L29" s="284"/>
      <c r="M29" s="47"/>
    </row>
    <row r="30" spans="2:13" ht="15.75" thickBot="1" x14ac:dyDescent="0.3">
      <c r="B30" s="11" t="s">
        <v>19</v>
      </c>
      <c r="C30" s="250">
        <f>'PCR (M2)'!H8</f>
        <v>-147823.93232515821</v>
      </c>
      <c r="D30" s="250">
        <f>'TDR (M2)'!G8</f>
        <v>15743.156771450411</v>
      </c>
      <c r="E30" s="251">
        <f>+'EOR (M2)'!G8</f>
        <v>331208.38170641125</v>
      </c>
      <c r="F30" s="250">
        <f>+OAR!F8</f>
        <v>-581.50385169071103</v>
      </c>
      <c r="G30" s="17">
        <f t="shared" si="15"/>
        <v>198546.10230101275</v>
      </c>
      <c r="I30" s="57"/>
      <c r="J30" s="284"/>
      <c r="K30" s="284"/>
      <c r="L30" s="284"/>
      <c r="M30" s="47"/>
    </row>
    <row r="31" spans="2:13" ht="15.75" thickBot="1" x14ac:dyDescent="0.3">
      <c r="B31" s="11" t="s">
        <v>20</v>
      </c>
      <c r="C31" s="13">
        <v>0</v>
      </c>
      <c r="D31" s="13">
        <v>0</v>
      </c>
      <c r="E31" s="14">
        <v>0</v>
      </c>
      <c r="F31" s="250">
        <v>0</v>
      </c>
      <c r="G31" s="17">
        <f t="shared" si="15"/>
        <v>0</v>
      </c>
      <c r="I31" s="57"/>
      <c r="J31" s="284"/>
      <c r="K31" s="284"/>
      <c r="L31" s="284"/>
      <c r="M31" s="47"/>
    </row>
    <row r="32" spans="2:13" x14ac:dyDescent="0.25">
      <c r="I32" s="57"/>
      <c r="J32" s="285"/>
      <c r="K32" s="285"/>
      <c r="L32" s="284"/>
      <c r="M32" s="47"/>
    </row>
    <row r="33" spans="6:13" x14ac:dyDescent="0.25">
      <c r="F33" s="216"/>
      <c r="G33" s="22"/>
      <c r="H33" s="216"/>
      <c r="I33" s="47"/>
      <c r="J33" s="286"/>
      <c r="K33" s="287"/>
      <c r="L33" s="287"/>
      <c r="M33" s="47"/>
    </row>
    <row r="34" spans="6:13" x14ac:dyDescent="0.25">
      <c r="F34" s="216"/>
      <c r="G34" s="22"/>
      <c r="H34" s="216"/>
      <c r="I34" s="47"/>
      <c r="J34" s="288"/>
      <c r="K34" s="287"/>
      <c r="L34" s="287"/>
      <c r="M34" s="47"/>
    </row>
    <row r="35" spans="6:13" x14ac:dyDescent="0.25">
      <c r="F35" s="216"/>
      <c r="G35" s="22"/>
      <c r="H35" s="216"/>
      <c r="I35" s="47"/>
      <c r="J35" s="160"/>
      <c r="K35" s="283"/>
      <c r="L35" s="287"/>
      <c r="M35" s="47"/>
    </row>
    <row r="36" spans="6:13" x14ac:dyDescent="0.25">
      <c r="F36" s="216"/>
      <c r="G36" s="22"/>
      <c r="H36" s="216"/>
      <c r="I36" s="57"/>
      <c r="J36" s="284"/>
      <c r="K36" s="284"/>
      <c r="L36" s="284"/>
      <c r="M36" s="47"/>
    </row>
    <row r="37" spans="6:13" x14ac:dyDescent="0.25">
      <c r="F37" s="216"/>
      <c r="G37" s="22"/>
      <c r="H37" s="216"/>
      <c r="I37" s="57"/>
      <c r="J37" s="284"/>
      <c r="K37" s="284"/>
      <c r="L37" s="284"/>
      <c r="M37" s="47"/>
    </row>
    <row r="38" spans="6:13" x14ac:dyDescent="0.25">
      <c r="F38" s="216"/>
      <c r="G38" s="22"/>
      <c r="H38" s="216"/>
      <c r="I38" s="57"/>
      <c r="J38" s="284"/>
      <c r="K38" s="284"/>
      <c r="L38" s="284"/>
      <c r="M38" s="47"/>
    </row>
    <row r="39" spans="6:13" x14ac:dyDescent="0.25">
      <c r="I39" s="57"/>
      <c r="J39" s="284"/>
      <c r="K39" s="284"/>
      <c r="L39" s="284"/>
      <c r="M39" s="47"/>
    </row>
    <row r="40" spans="6:13" x14ac:dyDescent="0.25">
      <c r="I40" s="57"/>
      <c r="J40" s="284"/>
      <c r="K40" s="284"/>
      <c r="L40" s="284"/>
      <c r="M40" s="47"/>
    </row>
    <row r="41" spans="6:13" x14ac:dyDescent="0.25">
      <c r="I41" s="57"/>
      <c r="J41" s="284"/>
      <c r="K41" s="284"/>
      <c r="L41" s="284"/>
      <c r="M41" s="47"/>
    </row>
    <row r="42" spans="6:13" x14ac:dyDescent="0.25">
      <c r="I42" s="57"/>
      <c r="J42" s="285"/>
      <c r="K42" s="285"/>
      <c r="L42" s="284"/>
      <c r="M42" s="47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C2:I31"/>
  <sheetViews>
    <sheetView zoomScaleNormal="100" workbookViewId="0">
      <selection activeCell="P19" sqref="P19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9" max="9" width="10.28515625" bestFit="1" customWidth="1"/>
  </cols>
  <sheetData>
    <row r="2" spans="3:9" ht="15.75" thickBot="1" x14ac:dyDescent="0.3">
      <c r="C2" s="76" t="s">
        <v>56</v>
      </c>
    </row>
    <row r="3" spans="3:9" x14ac:dyDescent="0.25">
      <c r="C3" s="378" t="s">
        <v>11</v>
      </c>
      <c r="D3" s="73" t="s">
        <v>46</v>
      </c>
      <c r="E3" s="73" t="s">
        <v>48</v>
      </c>
      <c r="F3" s="73" t="s">
        <v>63</v>
      </c>
      <c r="G3" s="73" t="s">
        <v>49</v>
      </c>
    </row>
    <row r="4" spans="3:9" ht="15.75" thickBot="1" x14ac:dyDescent="0.3">
      <c r="C4" s="379"/>
      <c r="D4" s="74" t="s">
        <v>47</v>
      </c>
      <c r="E4" s="74" t="s">
        <v>47</v>
      </c>
      <c r="F4" s="74" t="s">
        <v>47</v>
      </c>
      <c r="G4" s="74" t="s">
        <v>47</v>
      </c>
    </row>
    <row r="5" spans="3:9" ht="15.75" thickBot="1" x14ac:dyDescent="0.3">
      <c r="C5" s="75" t="s">
        <v>50</v>
      </c>
      <c r="D5" s="153">
        <f>'tariff tables (M2)'!P4</f>
        <v>1.46E-4</v>
      </c>
      <c r="E5" s="153">
        <f>'tariff tables (M2)'!Q4</f>
        <v>-2.8299999999999999E-4</v>
      </c>
      <c r="F5" s="153">
        <f>'tariff tables (M2)'!R4</f>
        <v>7.0200000000000004E-4</v>
      </c>
      <c r="G5" s="77">
        <f>'tariff tables (M2)'!S4</f>
        <v>0</v>
      </c>
      <c r="H5" s="282">
        <f>SUM(D5:G5)</f>
        <v>5.6500000000000007E-4</v>
      </c>
      <c r="I5" s="161"/>
    </row>
    <row r="6" spans="3:9" ht="15.75" thickBot="1" x14ac:dyDescent="0.3">
      <c r="C6" s="75" t="s">
        <v>51</v>
      </c>
      <c r="D6" s="153">
        <f>'tariff tables (M2)'!P5</f>
        <v>-4.6999999999999997E-5</v>
      </c>
      <c r="E6" s="153">
        <f>'tariff tables (M2)'!Q5</f>
        <v>-3.9199999999999999E-4</v>
      </c>
      <c r="F6" s="153">
        <f>'tariff tables (M2)'!R5</f>
        <v>8.9899999999999995E-4</v>
      </c>
      <c r="G6" s="77">
        <f>'tariff tables (M2)'!S5</f>
        <v>0</v>
      </c>
      <c r="H6" s="282">
        <f t="shared" ref="H6:H10" si="0">SUM(D6:G6)</f>
        <v>4.5999999999999996E-4</v>
      </c>
      <c r="I6" s="161"/>
    </row>
    <row r="7" spans="3:9" ht="15.75" thickBot="1" x14ac:dyDescent="0.3">
      <c r="C7" s="75" t="s">
        <v>52</v>
      </c>
      <c r="D7" s="153">
        <f>'tariff tables (M2)'!P6</f>
        <v>-5.7000000000000003E-5</v>
      </c>
      <c r="E7" s="153">
        <f>'tariff tables (M2)'!Q6</f>
        <v>-2.2100000000000001E-4</v>
      </c>
      <c r="F7" s="153">
        <f>'tariff tables (M2)'!R6</f>
        <v>9.2299999999999999E-4</v>
      </c>
      <c r="G7" s="77">
        <f>'tariff tables (M2)'!S6</f>
        <v>0</v>
      </c>
      <c r="H7" s="282">
        <f t="shared" si="0"/>
        <v>6.4499999999999996E-4</v>
      </c>
      <c r="I7" s="161"/>
    </row>
    <row r="8" spans="3:9" ht="15.75" thickBot="1" x14ac:dyDescent="0.3">
      <c r="C8" s="75" t="s">
        <v>53</v>
      </c>
      <c r="D8" s="153">
        <f>'tariff tables (M2)'!P7</f>
        <v>-6.6000000000000005E-5</v>
      </c>
      <c r="E8" s="153">
        <f>'tariff tables (M2)'!Q7</f>
        <v>-1.18E-4</v>
      </c>
      <c r="F8" s="153">
        <f>'tariff tables (M2)'!R7</f>
        <v>9.3700000000000001E-4</v>
      </c>
      <c r="G8" s="77">
        <f>'tariff tables (M2)'!S7</f>
        <v>0</v>
      </c>
      <c r="H8" s="282">
        <f t="shared" si="0"/>
        <v>7.5299999999999998E-4</v>
      </c>
      <c r="I8" s="161"/>
    </row>
    <row r="9" spans="3:9" ht="15.75" thickBot="1" x14ac:dyDescent="0.3">
      <c r="C9" s="75" t="s">
        <v>54</v>
      </c>
      <c r="D9" s="153">
        <f>'tariff tables (M2)'!P8</f>
        <v>-1.17E-4</v>
      </c>
      <c r="E9" s="153">
        <f>'tariff tables (M2)'!Q8</f>
        <v>1.2E-5</v>
      </c>
      <c r="F9" s="153">
        <f>'tariff tables (M2)'!R8</f>
        <v>1.194E-3</v>
      </c>
      <c r="G9" s="77">
        <f>'tariff tables (M2)'!S8</f>
        <v>0</v>
      </c>
      <c r="H9" s="282">
        <f t="shared" si="0"/>
        <v>1.0889999999999999E-3</v>
      </c>
      <c r="I9" s="161"/>
    </row>
    <row r="10" spans="3:9" ht="15.75" thickBot="1" x14ac:dyDescent="0.3">
      <c r="C10" s="75" t="s">
        <v>55</v>
      </c>
      <c r="D10" s="77">
        <v>0</v>
      </c>
      <c r="E10" s="77">
        <v>0</v>
      </c>
      <c r="F10" s="77">
        <v>0</v>
      </c>
      <c r="G10" s="77">
        <f>'tariff tables (M2)'!Q9</f>
        <v>0</v>
      </c>
      <c r="H10" s="282">
        <f t="shared" si="0"/>
        <v>0</v>
      </c>
    </row>
    <row r="11" spans="3:9" x14ac:dyDescent="0.25">
      <c r="D11" s="64"/>
      <c r="E11" s="64"/>
      <c r="F11" s="64"/>
      <c r="G11" s="64"/>
      <c r="H11" s="282"/>
    </row>
    <row r="12" spans="3:9" s="162" customFormat="1" ht="15.75" thickBot="1" x14ac:dyDescent="0.3">
      <c r="C12" s="76" t="s">
        <v>138</v>
      </c>
      <c r="H12" s="282"/>
    </row>
    <row r="13" spans="3:9" s="162" customFormat="1" x14ac:dyDescent="0.25">
      <c r="C13" s="378" t="s">
        <v>11</v>
      </c>
      <c r="D13" s="73" t="s">
        <v>46</v>
      </c>
      <c r="E13" s="73" t="s">
        <v>48</v>
      </c>
      <c r="F13" s="73" t="s">
        <v>63</v>
      </c>
      <c r="G13" s="73" t="s">
        <v>49</v>
      </c>
      <c r="H13" s="282"/>
    </row>
    <row r="14" spans="3:9" s="162" customFormat="1" ht="15.75" thickBot="1" x14ac:dyDescent="0.3">
      <c r="C14" s="379"/>
      <c r="D14" s="74" t="s">
        <v>47</v>
      </c>
      <c r="E14" s="74" t="s">
        <v>47</v>
      </c>
      <c r="F14" s="74" t="s">
        <v>47</v>
      </c>
      <c r="G14" s="74" t="s">
        <v>47</v>
      </c>
      <c r="H14" s="282"/>
    </row>
    <row r="15" spans="3:9" s="162" customFormat="1" ht="15.75" thickBot="1" x14ac:dyDescent="0.3">
      <c r="C15" s="75" t="s">
        <v>50</v>
      </c>
      <c r="D15" s="77">
        <f>+'tariff tables (M3)'!P4</f>
        <v>3.212E-3</v>
      </c>
      <c r="E15" s="77">
        <f>+'tariff tables (M3)'!Q4</f>
        <v>1.5280000000000001E-3</v>
      </c>
      <c r="F15" s="77">
        <f>+'tariff tables (M3)'!R4</f>
        <v>2.2800000000000001E-4</v>
      </c>
      <c r="G15" s="77">
        <f>+'tariff tables (M3)'!S4</f>
        <v>0</v>
      </c>
      <c r="H15" s="282">
        <f>SUM(D15:G15)</f>
        <v>4.9680000000000002E-3</v>
      </c>
    </row>
    <row r="16" spans="3:9" s="162" customFormat="1" ht="15.75" thickBot="1" x14ac:dyDescent="0.3">
      <c r="C16" s="75" t="s">
        <v>51</v>
      </c>
      <c r="D16" s="77">
        <f>+'tariff tables (M3)'!P5</f>
        <v>3.4650000000000002E-3</v>
      </c>
      <c r="E16" s="77">
        <f>+'tariff tables (M3)'!Q5</f>
        <v>1.4469999999999999E-3</v>
      </c>
      <c r="F16" s="77">
        <f>+'tariff tables (M3)'!R5</f>
        <v>2.4600000000000002E-4</v>
      </c>
      <c r="G16" s="77">
        <f>+'tariff tables (M3)'!S5</f>
        <v>0</v>
      </c>
      <c r="H16" s="282">
        <f t="shared" ref="H16:H20" si="1">SUM(D16:G16)</f>
        <v>5.1579999999999994E-3</v>
      </c>
    </row>
    <row r="17" spans="3:9" s="162" customFormat="1" ht="15.75" thickBot="1" x14ac:dyDescent="0.3">
      <c r="C17" s="75" t="s">
        <v>52</v>
      </c>
      <c r="D17" s="77">
        <f>+'tariff tables (M3)'!P6</f>
        <v>3.46E-3</v>
      </c>
      <c r="E17" s="77">
        <f>+'tariff tables (M3)'!Q6</f>
        <v>1.052E-3</v>
      </c>
      <c r="F17" s="77">
        <f>+'tariff tables (M3)'!R6</f>
        <v>2.4399999999999999E-4</v>
      </c>
      <c r="G17" s="77">
        <f>+'tariff tables (M3)'!S6</f>
        <v>0</v>
      </c>
      <c r="H17" s="282">
        <f t="shared" si="1"/>
        <v>4.7560000000000007E-3</v>
      </c>
    </row>
    <row r="18" spans="3:9" s="162" customFormat="1" ht="15.75" thickBot="1" x14ac:dyDescent="0.3">
      <c r="C18" s="75" t="s">
        <v>53</v>
      </c>
      <c r="D18" s="77">
        <f>+'tariff tables (M3)'!P7</f>
        <v>3.447E-3</v>
      </c>
      <c r="E18" s="77">
        <f>+'tariff tables (M3)'!Q7</f>
        <v>8.7799999999999998E-4</v>
      </c>
      <c r="F18" s="77">
        <f>+'tariff tables (M3)'!R7</f>
        <v>2.33E-4</v>
      </c>
      <c r="G18" s="77">
        <f>+'tariff tables (M3)'!S7</f>
        <v>0</v>
      </c>
      <c r="H18" s="282">
        <f t="shared" si="1"/>
        <v>4.5579999999999996E-3</v>
      </c>
    </row>
    <row r="19" spans="3:9" s="162" customFormat="1" ht="15.75" thickBot="1" x14ac:dyDescent="0.3">
      <c r="C19" s="75" t="s">
        <v>54</v>
      </c>
      <c r="D19" s="77">
        <f>+'tariff tables (M3)'!P8</f>
        <v>3.5479999999999999E-3</v>
      </c>
      <c r="E19" s="77">
        <f>+'tariff tables (M3)'!Q8</f>
        <v>4.75E-4</v>
      </c>
      <c r="F19" s="77">
        <f>+'tariff tables (M3)'!R8</f>
        <v>2.3699999999999999E-4</v>
      </c>
      <c r="G19" s="77">
        <f>+'tariff tables (M3)'!S8</f>
        <v>0</v>
      </c>
      <c r="H19" s="282">
        <f t="shared" si="1"/>
        <v>4.2599999999999999E-3</v>
      </c>
    </row>
    <row r="20" spans="3:9" s="162" customFormat="1" ht="15.75" thickBot="1" x14ac:dyDescent="0.3">
      <c r="C20" s="75" t="s">
        <v>55</v>
      </c>
      <c r="D20" s="77">
        <v>0</v>
      </c>
      <c r="E20" s="77">
        <v>0</v>
      </c>
      <c r="F20" s="77">
        <v>0</v>
      </c>
      <c r="G20" s="77">
        <f>'tariff tables (M2)'!Q19</f>
        <v>0</v>
      </c>
      <c r="H20" s="282">
        <f t="shared" si="1"/>
        <v>0</v>
      </c>
    </row>
    <row r="21" spans="3:9" s="162" customFormat="1" x14ac:dyDescent="0.25">
      <c r="D21" s="161"/>
      <c r="E21" s="161"/>
      <c r="F21" s="161"/>
      <c r="G21" s="161"/>
      <c r="H21" s="161"/>
    </row>
    <row r="22" spans="3:9" ht="15.75" thickBot="1" x14ac:dyDescent="0.3">
      <c r="C22" s="76" t="s">
        <v>59</v>
      </c>
      <c r="D22" s="64"/>
      <c r="E22" s="64"/>
      <c r="F22" s="64"/>
      <c r="G22" s="64"/>
      <c r="H22" s="64"/>
    </row>
    <row r="23" spans="3:9" x14ac:dyDescent="0.25">
      <c r="C23" s="378" t="s">
        <v>11</v>
      </c>
      <c r="D23" s="78" t="s">
        <v>33</v>
      </c>
      <c r="E23" s="78" t="s">
        <v>34</v>
      </c>
      <c r="F23" s="78" t="s">
        <v>57</v>
      </c>
      <c r="G23" s="78" t="s">
        <v>35</v>
      </c>
      <c r="H23" s="78" t="s">
        <v>9</v>
      </c>
    </row>
    <row r="24" spans="3:9" x14ac:dyDescent="0.25">
      <c r="C24" s="380"/>
      <c r="D24" s="79" t="s">
        <v>47</v>
      </c>
      <c r="E24" s="79" t="s">
        <v>47</v>
      </c>
      <c r="F24" s="79" t="s">
        <v>47</v>
      </c>
      <c r="G24" s="79" t="s">
        <v>47</v>
      </c>
      <c r="H24" s="79" t="s">
        <v>58</v>
      </c>
    </row>
    <row r="25" spans="3:9" ht="15.75" thickBot="1" x14ac:dyDescent="0.3">
      <c r="C25" s="379"/>
      <c r="D25" s="80"/>
      <c r="E25" s="80"/>
      <c r="F25" s="80"/>
      <c r="G25" s="80"/>
      <c r="H25" s="81" t="s">
        <v>47</v>
      </c>
      <c r="I25" s="47"/>
    </row>
    <row r="26" spans="3:9" ht="15.75" thickBot="1" x14ac:dyDescent="0.3">
      <c r="C26" s="75" t="s">
        <v>50</v>
      </c>
      <c r="D26" s="153">
        <f>D5+D15</f>
        <v>3.3579999999999999E-3</v>
      </c>
      <c r="E26" s="153">
        <f t="shared" ref="E26:G26" si="2">E5+E15</f>
        <v>1.245E-3</v>
      </c>
      <c r="F26" s="153">
        <f t="shared" si="2"/>
        <v>9.3000000000000005E-4</v>
      </c>
      <c r="G26" s="153">
        <f t="shared" si="2"/>
        <v>0</v>
      </c>
      <c r="H26" s="81">
        <f>SUM(D26:G26)</f>
        <v>5.5329999999999997E-3</v>
      </c>
      <c r="I26" s="47"/>
    </row>
    <row r="27" spans="3:9" ht="15.75" thickBot="1" x14ac:dyDescent="0.3">
      <c r="C27" s="75" t="s">
        <v>51</v>
      </c>
      <c r="D27" s="153">
        <f t="shared" ref="D27:G31" si="3">D6+D16</f>
        <v>3.418E-3</v>
      </c>
      <c r="E27" s="153">
        <f t="shared" si="3"/>
        <v>1.0549999999999999E-3</v>
      </c>
      <c r="F27" s="153">
        <f t="shared" si="3"/>
        <v>1.145E-3</v>
      </c>
      <c r="G27" s="153">
        <f t="shared" si="3"/>
        <v>0</v>
      </c>
      <c r="H27" s="81">
        <f t="shared" ref="H27:H31" si="4">SUM(D27:G27)</f>
        <v>5.6179999999999997E-3</v>
      </c>
      <c r="I27" s="47"/>
    </row>
    <row r="28" spans="3:9" ht="15.75" thickBot="1" x14ac:dyDescent="0.3">
      <c r="C28" s="75" t="s">
        <v>52</v>
      </c>
      <c r="D28" s="153">
        <f t="shared" si="3"/>
        <v>3.4029999999999998E-3</v>
      </c>
      <c r="E28" s="153">
        <f t="shared" si="3"/>
        <v>8.3099999999999992E-4</v>
      </c>
      <c r="F28" s="153">
        <f t="shared" si="3"/>
        <v>1.1670000000000001E-3</v>
      </c>
      <c r="G28" s="153">
        <f t="shared" si="3"/>
        <v>0</v>
      </c>
      <c r="H28" s="81">
        <f t="shared" si="4"/>
        <v>5.4009999999999996E-3</v>
      </c>
      <c r="I28" s="47"/>
    </row>
    <row r="29" spans="3:9" ht="15.75" thickBot="1" x14ac:dyDescent="0.3">
      <c r="C29" s="75" t="s">
        <v>53</v>
      </c>
      <c r="D29" s="153">
        <f t="shared" si="3"/>
        <v>3.3809999999999999E-3</v>
      </c>
      <c r="E29" s="153">
        <f t="shared" si="3"/>
        <v>7.6000000000000004E-4</v>
      </c>
      <c r="F29" s="153">
        <f t="shared" si="3"/>
        <v>1.17E-3</v>
      </c>
      <c r="G29" s="153">
        <f t="shared" si="3"/>
        <v>0</v>
      </c>
      <c r="H29" s="81">
        <f t="shared" si="4"/>
        <v>5.3109999999999997E-3</v>
      </c>
      <c r="I29" s="47"/>
    </row>
    <row r="30" spans="3:9" ht="15.75" thickBot="1" x14ac:dyDescent="0.3">
      <c r="C30" s="75" t="s">
        <v>54</v>
      </c>
      <c r="D30" s="153">
        <f t="shared" si="3"/>
        <v>3.431E-3</v>
      </c>
      <c r="E30" s="153">
        <f t="shared" si="3"/>
        <v>4.8700000000000002E-4</v>
      </c>
      <c r="F30" s="153">
        <f t="shared" si="3"/>
        <v>1.431E-3</v>
      </c>
      <c r="G30" s="153">
        <f t="shared" si="3"/>
        <v>0</v>
      </c>
      <c r="H30" s="361">
        <f t="shared" si="4"/>
        <v>5.3489999999999996E-3</v>
      </c>
      <c r="I30" s="47"/>
    </row>
    <row r="31" spans="3:9" ht="15.75" thickBot="1" x14ac:dyDescent="0.3">
      <c r="C31" s="75" t="s">
        <v>55</v>
      </c>
      <c r="D31" s="153">
        <f t="shared" si="3"/>
        <v>0</v>
      </c>
      <c r="E31" s="153">
        <f t="shared" si="3"/>
        <v>0</v>
      </c>
      <c r="F31" s="153">
        <f t="shared" si="3"/>
        <v>0</v>
      </c>
      <c r="G31" s="153">
        <f t="shared" si="3"/>
        <v>0</v>
      </c>
      <c r="H31" s="81">
        <f t="shared" si="4"/>
        <v>0</v>
      </c>
      <c r="I31" s="47"/>
    </row>
  </sheetData>
  <mergeCells count="3">
    <mergeCell ref="C3:C4"/>
    <mergeCell ref="C23:C25"/>
    <mergeCell ref="C13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-0.249977111117893"/>
    <pageSetUpPr fitToPage="1"/>
  </sheetPr>
  <dimension ref="A1:AH89"/>
  <sheetViews>
    <sheetView zoomScaleNormal="100" workbookViewId="0">
      <pane xSplit="1" ySplit="14" topLeftCell="B69" activePane="bottomRight" state="frozen"/>
      <selection activeCell="AC68" sqref="AC68"/>
      <selection pane="topRight" activeCell="AC68" sqref="AC68"/>
      <selection pane="bottomLeft" activeCell="AC68" sqref="AC68"/>
      <selection pane="bottomRight" activeCell="Y32" sqref="Y32"/>
    </sheetView>
  </sheetViews>
  <sheetFormatPr defaultColWidth="9.140625" defaultRowHeight="15" x14ac:dyDescent="0.25"/>
  <cols>
    <col min="1" max="1" width="21.5703125" style="162" customWidth="1"/>
    <col min="2" max="2" width="15.28515625" style="162" customWidth="1"/>
    <col min="3" max="3" width="15.85546875" style="162" customWidth="1"/>
    <col min="4" max="4" width="15.140625" style="162" customWidth="1"/>
    <col min="5" max="5" width="16.140625" style="162" customWidth="1"/>
    <col min="6" max="6" width="15" style="162" bestFit="1" customWidth="1"/>
    <col min="7" max="7" width="16" style="162" customWidth="1"/>
    <col min="8" max="8" width="15" style="162" bestFit="1" customWidth="1"/>
    <col min="9" max="10" width="16" style="162" bestFit="1" customWidth="1"/>
    <col min="11" max="11" width="16" style="162" customWidth="1"/>
    <col min="12" max="12" width="16" style="162" bestFit="1" customWidth="1"/>
    <col min="13" max="24" width="16" style="162" customWidth="1"/>
    <col min="25" max="25" width="16.42578125" style="162" customWidth="1"/>
    <col min="26" max="26" width="17.28515625" style="162" customWidth="1"/>
    <col min="27" max="27" width="16.85546875" style="162" customWidth="1"/>
    <col min="28" max="28" width="13.85546875" style="162" bestFit="1" customWidth="1"/>
    <col min="29" max="29" width="10.85546875" style="162" bestFit="1" customWidth="1"/>
    <col min="30" max="30" width="9.140625" style="162"/>
    <col min="31" max="31" width="12.7109375" style="162" bestFit="1" customWidth="1"/>
    <col min="32" max="16384" width="9.140625" style="162"/>
  </cols>
  <sheetData>
    <row r="1" spans="1:34" x14ac:dyDescent="0.25">
      <c r="A1" s="47" t="s">
        <v>166</v>
      </c>
      <c r="B1" s="47"/>
    </row>
    <row r="2" spans="1:34" x14ac:dyDescent="0.25">
      <c r="B2" s="181" t="s">
        <v>77</v>
      </c>
      <c r="J2" s="2" t="s">
        <v>26</v>
      </c>
      <c r="K2" s="2"/>
    </row>
    <row r="3" spans="1:34" x14ac:dyDescent="0.25">
      <c r="B3" s="217" t="s">
        <v>64</v>
      </c>
      <c r="C3" s="217" t="s">
        <v>78</v>
      </c>
      <c r="D3" s="217" t="s">
        <v>97</v>
      </c>
      <c r="E3" s="217" t="s">
        <v>91</v>
      </c>
      <c r="F3" s="217" t="s">
        <v>65</v>
      </c>
      <c r="G3" s="217" t="s">
        <v>79</v>
      </c>
      <c r="I3" s="55" t="s">
        <v>80</v>
      </c>
      <c r="J3" s="55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34" x14ac:dyDescent="0.25">
      <c r="A4" s="162" t="s">
        <v>0</v>
      </c>
      <c r="B4" s="23">
        <f>SUM(B42:AA42)</f>
        <v>67262682.191528171</v>
      </c>
      <c r="C4" s="83">
        <f>SUM(B28:AA28)</f>
        <v>29622230050.586277</v>
      </c>
      <c r="D4" s="23">
        <f>SUM(B21:AA21)</f>
        <v>70968138.671240002</v>
      </c>
      <c r="E4" s="23">
        <f>-B4+D4</f>
        <v>3705456.4797118306</v>
      </c>
      <c r="F4" s="110">
        <f>SUM(B68:AA68)</f>
        <v>52135.990126306511</v>
      </c>
      <c r="G4" s="41">
        <f>E4+F4</f>
        <v>3757592.4698381373</v>
      </c>
      <c r="I4" s="55" t="s">
        <v>94</v>
      </c>
      <c r="J4" s="55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34" x14ac:dyDescent="0.25">
      <c r="A5" s="162" t="s">
        <v>4</v>
      </c>
      <c r="B5" s="23">
        <f>SUM(B43:AA43)</f>
        <v>11494614.02840095</v>
      </c>
      <c r="C5" s="83">
        <f>SUM(B29:AA29)</f>
        <v>6873476419.0601606</v>
      </c>
      <c r="D5" s="23">
        <f>SUM(B22:AA22)</f>
        <v>11857596.658771638</v>
      </c>
      <c r="E5" s="23">
        <f t="shared" ref="E5:E8" si="0">-B5+D5</f>
        <v>362982.63037068769</v>
      </c>
      <c r="F5" s="110">
        <f>SUM(B69:AA69)</f>
        <v>-9611.1266609032209</v>
      </c>
      <c r="G5" s="41">
        <f>E5+F5</f>
        <v>353371.50370978448</v>
      </c>
      <c r="I5" s="55" t="s">
        <v>93</v>
      </c>
      <c r="J5" s="55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34" x14ac:dyDescent="0.25">
      <c r="A6" s="162" t="s">
        <v>5</v>
      </c>
      <c r="B6" s="23">
        <f>SUM(B44:AA44)</f>
        <v>25758045.194051169</v>
      </c>
      <c r="C6" s="83">
        <f>SUM(B30:AA30)</f>
        <v>15289151090.492973</v>
      </c>
      <c r="D6" s="23">
        <f>SUM(B23:AA23)</f>
        <v>26556178.000283465</v>
      </c>
      <c r="E6" s="23">
        <f t="shared" si="0"/>
        <v>798132.80623229593</v>
      </c>
      <c r="F6" s="110">
        <f>SUM(B70:AA70)</f>
        <v>-22537.032966236235</v>
      </c>
      <c r="G6" s="41">
        <f>E6+F6</f>
        <v>775595.7732660597</v>
      </c>
      <c r="I6" s="55" t="s">
        <v>95</v>
      </c>
      <c r="J6" s="55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34" x14ac:dyDescent="0.25">
      <c r="A7" s="162" t="s">
        <v>6</v>
      </c>
      <c r="B7" s="23">
        <f>SUM(B45:AA45)</f>
        <v>10886916.397731811</v>
      </c>
      <c r="C7" s="83">
        <f>SUM(B31:AA31)</f>
        <v>6442507593.227335</v>
      </c>
      <c r="D7" s="23">
        <f>SUM(B24:AA24)</f>
        <v>11195207.75237786</v>
      </c>
      <c r="E7" s="23">
        <f t="shared" si="0"/>
        <v>308291.35464604944</v>
      </c>
      <c r="F7" s="110">
        <f>SUM(B71:AA71)</f>
        <v>-8506.9334712770069</v>
      </c>
      <c r="G7" s="41">
        <f>E7+F7</f>
        <v>299784.42117477243</v>
      </c>
      <c r="I7" s="55" t="s">
        <v>81</v>
      </c>
      <c r="J7" s="55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34" ht="15.75" thickBot="1" x14ac:dyDescent="0.3">
      <c r="A8" s="162" t="s">
        <v>7</v>
      </c>
      <c r="B8" s="23">
        <f>SUM(B46:AA46)</f>
        <v>4504874.2685607169</v>
      </c>
      <c r="C8" s="83">
        <f>SUM(B32:AA32)</f>
        <v>2733962260.8366404</v>
      </c>
      <c r="D8" s="23">
        <f>SUM(B25:AA25)</f>
        <v>4762890.1077128537</v>
      </c>
      <c r="E8" s="23">
        <f t="shared" si="0"/>
        <v>258015.83915213682</v>
      </c>
      <c r="F8" s="110">
        <f>SUM(B72:AA72)</f>
        <v>-2170.3440420252064</v>
      </c>
      <c r="G8" s="41">
        <f>E8+F8</f>
        <v>255845.4951101116</v>
      </c>
      <c r="I8" s="55" t="s">
        <v>110</v>
      </c>
      <c r="J8" s="55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34" ht="16.5" thickTop="1" thickBot="1" x14ac:dyDescent="0.3">
      <c r="B9" s="84">
        <f t="shared" ref="B9:G9" si="1">SUM(B4:B8)</f>
        <v>119907132.08027284</v>
      </c>
      <c r="C9" s="177">
        <f>SUM(C4:C8)</f>
        <v>60961327414.203384</v>
      </c>
      <c r="D9" s="84">
        <f t="shared" si="1"/>
        <v>125340011.1903858</v>
      </c>
      <c r="E9" s="84">
        <f>SUM(E4:E8)</f>
        <v>5432879.1101130005</v>
      </c>
      <c r="F9" s="277">
        <f>SUM(F4:F8)</f>
        <v>9310.5529858648461</v>
      </c>
      <c r="G9" s="84">
        <f t="shared" si="1"/>
        <v>5442189.6630988643</v>
      </c>
      <c r="I9" s="55" t="s">
        <v>111</v>
      </c>
      <c r="J9" s="55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34" ht="16.5" thickTop="1" thickBot="1" x14ac:dyDescent="0.3">
      <c r="E10" s="38" t="s">
        <v>25</v>
      </c>
      <c r="F10" s="271">
        <f>F9-SUM(B51:AA51)</f>
        <v>-7.0141351461643353E-3</v>
      </c>
      <c r="G10" s="47"/>
      <c r="I10" s="55" t="s">
        <v>112</v>
      </c>
      <c r="J10" s="55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34" ht="15.75" thickTop="1" x14ac:dyDescent="0.25">
      <c r="D11" s="3"/>
      <c r="F11" s="2"/>
      <c r="I11" s="55" t="s">
        <v>113</v>
      </c>
      <c r="J11" s="55"/>
      <c r="K11" s="47"/>
    </row>
    <row r="12" spans="1:34" ht="15.75" thickBot="1" x14ac:dyDescent="0.3">
      <c r="B12" s="50"/>
      <c r="C12" s="50"/>
      <c r="D12" s="50"/>
      <c r="E12" s="50"/>
      <c r="F12" s="50"/>
      <c r="G12" s="50"/>
      <c r="H12" s="50"/>
      <c r="I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280"/>
      <c r="Z12" s="280"/>
      <c r="AA12" s="47"/>
    </row>
    <row r="13" spans="1:34" ht="15.75" thickBot="1" x14ac:dyDescent="0.3">
      <c r="B13" s="164"/>
      <c r="C13" s="117"/>
      <c r="D13" s="135" t="s">
        <v>68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321"/>
      <c r="Y13" s="367" t="s">
        <v>67</v>
      </c>
      <c r="Z13" s="368"/>
      <c r="AA13" s="369"/>
    </row>
    <row r="14" spans="1:34" x14ac:dyDescent="0.25">
      <c r="A14" s="162" t="s">
        <v>83</v>
      </c>
      <c r="B14" s="88">
        <v>43435</v>
      </c>
      <c r="C14" s="89">
        <f t="shared" ref="C14:J14" si="2">EDATE(B14,1)</f>
        <v>43466</v>
      </c>
      <c r="D14" s="89">
        <f t="shared" si="2"/>
        <v>43497</v>
      </c>
      <c r="E14" s="89">
        <f t="shared" si="2"/>
        <v>43525</v>
      </c>
      <c r="F14" s="89">
        <f t="shared" si="2"/>
        <v>43556</v>
      </c>
      <c r="G14" s="89">
        <f t="shared" si="2"/>
        <v>43586</v>
      </c>
      <c r="H14" s="89">
        <f t="shared" si="2"/>
        <v>43617</v>
      </c>
      <c r="I14" s="89">
        <f t="shared" si="2"/>
        <v>43647</v>
      </c>
      <c r="J14" s="89">
        <f t="shared" si="2"/>
        <v>43678</v>
      </c>
      <c r="K14" s="89">
        <f t="shared" ref="K14" si="3">EDATE(J14,1)</f>
        <v>43709</v>
      </c>
      <c r="L14" s="89">
        <f t="shared" ref="L14" si="4">EDATE(K14,1)</f>
        <v>43739</v>
      </c>
      <c r="M14" s="322">
        <f t="shared" ref="M14" si="5">EDATE(L14,1)</f>
        <v>43770</v>
      </c>
      <c r="N14" s="322">
        <f t="shared" ref="N14" si="6">EDATE(M14,1)</f>
        <v>43800</v>
      </c>
      <c r="O14" s="89">
        <f t="shared" ref="O14" si="7">EDATE(N14,1)</f>
        <v>43831</v>
      </c>
      <c r="P14" s="89">
        <f t="shared" ref="P14" si="8">EDATE(O14,1)</f>
        <v>43862</v>
      </c>
      <c r="Q14" s="89">
        <f t="shared" ref="Q14" si="9">EDATE(P14,1)</f>
        <v>43891</v>
      </c>
      <c r="R14" s="89">
        <f t="shared" ref="R14" si="10">EDATE(Q14,1)</f>
        <v>43922</v>
      </c>
      <c r="S14" s="89">
        <f t="shared" ref="S14" si="11">EDATE(R14,1)</f>
        <v>43952</v>
      </c>
      <c r="T14" s="89">
        <f t="shared" ref="T14" si="12">EDATE(S14,1)</f>
        <v>43983</v>
      </c>
      <c r="U14" s="322">
        <f t="shared" ref="U14" si="13">EDATE(T14,1)</f>
        <v>44013</v>
      </c>
      <c r="V14" s="322">
        <f t="shared" ref="V14" si="14">EDATE(U14,1)</f>
        <v>44044</v>
      </c>
      <c r="W14" s="89">
        <f t="shared" ref="W14" si="15">EDATE(V14,1)</f>
        <v>44075</v>
      </c>
      <c r="X14" s="322">
        <f t="shared" ref="X14" si="16">EDATE(W14,1)</f>
        <v>44105</v>
      </c>
      <c r="Y14" s="88">
        <f>EDATE(X14,1)</f>
        <v>44136</v>
      </c>
      <c r="Z14" s="89">
        <f>EDATE(Y14,1)</f>
        <v>44166</v>
      </c>
      <c r="AA14" s="90">
        <f>EDATE(Z14,1)</f>
        <v>44197</v>
      </c>
      <c r="AB14" s="1"/>
      <c r="AC14" s="1"/>
      <c r="AD14" s="1"/>
      <c r="AE14" s="1"/>
      <c r="AF14" s="1"/>
      <c r="AG14" s="1"/>
      <c r="AH14" s="1"/>
    </row>
    <row r="15" spans="1:34" x14ac:dyDescent="0.25">
      <c r="A15" s="47" t="s">
        <v>0</v>
      </c>
      <c r="B15" s="91">
        <f>SUM('[1]PCR.1 (M3)'!B53:G53)</f>
        <v>173182</v>
      </c>
      <c r="C15" s="44">
        <f>'[1]PCR.1 (M3)'!H53</f>
        <v>0</v>
      </c>
      <c r="D15" s="44">
        <f>'[1]PCR.1 (M3)'!I53</f>
        <v>120000</v>
      </c>
      <c r="E15" s="44">
        <f>'[1]PCR.1 (M3)'!J53</f>
        <v>2283620.9400000004</v>
      </c>
      <c r="F15" s="44">
        <f>'[1]PCR.1 (M3)'!K53</f>
        <v>1173927.0200000003</v>
      </c>
      <c r="G15" s="44">
        <f>'[1]PCR.1 (M3)'!L53</f>
        <v>1824626.01</v>
      </c>
      <c r="H15" s="44">
        <f>'[1]PCR.1 (M3)'!M53</f>
        <v>2073546.5699999998</v>
      </c>
      <c r="I15" s="44">
        <f>'[1]PCR.1 (M3)'!N53</f>
        <v>2562392.2600000002</v>
      </c>
      <c r="J15" s="44">
        <f>'[1]PCR.1 (M3)'!O53</f>
        <v>3911693.53</v>
      </c>
      <c r="K15" s="44">
        <f>'[1]PCR.1 (M3)'!P53</f>
        <v>1341245.26</v>
      </c>
      <c r="L15" s="44">
        <f>'[1]PCR.1 (M3)'!Q53</f>
        <v>2745753.6899999995</v>
      </c>
      <c r="M15" s="44">
        <f>'[1]PCR.1 (M3)'!R53</f>
        <v>5113350.63</v>
      </c>
      <c r="N15" s="44">
        <f>'[1]PCR.1 (M3)'!S53</f>
        <v>5712616.25</v>
      </c>
      <c r="O15" s="44">
        <f>'[1]PCR.1 (M3)'!T53</f>
        <v>77543.560000000041</v>
      </c>
      <c r="P15" s="44">
        <f>'[1]PCR.1 (M3)'!U53</f>
        <v>2293014.0900000003</v>
      </c>
      <c r="Q15" s="44">
        <f>'[1]PCR.1 (M3)'!V53</f>
        <v>3480839.73</v>
      </c>
      <c r="R15" s="44">
        <f>'[1]PCR.1 (M3)'!W53</f>
        <v>1340803.3000000003</v>
      </c>
      <c r="S15" s="44">
        <f>'[1]PCR.1 (M3)'!X53</f>
        <v>2046973.2399999998</v>
      </c>
      <c r="T15" s="44">
        <f>'[1]PCR.1 (M3)'!Y53</f>
        <v>2691716.73</v>
      </c>
      <c r="U15" s="44">
        <f>'[1]PCR.1 (M3)'!Z53</f>
        <v>3243279.2899999991</v>
      </c>
      <c r="V15" s="44">
        <f>'[1]PCR.1 (M3)'!AA53</f>
        <v>2855009.42</v>
      </c>
      <c r="W15" s="44">
        <f>'[1]PCR.1 (M3)'!AB53</f>
        <v>3964333.8900000015</v>
      </c>
      <c r="X15" s="44">
        <f>'[1]PCR.1 (M3)'!AC53</f>
        <v>1940804.41</v>
      </c>
      <c r="Y15" s="332">
        <f>'[1]PPC.2, PCR.1F'!H28</f>
        <v>3194192.1474332311</v>
      </c>
      <c r="Z15" s="333">
        <f>'[1]PPC.2, PCR.1F'!I28</f>
        <v>4304365.4215897769</v>
      </c>
      <c r="AA15" s="334">
        <f>'[1]PPC.2, PCR.1F'!J28</f>
        <v>2594933.5795117789</v>
      </c>
      <c r="AB15" s="47"/>
    </row>
    <row r="16" spans="1:34" x14ac:dyDescent="0.25">
      <c r="A16" s="47" t="s">
        <v>1</v>
      </c>
      <c r="B16" s="91">
        <f>SUM('[1]PCR.1 (M3)'!B54:G54)</f>
        <v>0</v>
      </c>
      <c r="C16" s="44">
        <f>'[1]PCR.1 (M3)'!H54</f>
        <v>0</v>
      </c>
      <c r="D16" s="44">
        <f>'[1]PCR.1 (M3)'!I54</f>
        <v>118003.54</v>
      </c>
      <c r="E16" s="44">
        <f>'[1]PCR.1 (M3)'!J54</f>
        <v>325654.18</v>
      </c>
      <c r="F16" s="44">
        <f>'[1]PCR.1 (M3)'!K54</f>
        <v>324793.89999999997</v>
      </c>
      <c r="G16" s="44">
        <f>'[1]PCR.1 (M3)'!L54</f>
        <v>435080.67</v>
      </c>
      <c r="H16" s="44">
        <f>'[1]PCR.1 (M3)'!M54</f>
        <v>864617.95000000007</v>
      </c>
      <c r="I16" s="44">
        <f>'[1]PCR.1 (M3)'!N54</f>
        <v>823563.38</v>
      </c>
      <c r="J16" s="44">
        <f>'[1]PCR.1 (M3)'!O54</f>
        <v>1198141.9500000002</v>
      </c>
      <c r="K16" s="44">
        <f>'[1]PCR.1 (M3)'!P54</f>
        <v>2168634.0599999996</v>
      </c>
      <c r="L16" s="44">
        <f>'[1]PCR.1 (M3)'!Q54</f>
        <v>1457645.93</v>
      </c>
      <c r="M16" s="44">
        <f>'[1]PCR.1 (M3)'!R54</f>
        <v>2644399.62</v>
      </c>
      <c r="N16" s="44">
        <f>'[1]PCR.1 (M3)'!S54</f>
        <v>5773379.71</v>
      </c>
      <c r="O16" s="44">
        <f>'[1]PCR.1 (M3)'!T54</f>
        <v>1868023.4500000002</v>
      </c>
      <c r="P16" s="44">
        <f>'[1]PCR.1 (M3)'!U54</f>
        <v>676401.27</v>
      </c>
      <c r="Q16" s="44">
        <f>'[1]PCR.1 (M3)'!V54</f>
        <v>571849.35000000009</v>
      </c>
      <c r="R16" s="44">
        <f>'[1]PCR.1 (M3)'!W54</f>
        <v>1291658.1399999999</v>
      </c>
      <c r="S16" s="44">
        <f>'[1]PCR.1 (M3)'!X54</f>
        <v>1204980.8700000003</v>
      </c>
      <c r="T16" s="44">
        <f>'[1]PCR.1 (M3)'!Y54</f>
        <v>1282682.51</v>
      </c>
      <c r="U16" s="44">
        <f>'[1]PCR.1 (M3)'!Z54</f>
        <v>751621.79999999993</v>
      </c>
      <c r="V16" s="44">
        <f>'[1]PCR.1 (M3)'!AA54</f>
        <v>1567131.4100000001</v>
      </c>
      <c r="W16" s="44">
        <f>'[1]PCR.1 (M3)'!AB54</f>
        <v>1668146.7100000002</v>
      </c>
      <c r="X16" s="44">
        <f>'[1]PCR.1 (M3)'!AC54</f>
        <v>2452279.94</v>
      </c>
      <c r="Y16" s="332">
        <f>'[1]PPC.2, PCR.1F'!H29</f>
        <v>5659239.2022299208</v>
      </c>
      <c r="Z16" s="333">
        <f>'[1]PPC.2, PCR.1F'!I29</f>
        <v>8799724.9099362176</v>
      </c>
      <c r="AA16" s="334">
        <f>'[1]PPC.2, PCR.1F'!J29</f>
        <v>2055184.4441513848</v>
      </c>
      <c r="AB16" s="47"/>
    </row>
    <row r="17" spans="1:31" x14ac:dyDescent="0.25">
      <c r="A17" s="47" t="s">
        <v>2</v>
      </c>
      <c r="B17" s="91">
        <f>SUM('[1]PCR.1 (M3)'!B55:G55)</f>
        <v>0</v>
      </c>
      <c r="C17" s="44">
        <f>'[1]PCR.1 (M3)'!H55</f>
        <v>0</v>
      </c>
      <c r="D17" s="44">
        <f>'[1]PCR.1 (M3)'!I55</f>
        <v>12500</v>
      </c>
      <c r="E17" s="44">
        <f>'[1]PCR.1 (M3)'!J55</f>
        <v>407849.73</v>
      </c>
      <c r="F17" s="44">
        <f>'[1]PCR.1 (M3)'!K55</f>
        <v>169743.63</v>
      </c>
      <c r="G17" s="44">
        <f>'[1]PCR.1 (M3)'!L55</f>
        <v>145713.57999999999</v>
      </c>
      <c r="H17" s="44">
        <f>'[1]PCR.1 (M3)'!M55</f>
        <v>136424.74</v>
      </c>
      <c r="I17" s="44">
        <f>'[1]PCR.1 (M3)'!N55</f>
        <v>113487.89</v>
      </c>
      <c r="J17" s="44">
        <f>'[1]PCR.1 (M3)'!O55</f>
        <v>261842.41999999998</v>
      </c>
      <c r="K17" s="44">
        <f>'[1]PCR.1 (M3)'!P55</f>
        <v>602635.35000000021</v>
      </c>
      <c r="L17" s="44">
        <f>'[1]PCR.1 (M3)'!Q55</f>
        <v>314522.87</v>
      </c>
      <c r="M17" s="44">
        <f>'[1]PCR.1 (M3)'!R55</f>
        <v>750260.66000000015</v>
      </c>
      <c r="N17" s="44">
        <f>'[1]PCR.1 (M3)'!S55</f>
        <v>2774980.9800000009</v>
      </c>
      <c r="O17" s="44">
        <f>'[1]PCR.1 (M3)'!T55</f>
        <v>260906.33000000007</v>
      </c>
      <c r="P17" s="44">
        <f>'[1]PCR.1 (M3)'!U55</f>
        <v>242221.71999999988</v>
      </c>
      <c r="Q17" s="44">
        <f>'[1]PCR.1 (M3)'!V55</f>
        <v>465816.61999999988</v>
      </c>
      <c r="R17" s="44">
        <f>'[1]PCR.1 (M3)'!W55</f>
        <v>649726.6399999999</v>
      </c>
      <c r="S17" s="44">
        <f>'[1]PCR.1 (M3)'!X55</f>
        <v>223465.31</v>
      </c>
      <c r="T17" s="44">
        <f>'[1]PCR.1 (M3)'!Y55</f>
        <v>473624.95999999996</v>
      </c>
      <c r="U17" s="44">
        <f>'[1]PCR.1 (M3)'!Z55</f>
        <v>284775.25</v>
      </c>
      <c r="V17" s="44">
        <f>'[1]PCR.1 (M3)'!AA55</f>
        <v>645341.55000000005</v>
      </c>
      <c r="W17" s="44">
        <f>'[1]PCR.1 (M3)'!AB55</f>
        <v>1244018.73</v>
      </c>
      <c r="X17" s="44">
        <f>'[1]PCR.1 (M3)'!AC55</f>
        <v>677493.60000000009</v>
      </c>
      <c r="Y17" s="332">
        <f>'[1]PPC.2, PCR.1F'!H30</f>
        <v>1584494.6755075385</v>
      </c>
      <c r="Z17" s="333">
        <f>'[1]PPC.2, PCR.1F'!I30</f>
        <v>857158.0140299683</v>
      </c>
      <c r="AA17" s="334">
        <f>'[1]PPC.2, PCR.1F'!J30</f>
        <v>655709.05932933523</v>
      </c>
      <c r="AB17" s="47"/>
    </row>
    <row r="18" spans="1:31" x14ac:dyDescent="0.25">
      <c r="A18" s="47" t="s">
        <v>3</v>
      </c>
      <c r="B18" s="91">
        <f>SUM('[1]PCR.1 (M3)'!B56:G56)</f>
        <v>299724.7</v>
      </c>
      <c r="C18" s="44">
        <f>'[1]PCR.1 (M3)'!H56</f>
        <v>121950.46</v>
      </c>
      <c r="D18" s="44">
        <f>'[1]PCR.1 (M3)'!I56</f>
        <v>55553.56</v>
      </c>
      <c r="E18" s="44">
        <f>'[1]PCR.1 (M3)'!J56</f>
        <v>237390.9</v>
      </c>
      <c r="F18" s="44">
        <f>'[1]PCR.1 (M3)'!K56</f>
        <v>-226777.68</v>
      </c>
      <c r="G18" s="44">
        <f>'[1]PCR.1 (M3)'!L56</f>
        <v>241390.14</v>
      </c>
      <c r="H18" s="44">
        <f>'[1]PCR.1 (M3)'!M56</f>
        <v>15423.059999999998</v>
      </c>
      <c r="I18" s="44">
        <f>'[1]PCR.1 (M3)'!N56</f>
        <v>307238.86</v>
      </c>
      <c r="J18" s="44">
        <f>'[1]PCR.1 (M3)'!O56</f>
        <v>295766.11000000004</v>
      </c>
      <c r="K18" s="44">
        <f>'[1]PCR.1 (M3)'!P56</f>
        <v>552526.09</v>
      </c>
      <c r="L18" s="44">
        <f>'[1]PCR.1 (M3)'!Q56</f>
        <v>175843.66</v>
      </c>
      <c r="M18" s="44">
        <f>'[1]PCR.1 (M3)'!R56</f>
        <v>-526224.58000000007</v>
      </c>
      <c r="N18" s="44">
        <f>'[1]PCR.1 (M3)'!S56</f>
        <v>28431.279999999999</v>
      </c>
      <c r="O18" s="44">
        <f>'[1]PCR.1 (M3)'!T56</f>
        <v>93809</v>
      </c>
      <c r="P18" s="44">
        <f>'[1]PCR.1 (M3)'!U56</f>
        <v>54998.229999999996</v>
      </c>
      <c r="Q18" s="44">
        <f>'[1]PCR.1 (M3)'!V56</f>
        <v>149881.44</v>
      </c>
      <c r="R18" s="44">
        <f>'[1]PCR.1 (M3)'!W56</f>
        <v>72864.48000000001</v>
      </c>
      <c r="S18" s="44">
        <f>'[1]PCR.1 (M3)'!X56</f>
        <v>28617.46</v>
      </c>
      <c r="T18" s="44">
        <f>'[1]PCR.1 (M3)'!Y56</f>
        <v>122525.88</v>
      </c>
      <c r="U18" s="44">
        <f>'[1]PCR.1 (M3)'!Z56</f>
        <v>57874.9</v>
      </c>
      <c r="V18" s="44">
        <f>'[1]PCR.1 (M3)'!AA56</f>
        <v>64575.22</v>
      </c>
      <c r="W18" s="44">
        <f>'[1]PCR.1 (M3)'!AB56</f>
        <v>4505.8000000000029</v>
      </c>
      <c r="X18" s="44">
        <f>'[1]PCR.1 (M3)'!AC56</f>
        <v>5348.88</v>
      </c>
      <c r="Y18" s="332">
        <f>'[1]PPC.2, PCR.1F'!H31</f>
        <v>70309.5</v>
      </c>
      <c r="Z18" s="333">
        <f>'[1]PPC.2, PCR.1F'!I31</f>
        <v>18481</v>
      </c>
      <c r="AA18" s="334">
        <f>'[1]PPC.2, PCR.1F'!J31</f>
        <v>16666.666666666668</v>
      </c>
      <c r="AB18" s="47"/>
    </row>
    <row r="19" spans="1:31" x14ac:dyDescent="0.25">
      <c r="B19" s="97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269"/>
      <c r="Z19" s="223"/>
      <c r="AA19" s="270"/>
    </row>
    <row r="20" spans="1:31" x14ac:dyDescent="0.25">
      <c r="A20" s="162" t="s">
        <v>84</v>
      </c>
      <c r="B20" s="97"/>
      <c r="C20" s="96"/>
      <c r="D20" s="100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5"/>
      <c r="Z20" s="96"/>
      <c r="AA20" s="99"/>
    </row>
    <row r="21" spans="1:31" x14ac:dyDescent="0.25">
      <c r="A21" s="162" t="s">
        <v>0</v>
      </c>
      <c r="B21" s="107">
        <f t="shared" ref="B21:C21" si="17">B15+((B28/SUM(B$28:B$32))*B$17)+((B28/SUM(B$28:B$32))*B$18)</f>
        <v>317847.94516670017</v>
      </c>
      <c r="C21" s="111">
        <f t="shared" si="17"/>
        <v>62937.088413765421</v>
      </c>
      <c r="D21" s="111">
        <f>D15+((D28/SUM(D$28:D$32))*D$17)+((D28/SUM(D$28:D$32))*D$18)</f>
        <v>155679.80049587399</v>
      </c>
      <c r="E21" s="111">
        <f t="shared" ref="E21:J21" si="18">E15+((E28/SUM(E$28:E$32))*E$17)+((E28/SUM(E$28:E$32))*E$18)</f>
        <v>2610951.7844937206</v>
      </c>
      <c r="F21" s="111">
        <f t="shared" si="18"/>
        <v>1148856.7617550408</v>
      </c>
      <c r="G21" s="111">
        <f t="shared" si="18"/>
        <v>1980399.5353145797</v>
      </c>
      <c r="H21" s="111">
        <f t="shared" si="18"/>
        <v>2140053.1620282945</v>
      </c>
      <c r="I21" s="111">
        <f t="shared" si="18"/>
        <v>2765436.5412281929</v>
      </c>
      <c r="J21" s="111">
        <f t="shared" si="18"/>
        <v>4183009.4029065161</v>
      </c>
      <c r="K21" s="111">
        <f t="shared" ref="K21:L21" si="19">K15+((K28/SUM(K$28:K$32))*K$17)+((K28/SUM(K$28:K$32))*K$18)</f>
        <v>1880861.105136506</v>
      </c>
      <c r="L21" s="111">
        <f t="shared" si="19"/>
        <v>2961387.6014090525</v>
      </c>
      <c r="M21" s="111">
        <f t="shared" ref="M21:V21" si="20">M15+((M28/SUM(M$28:M$32))*M$17)+((M28/SUM(M$28:M$32))*M$18)</f>
        <v>5212383.3974434612</v>
      </c>
      <c r="N21" s="111">
        <f t="shared" si="20"/>
        <v>7109725.5898972265</v>
      </c>
      <c r="O21" s="111">
        <f t="shared" si="20"/>
        <v>259428.14288541273</v>
      </c>
      <c r="P21" s="111">
        <f t="shared" si="20"/>
        <v>2444271.9457997507</v>
      </c>
      <c r="Q21" s="111">
        <f t="shared" si="20"/>
        <v>3785969.5223629209</v>
      </c>
      <c r="R21" s="111">
        <f t="shared" si="20"/>
        <v>1680491.6769496738</v>
      </c>
      <c r="S21" s="111">
        <f t="shared" si="20"/>
        <v>2162288.349807201</v>
      </c>
      <c r="T21" s="111">
        <f t="shared" si="20"/>
        <v>2981699.2901663557</v>
      </c>
      <c r="U21" s="111">
        <f t="shared" si="20"/>
        <v>3422649.6991572594</v>
      </c>
      <c r="V21" s="111">
        <f t="shared" si="20"/>
        <v>3214510.3077872684</v>
      </c>
      <c r="W21" s="111">
        <f>W15+((W28/SUM(W$28:W$32))*W$17)+((W28/SUM(W$28:W$32))*W$18)</f>
        <v>4591293.4036682406</v>
      </c>
      <c r="X21" s="111">
        <f t="shared" ref="X21" si="21">X15+((X28/SUM(X$28:X$32))*X$17)+((X28/SUM(X$28:X$32))*X$18)</f>
        <v>2231532.8664184134</v>
      </c>
      <c r="Y21" s="229">
        <f>Y15+((Y28/SUM(Y$28:Y$32))*Y$17)+((Y28/SUM(Y$28:Y$32))*Y$18)</f>
        <v>3938444.6245016446</v>
      </c>
      <c r="Z21" s="108">
        <f>Z15+((Z28/SUM(Z$28:Z$32))*Z$17)+((Z28/SUM(Z$28:Z$32))*Z$18)</f>
        <v>4765410.7539132182</v>
      </c>
      <c r="AA21" s="112">
        <f>AA15+((AA28/SUM(AA$28:AA$32))*AA$17)+((AA28/SUM(AA$28:AA$32))*AA$18)</f>
        <v>2960618.3721337165</v>
      </c>
    </row>
    <row r="22" spans="1:31" x14ac:dyDescent="0.25">
      <c r="A22" s="162" t="s">
        <v>4</v>
      </c>
      <c r="B22" s="107">
        <f t="shared" ref="B22:C22" si="22">((B29/SUM(B$29:B$32))*B$16)+((B29/SUM(B$28:B$32))*B$17)+((B29/SUM(B$28:B$32))*B$18)</f>
        <v>33385.711349135156</v>
      </c>
      <c r="C22" s="111">
        <f t="shared" si="22"/>
        <v>13887.647890998298</v>
      </c>
      <c r="D22" s="111">
        <f t="shared" ref="D22:J25" si="23">((D29/SUM(D$29:D$32))*D$16)+((D29/SUM(D$28:D$32))*D$17)+((D29/SUM(D$28:D$32))*D$18)</f>
        <v>36274.43793325447</v>
      </c>
      <c r="E22" s="111">
        <f t="shared" si="23"/>
        <v>151627.30805818431</v>
      </c>
      <c r="F22" s="111">
        <f t="shared" si="23"/>
        <v>61855.782634756295</v>
      </c>
      <c r="G22" s="111">
        <f t="shared" si="23"/>
        <v>134815.26461359835</v>
      </c>
      <c r="H22" s="111">
        <f t="shared" si="23"/>
        <v>195657.14238592016</v>
      </c>
      <c r="I22" s="111">
        <f t="shared" si="23"/>
        <v>231093.36120904284</v>
      </c>
      <c r="J22" s="111">
        <f t="shared" si="23"/>
        <v>326643.83244593668</v>
      </c>
      <c r="K22" s="111">
        <f t="shared" ref="K22:L22" si="24">((K29/SUM(K$29:K$32))*K$16)+((K29/SUM(K$28:K$32))*K$17)+((K29/SUM(K$28:K$32))*K$18)</f>
        <v>593095.03885828401</v>
      </c>
      <c r="L22" s="111">
        <f t="shared" si="24"/>
        <v>362306.07562952751</v>
      </c>
      <c r="M22" s="111">
        <f t="shared" ref="M22:W22" si="25">((M29/SUM(M$29:M$32))*M$16)+((M29/SUM(M$28:M$32))*M$17)+((M29/SUM(M$28:M$32))*M$18)</f>
        <v>579948.61375456466</v>
      </c>
      <c r="N22" s="111">
        <f t="shared" si="25"/>
        <v>1644656.6162915369</v>
      </c>
      <c r="O22" s="111">
        <f t="shared" si="25"/>
        <v>478191.42075922922</v>
      </c>
      <c r="P22" s="111">
        <f t="shared" si="25"/>
        <v>190324.34405980565</v>
      </c>
      <c r="Q22" s="111">
        <f t="shared" si="25"/>
        <v>204536.01142143455</v>
      </c>
      <c r="R22" s="111">
        <f t="shared" si="25"/>
        <v>340999.94018713571</v>
      </c>
      <c r="S22" s="111">
        <f t="shared" si="25"/>
        <v>264264.07629370497</v>
      </c>
      <c r="T22" s="111">
        <f t="shared" si="25"/>
        <v>334259.56944584794</v>
      </c>
      <c r="U22" s="111">
        <f t="shared" si="25"/>
        <v>207498.16986042447</v>
      </c>
      <c r="V22" s="111">
        <f t="shared" si="25"/>
        <v>422337.15665531013</v>
      </c>
      <c r="W22" s="111">
        <f t="shared" si="25"/>
        <v>487415.19141766964</v>
      </c>
      <c r="X22" s="111">
        <f t="shared" ref="X22" si="26">((X29/SUM(X$29:X$32))*X$16)+((X29/SUM(X$28:X$32))*X$17)+((X29/SUM(X$28:X$32))*X$18)</f>
        <v>574674.47091512289</v>
      </c>
      <c r="Y22" s="107">
        <f t="shared" ref="Y22:AA25" si="27">((Y29/SUM(Y$29:Y$32))*Y$16)+((Y29/SUM(Y$28:Y$32))*Y$17)+((Y29/SUM(Y$28:Y$32))*Y$18)</f>
        <v>1353594.7998194026</v>
      </c>
      <c r="Z22" s="108">
        <f t="shared" si="27"/>
        <v>2082918.3197100973</v>
      </c>
      <c r="AA22" s="112">
        <f t="shared" si="27"/>
        <v>551336.35517171409</v>
      </c>
    </row>
    <row r="23" spans="1:31" x14ac:dyDescent="0.25">
      <c r="A23" s="162" t="s">
        <v>5</v>
      </c>
      <c r="B23" s="107">
        <f t="shared" ref="B23:C23" si="28">((B30/SUM(B$29:B$32))*B$16)+((B30/SUM(B$28:B$32))*B$17)+((B30/SUM(B$28:B$32))*B$18)</f>
        <v>72690.254284489041</v>
      </c>
      <c r="C23" s="111">
        <f t="shared" si="28"/>
        <v>29119.872157604295</v>
      </c>
      <c r="D23" s="111">
        <f t="shared" si="23"/>
        <v>73504.970610067088</v>
      </c>
      <c r="E23" s="111">
        <f t="shared" si="23"/>
        <v>313330.74775433698</v>
      </c>
      <c r="F23" s="111">
        <f t="shared" si="23"/>
        <v>143775.80981087088</v>
      </c>
      <c r="G23" s="111">
        <f t="shared" si="23"/>
        <v>333600.03017572546</v>
      </c>
      <c r="H23" s="111">
        <f t="shared" si="23"/>
        <v>460989.01640803815</v>
      </c>
      <c r="I23" s="111">
        <f t="shared" si="23"/>
        <v>512830.53413618542</v>
      </c>
      <c r="J23" s="111">
        <f t="shared" si="23"/>
        <v>721515.33340395277</v>
      </c>
      <c r="K23" s="111">
        <f t="shared" ref="K23:L23" si="29">((K30/SUM(K$29:K$32))*K$16)+((K30/SUM(K$28:K$32))*K$17)+((K30/SUM(K$28:K$32))*K$18)</f>
        <v>1370292.2245446704</v>
      </c>
      <c r="L23" s="111">
        <f t="shared" si="29"/>
        <v>851992.89414610213</v>
      </c>
      <c r="M23" s="111">
        <f t="shared" ref="M23:W23" si="30">((M30/SUM(M$29:M$32))*M$16)+((M30/SUM(M$28:M$32))*M$17)+((M30/SUM(M$28:M$32))*M$18)</f>
        <v>1344071.987358633</v>
      </c>
      <c r="N23" s="111">
        <f t="shared" si="30"/>
        <v>3521259.3811405059</v>
      </c>
      <c r="O23" s="111">
        <f t="shared" si="30"/>
        <v>993120.46207226918</v>
      </c>
      <c r="P23" s="111">
        <f t="shared" si="30"/>
        <v>392200.43779670808</v>
      </c>
      <c r="Q23" s="111">
        <f t="shared" si="30"/>
        <v>437263.97018771758</v>
      </c>
      <c r="R23" s="111">
        <f t="shared" si="30"/>
        <v>810668.66968840675</v>
      </c>
      <c r="S23" s="111">
        <f t="shared" si="30"/>
        <v>647102.85444873013</v>
      </c>
      <c r="T23" s="111">
        <f t="shared" si="30"/>
        <v>772776.78494239703</v>
      </c>
      <c r="U23" s="111">
        <f t="shared" si="30"/>
        <v>449172.8580624453</v>
      </c>
      <c r="V23" s="111">
        <f t="shared" si="30"/>
        <v>933386.91358129226</v>
      </c>
      <c r="W23" s="111">
        <f t="shared" si="30"/>
        <v>1121404.1838522851</v>
      </c>
      <c r="X23" s="111">
        <f t="shared" ref="X23" si="31">((X30/SUM(X$29:X$32))*X$16)+((X30/SUM(X$28:X$32))*X$17)+((X30/SUM(X$28:X$32))*X$18)</f>
        <v>1391697.4383229041</v>
      </c>
      <c r="Y23" s="107">
        <f t="shared" si="27"/>
        <v>3219261.6018578643</v>
      </c>
      <c r="Z23" s="108">
        <f t="shared" si="27"/>
        <v>4489350.7552062022</v>
      </c>
      <c r="AA23" s="112">
        <f t="shared" si="27"/>
        <v>1149798.0143330586</v>
      </c>
    </row>
    <row r="24" spans="1:31" x14ac:dyDescent="0.25">
      <c r="A24" s="162" t="s">
        <v>6</v>
      </c>
      <c r="B24" s="107">
        <f t="shared" ref="B24:C24" si="32">((B31/SUM(B$29:B$32))*B$16)+((B31/SUM(B$28:B$32))*B$17)+((B31/SUM(B$28:B$32))*B$18)</f>
        <v>33417.905035113341</v>
      </c>
      <c r="C24" s="111">
        <f t="shared" si="32"/>
        <v>11408.01611653602</v>
      </c>
      <c r="D24" s="111">
        <f t="shared" si="23"/>
        <v>29285.213310280094</v>
      </c>
      <c r="E24" s="111">
        <f t="shared" si="23"/>
        <v>126713.46256441454</v>
      </c>
      <c r="F24" s="111">
        <f t="shared" si="23"/>
        <v>61183.192042766401</v>
      </c>
      <c r="G24" s="111">
        <f t="shared" si="23"/>
        <v>139345.20524448043</v>
      </c>
      <c r="H24" s="111">
        <f t="shared" si="23"/>
        <v>201414.40882270786</v>
      </c>
      <c r="I24" s="111">
        <f t="shared" si="23"/>
        <v>208996.49354949215</v>
      </c>
      <c r="J24" s="111">
        <f t="shared" si="23"/>
        <v>301760.02417282655</v>
      </c>
      <c r="K24" s="111">
        <f t="shared" ref="K24:L24" si="33">((K31/SUM(K$29:K$32))*K$16)+((K31/SUM(K$28:K$32))*K$17)+((K31/SUM(K$28:K$32))*K$18)</f>
        <v>564309.39637831028</v>
      </c>
      <c r="L24" s="111">
        <f t="shared" si="33"/>
        <v>354192.11584248586</v>
      </c>
      <c r="M24" s="111">
        <f t="shared" ref="M24:W24" si="34">((M31/SUM(M$29:M$32))*M$16)+((M31/SUM(M$28:M$32))*M$17)+((M31/SUM(M$28:M$32))*M$18)</f>
        <v>585302.32754364726</v>
      </c>
      <c r="N24" s="111">
        <f t="shared" si="34"/>
        <v>1422983.4466879484</v>
      </c>
      <c r="O24" s="111">
        <f t="shared" si="34"/>
        <v>399065.59842960391</v>
      </c>
      <c r="P24" s="111">
        <f t="shared" si="34"/>
        <v>167091.41798192603</v>
      </c>
      <c r="Q24" s="111">
        <f t="shared" si="34"/>
        <v>173715.76090543382</v>
      </c>
      <c r="R24" s="111">
        <f t="shared" si="34"/>
        <v>368571.85556808428</v>
      </c>
      <c r="S24" s="111">
        <f t="shared" si="34"/>
        <v>296495.97748790361</v>
      </c>
      <c r="T24" s="111">
        <f t="shared" si="34"/>
        <v>348620.30969897739</v>
      </c>
      <c r="U24" s="111">
        <f t="shared" si="34"/>
        <v>182612.11497631978</v>
      </c>
      <c r="V24" s="111">
        <f t="shared" si="34"/>
        <v>399327.10323625791</v>
      </c>
      <c r="W24" s="111">
        <f t="shared" si="34"/>
        <v>482010.14848845941</v>
      </c>
      <c r="X24" s="111">
        <f t="shared" ref="X24" si="35">((X31/SUM(X$29:X$32))*X$16)+((X31/SUM(X$28:X$32))*X$17)+((X31/SUM(X$28:X$32))*X$18)</f>
        <v>623293.18063074409</v>
      </c>
      <c r="Y24" s="107">
        <f t="shared" si="27"/>
        <v>1387531.961992352</v>
      </c>
      <c r="Z24" s="108">
        <f t="shared" si="27"/>
        <v>1854840.0816013056</v>
      </c>
      <c r="AA24" s="112">
        <f t="shared" si="27"/>
        <v>471721.03406948363</v>
      </c>
    </row>
    <row r="25" spans="1:31" x14ac:dyDescent="0.25">
      <c r="A25" s="162" t="s">
        <v>7</v>
      </c>
      <c r="B25" s="107">
        <f t="shared" ref="B25:C25" si="36">((B32/SUM(B$29:B$32))*B$16)+((B32/SUM(B$28:B$32))*B$17)+((B32/SUM(B$28:B$32))*B$18)</f>
        <v>15564.884164562347</v>
      </c>
      <c r="C25" s="111">
        <f t="shared" si="36"/>
        <v>4597.8354210959724</v>
      </c>
      <c r="D25" s="111">
        <f t="shared" si="23"/>
        <v>11312.677650524363</v>
      </c>
      <c r="E25" s="111">
        <f t="shared" si="23"/>
        <v>51892.447129343942</v>
      </c>
      <c r="F25" s="111">
        <f t="shared" si="23"/>
        <v>26015.323756565842</v>
      </c>
      <c r="G25" s="111">
        <f t="shared" si="23"/>
        <v>58650.364651615819</v>
      </c>
      <c r="H25" s="111">
        <f t="shared" si="23"/>
        <v>91898.590355038876</v>
      </c>
      <c r="I25" s="111">
        <f t="shared" si="23"/>
        <v>88325.459877087022</v>
      </c>
      <c r="J25" s="111">
        <f t="shared" si="23"/>
        <v>134515.41707076808</v>
      </c>
      <c r="K25" s="111">
        <f t="shared" ref="K25:L25" si="37">((K32/SUM(K$29:K$32))*K$16)+((K32/SUM(K$28:K$32))*K$17)+((K32/SUM(K$28:K$32))*K$18)</f>
        <v>256482.99508222897</v>
      </c>
      <c r="L25" s="111">
        <f t="shared" si="37"/>
        <v>163887.46297283188</v>
      </c>
      <c r="M25" s="111">
        <f t="shared" ref="M25:W25" si="38">((M32/SUM(M$29:M$32))*M$16)+((M32/SUM(M$28:M$32))*M$17)+((M32/SUM(M$28:M$32))*M$18)</f>
        <v>260080.0038996934</v>
      </c>
      <c r="N25" s="111">
        <f t="shared" si="38"/>
        <v>590783.18598278286</v>
      </c>
      <c r="O25" s="111">
        <f t="shared" si="38"/>
        <v>170476.71585348537</v>
      </c>
      <c r="P25" s="111">
        <f t="shared" si="38"/>
        <v>72747.164361809366</v>
      </c>
      <c r="Q25" s="111">
        <f t="shared" si="38"/>
        <v>66901.875122493031</v>
      </c>
      <c r="R25" s="111">
        <f t="shared" si="38"/>
        <v>154320.41760669943</v>
      </c>
      <c r="S25" s="111">
        <f t="shared" si="38"/>
        <v>133885.62196246081</v>
      </c>
      <c r="T25" s="111">
        <f t="shared" si="38"/>
        <v>133194.12574642192</v>
      </c>
      <c r="U25" s="111">
        <f t="shared" si="38"/>
        <v>75618.397943549877</v>
      </c>
      <c r="V25" s="111">
        <f t="shared" si="38"/>
        <v>162496.11873987119</v>
      </c>
      <c r="W25" s="111">
        <f t="shared" si="38"/>
        <v>198882.20257334653</v>
      </c>
      <c r="X25" s="111">
        <f t="shared" ref="X25" si="39">((X32/SUM(X$29:X$32))*X$16)+((X32/SUM(X$28:X$32))*X$17)+((X32/SUM(X$28:X$32))*X$18)</f>
        <v>254728.87371281514</v>
      </c>
      <c r="Y25" s="107">
        <f t="shared" si="27"/>
        <v>609402.53699942701</v>
      </c>
      <c r="Z25" s="108">
        <f t="shared" si="27"/>
        <v>787209.43512514245</v>
      </c>
      <c r="AA25" s="112">
        <f t="shared" si="27"/>
        <v>189019.97395119295</v>
      </c>
    </row>
    <row r="26" spans="1:31" x14ac:dyDescent="0.25">
      <c r="B26" s="97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5"/>
      <c r="Z26" s="96"/>
      <c r="AA26" s="99"/>
    </row>
    <row r="27" spans="1:31" x14ac:dyDescent="0.25">
      <c r="A27" s="162" t="s">
        <v>85</v>
      </c>
      <c r="B27" s="97"/>
      <c r="C27" s="96"/>
      <c r="D27" s="100" t="s">
        <v>86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5"/>
      <c r="Z27" s="96"/>
      <c r="AA27" s="99"/>
    </row>
    <row r="28" spans="1:31" x14ac:dyDescent="0.25">
      <c r="A28" s="47" t="s">
        <v>0</v>
      </c>
      <c r="B28" s="139">
        <v>1263779046</v>
      </c>
      <c r="C28" s="231">
        <v>1395672993</v>
      </c>
      <c r="D28" s="106">
        <v>1407530571</v>
      </c>
      <c r="E28" s="106">
        <v>1268128455</v>
      </c>
      <c r="F28" s="106">
        <v>872933544</v>
      </c>
      <c r="G28" s="106">
        <v>738196558</v>
      </c>
      <c r="H28" s="106">
        <v>978975302</v>
      </c>
      <c r="I28" s="106">
        <v>1243909773</v>
      </c>
      <c r="J28" s="106">
        <v>1310015315</v>
      </c>
      <c r="K28" s="106">
        <v>1208033233</v>
      </c>
      <c r="L28" s="106">
        <v>993546162</v>
      </c>
      <c r="M28" s="176">
        <f>'PCR (M2)'!AV28</f>
        <v>897156231</v>
      </c>
      <c r="N28" s="176">
        <f>'PCR (M2)'!AW28</f>
        <v>1208147189</v>
      </c>
      <c r="O28" s="176">
        <f>'PCR (M2)'!AX28</f>
        <v>1334184680</v>
      </c>
      <c r="P28" s="176">
        <f>'PCR (M2)'!AY28</f>
        <v>1302694951</v>
      </c>
      <c r="Q28" s="176">
        <f>'PCR (M2)'!AZ28</f>
        <v>1123586700</v>
      </c>
      <c r="R28" s="176">
        <f>'PCR (M2)'!BA28</f>
        <v>886578697</v>
      </c>
      <c r="S28" s="176">
        <f>'PCR (M2)'!BB28</f>
        <v>790098101</v>
      </c>
      <c r="T28" s="176">
        <f>'PCR (M2)'!BC28</f>
        <v>1041013964</v>
      </c>
      <c r="U28" s="176">
        <f>'PCR (M2)'!BD28</f>
        <v>1397050553</v>
      </c>
      <c r="V28" s="176">
        <f>'PCR (M2)'!BE28</f>
        <v>1310723723</v>
      </c>
      <c r="W28" s="176">
        <f>'PCR (M2)'!BF28</f>
        <v>1275164339</v>
      </c>
      <c r="X28" s="176">
        <f>'PCR (M2)'!BG28</f>
        <v>800796996</v>
      </c>
      <c r="Y28" s="211">
        <f>'[2]M3 Allocations - TD'!X23</f>
        <v>843046412.65697241</v>
      </c>
      <c r="Z28" s="212">
        <f>'[2]M3 Allocations - TD'!Y23</f>
        <v>1216732697.4216664</v>
      </c>
      <c r="AA28" s="213">
        <f>'[2]M3 Allocations - TD'!Z23</f>
        <v>1514533864.5076404</v>
      </c>
      <c r="AB28" s="47"/>
      <c r="AC28" s="50"/>
      <c r="AE28" s="50"/>
    </row>
    <row r="29" spans="1:31" x14ac:dyDescent="0.25">
      <c r="A29" s="47" t="s">
        <v>4</v>
      </c>
      <c r="B29" s="139">
        <v>291652347</v>
      </c>
      <c r="C29" s="231">
        <v>307968093</v>
      </c>
      <c r="D29" s="106">
        <v>308068267</v>
      </c>
      <c r="E29" s="106">
        <v>290178959</v>
      </c>
      <c r="F29" s="106">
        <v>235096003</v>
      </c>
      <c r="G29" s="106">
        <v>221772499</v>
      </c>
      <c r="H29" s="106">
        <v>258735845</v>
      </c>
      <c r="I29" s="106">
        <v>295975497</v>
      </c>
      <c r="J29" s="106">
        <v>304175879</v>
      </c>
      <c r="K29" s="106">
        <v>293549572</v>
      </c>
      <c r="L29" s="106">
        <v>264736629</v>
      </c>
      <c r="M29" s="176">
        <f>'PCR (M2)'!AV29</f>
        <v>237145043</v>
      </c>
      <c r="N29" s="176">
        <f>'PCR (M2)'!AW29</f>
        <v>278572550</v>
      </c>
      <c r="O29" s="176">
        <f>'PCR (M2)'!AX29</f>
        <v>297050898</v>
      </c>
      <c r="P29" s="176">
        <f>'PCR (M2)'!AY29</f>
        <v>290934660</v>
      </c>
      <c r="Q29" s="176">
        <f>'PCR (M2)'!AZ29</f>
        <v>265078600</v>
      </c>
      <c r="R29" s="176">
        <f>'PCR (M2)'!BA29</f>
        <v>203506574</v>
      </c>
      <c r="S29" s="176">
        <f>'PCR (M2)'!BB29</f>
        <v>184563246</v>
      </c>
      <c r="T29" s="176">
        <f>'PCR (M2)'!BC29</f>
        <v>231230759</v>
      </c>
      <c r="U29" s="176">
        <f>'PCR (M2)'!BD29</f>
        <v>288425422</v>
      </c>
      <c r="V29" s="176">
        <f>'PCR (M2)'!BE29</f>
        <v>281389691</v>
      </c>
      <c r="W29" s="176">
        <f>'PCR (M2)'!BF29</f>
        <v>269111017</v>
      </c>
      <c r="X29" s="176">
        <f>'PCR (M2)'!BG29</f>
        <v>218212399</v>
      </c>
      <c r="Y29" s="211">
        <f>'[2]M3 Allocations - TD'!X24</f>
        <v>212506850.43729073</v>
      </c>
      <c r="Z29" s="212">
        <f>'[2]M3 Allocations - TD'!Y24</f>
        <v>247333671.47152999</v>
      </c>
      <c r="AA29" s="213">
        <f>'[2]M3 Allocations - TD'!Z24</f>
        <v>296505448.15133965</v>
      </c>
      <c r="AB29" s="140"/>
      <c r="AC29" s="50"/>
      <c r="AE29" s="50"/>
    </row>
    <row r="30" spans="1:31" x14ac:dyDescent="0.25">
      <c r="A30" s="47" t="s">
        <v>5</v>
      </c>
      <c r="B30" s="139">
        <v>635010680</v>
      </c>
      <c r="C30" s="231">
        <v>645753087</v>
      </c>
      <c r="D30" s="106">
        <v>624256369</v>
      </c>
      <c r="E30" s="106">
        <v>599641261</v>
      </c>
      <c r="F30" s="106">
        <v>546450417</v>
      </c>
      <c r="G30" s="106">
        <v>548775486</v>
      </c>
      <c r="H30" s="106">
        <v>609609142</v>
      </c>
      <c r="I30" s="106">
        <v>656813642</v>
      </c>
      <c r="J30" s="106">
        <v>671886437</v>
      </c>
      <c r="K30" s="106">
        <v>678219627</v>
      </c>
      <c r="L30" s="106">
        <v>622550219</v>
      </c>
      <c r="M30" s="176">
        <f>'PCR (M2)'!AV30</f>
        <v>549600433</v>
      </c>
      <c r="N30" s="176">
        <f>'PCR (M2)'!AW30</f>
        <v>596432225</v>
      </c>
      <c r="O30" s="176">
        <f>'PCR (M2)'!AX30</f>
        <v>616923082</v>
      </c>
      <c r="P30" s="176">
        <f>'PCR (M2)'!AY30</f>
        <v>599527620</v>
      </c>
      <c r="Q30" s="176">
        <f>'PCR (M2)'!AZ30</f>
        <v>566693954</v>
      </c>
      <c r="R30" s="176">
        <f>'PCR (M2)'!BA30</f>
        <v>483801855</v>
      </c>
      <c r="S30" s="176">
        <f>'PCR (M2)'!BB30</f>
        <v>451939609</v>
      </c>
      <c r="T30" s="176">
        <f>'PCR (M2)'!BC30</f>
        <v>534583835</v>
      </c>
      <c r="U30" s="176">
        <f>'PCR (M2)'!BD30</f>
        <v>624356693</v>
      </c>
      <c r="V30" s="176">
        <f>'PCR (M2)'!BE30</f>
        <v>621885740</v>
      </c>
      <c r="W30" s="176">
        <f>'PCR (M2)'!BF30</f>
        <v>619148163</v>
      </c>
      <c r="X30" s="176">
        <f>'PCR (M2)'!BG30</f>
        <v>528448107.69999999</v>
      </c>
      <c r="Y30" s="211">
        <f>'[2]M3 Allocations - TD'!X25</f>
        <v>505406155.39879215</v>
      </c>
      <c r="Z30" s="212">
        <f>'[2]M3 Allocations - TD'!Y25</f>
        <v>533082643.85671055</v>
      </c>
      <c r="AA30" s="213">
        <f>'[2]M3 Allocations - TD'!Z25</f>
        <v>618354607.53746903</v>
      </c>
      <c r="AB30" s="140"/>
      <c r="AC30" s="50"/>
      <c r="AE30" s="50"/>
    </row>
    <row r="31" spans="1:31" x14ac:dyDescent="0.25">
      <c r="A31" s="47" t="s">
        <v>6</v>
      </c>
      <c r="B31" s="139">
        <v>291933586</v>
      </c>
      <c r="C31" s="231">
        <v>252980562</v>
      </c>
      <c r="D31" s="106">
        <v>248710812</v>
      </c>
      <c r="E31" s="106">
        <v>242499726</v>
      </c>
      <c r="F31" s="106">
        <v>232539680</v>
      </c>
      <c r="G31" s="106">
        <v>229224298</v>
      </c>
      <c r="H31" s="106">
        <v>266349220</v>
      </c>
      <c r="I31" s="106">
        <v>267674678</v>
      </c>
      <c r="J31" s="106">
        <v>281003685</v>
      </c>
      <c r="K31" s="106">
        <v>279302255</v>
      </c>
      <c r="L31" s="106">
        <v>258807768</v>
      </c>
      <c r="M31" s="176">
        <f>'PCR (M2)'!AV31</f>
        <v>239334214</v>
      </c>
      <c r="N31" s="176">
        <f>'PCR (M2)'!AW31</f>
        <v>241025466</v>
      </c>
      <c r="O31" s="176">
        <f>'PCR (M2)'!AX31</f>
        <v>247898204</v>
      </c>
      <c r="P31" s="176">
        <f>'PCR (M2)'!AY31</f>
        <v>255420215</v>
      </c>
      <c r="Q31" s="176">
        <f>'PCR (M2)'!AZ31</f>
        <v>225135566</v>
      </c>
      <c r="R31" s="176">
        <f>'PCR (M2)'!BA31</f>
        <v>219961316</v>
      </c>
      <c r="S31" s="176">
        <f>'PCR (M2)'!BB31</f>
        <v>207074154</v>
      </c>
      <c r="T31" s="176">
        <f>'PCR (M2)'!BC31</f>
        <v>241165089</v>
      </c>
      <c r="U31" s="176">
        <f>'PCR (M2)'!BD31</f>
        <v>253833450</v>
      </c>
      <c r="V31" s="176">
        <f>'PCR (M2)'!BE31</f>
        <v>266058831</v>
      </c>
      <c r="W31" s="176">
        <f>'PCR (M2)'!BF31</f>
        <v>266126792</v>
      </c>
      <c r="X31" s="176">
        <f>'PCR (M2)'!BG31</f>
        <v>236673642.40000001</v>
      </c>
      <c r="Y31" s="211">
        <f>'[2]M3 Allocations - TD'!X26</f>
        <v>217834796.02862665</v>
      </c>
      <c r="Z31" s="212">
        <f>'[2]M3 Allocations - TD'!Y26</f>
        <v>220250790.93781009</v>
      </c>
      <c r="AA31" s="213">
        <f>'[2]M3 Allocations - TD'!Z26</f>
        <v>253688796.86089924</v>
      </c>
      <c r="AB31" s="140"/>
      <c r="AC31" s="50"/>
      <c r="AE31" s="50"/>
    </row>
    <row r="32" spans="1:31" x14ac:dyDescent="0.25">
      <c r="A32" s="47" t="s">
        <v>7</v>
      </c>
      <c r="B32" s="139">
        <v>135972391</v>
      </c>
      <c r="C32" s="231">
        <v>101960146</v>
      </c>
      <c r="D32" s="106">
        <v>96075286</v>
      </c>
      <c r="E32" s="106">
        <v>99309923</v>
      </c>
      <c r="F32" s="106">
        <v>98876748</v>
      </c>
      <c r="G32" s="106">
        <v>96480454</v>
      </c>
      <c r="H32" s="106">
        <v>121526151</v>
      </c>
      <c r="I32" s="106">
        <v>113123855</v>
      </c>
      <c r="J32" s="106">
        <v>125262874</v>
      </c>
      <c r="K32" s="106">
        <v>126945040</v>
      </c>
      <c r="L32" s="106">
        <v>119752379</v>
      </c>
      <c r="M32" s="176">
        <f>'PCR (M2)'!AV32</f>
        <v>106348532</v>
      </c>
      <c r="N32" s="176">
        <f>'PCR (M2)'!AW32</f>
        <v>100067076</v>
      </c>
      <c r="O32" s="176">
        <f>'PCR (M2)'!AX32</f>
        <v>105899561</v>
      </c>
      <c r="P32" s="176">
        <f>'PCR (M2)'!AY32</f>
        <v>111203176</v>
      </c>
      <c r="Q32" s="176">
        <f>'PCR (M2)'!AZ32</f>
        <v>86704807</v>
      </c>
      <c r="R32" s="176">
        <f>'PCR (M2)'!BA32</f>
        <v>92097434</v>
      </c>
      <c r="S32" s="176">
        <f>'PCR (M2)'!BB32</f>
        <v>93506334</v>
      </c>
      <c r="T32" s="176">
        <f>'PCR (M2)'!BC32</f>
        <v>92139707</v>
      </c>
      <c r="U32" s="176">
        <f>'PCR (M2)'!BD32</f>
        <v>105110654</v>
      </c>
      <c r="V32" s="176">
        <f>'PCR (M2)'!BE32</f>
        <v>108265948</v>
      </c>
      <c r="W32" s="176">
        <f>'PCR (M2)'!BF32</f>
        <v>109806573</v>
      </c>
      <c r="X32" s="176">
        <f>'PCR (M2)'!BG32</f>
        <v>96724322.099999994</v>
      </c>
      <c r="Y32" s="211">
        <f>'[2]M3 Allocations - TD'!X27</f>
        <v>95672806.813029289</v>
      </c>
      <c r="Z32" s="212">
        <f>'[2]M3 Allocations - TD'!Y27</f>
        <v>93476252.987985492</v>
      </c>
      <c r="AA32" s="213">
        <f>'[2]M3 Allocations - TD'!Z27</f>
        <v>101653829.93562543</v>
      </c>
      <c r="AB32" s="140"/>
      <c r="AC32" s="50"/>
      <c r="AE32" s="50"/>
    </row>
    <row r="33" spans="1:29" x14ac:dyDescent="0.25">
      <c r="B33" s="97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5"/>
      <c r="Z33" s="96"/>
      <c r="AA33" s="99"/>
    </row>
    <row r="34" spans="1:29" x14ac:dyDescent="0.25">
      <c r="A34" s="162" t="s">
        <v>87</v>
      </c>
      <c r="B34" s="97"/>
      <c r="C34" s="96"/>
      <c r="D34" s="100" t="s">
        <v>68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5"/>
      <c r="Z34" s="96"/>
      <c r="AA34" s="99"/>
      <c r="AB34" s="113" t="s">
        <v>104</v>
      </c>
      <c r="AC34" s="47"/>
    </row>
    <row r="35" spans="1:29" x14ac:dyDescent="0.25">
      <c r="A35" s="47" t="str">
        <f>A28</f>
        <v>RES</v>
      </c>
      <c r="B35" s="91">
        <v>0</v>
      </c>
      <c r="C35" s="92">
        <v>0</v>
      </c>
      <c r="D35" s="92">
        <v>0</v>
      </c>
      <c r="E35" s="92">
        <v>0</v>
      </c>
      <c r="F35" s="92">
        <v>0</v>
      </c>
      <c r="G35" s="92">
        <v>289499.78000000003</v>
      </c>
      <c r="H35" s="92">
        <v>3493862.36</v>
      </c>
      <c r="I35" s="92">
        <v>4445139.01</v>
      </c>
      <c r="J35" s="92">
        <v>4681976.07</v>
      </c>
      <c r="K35" s="92">
        <v>4319414.5</v>
      </c>
      <c r="L35" s="92">
        <v>3549657.98</v>
      </c>
      <c r="M35" s="92">
        <f>-'[1]PCR.3 (M3)'!H6</f>
        <v>3184566.3699999996</v>
      </c>
      <c r="N35" s="92">
        <f>-'[1]PCR.3 (M3)'!I6</f>
        <v>4285013.4600000009</v>
      </c>
      <c r="O35" s="92">
        <f>-'[1]PCR.3 (M3)'!J6</f>
        <v>4732019.1900000004</v>
      </c>
      <c r="P35" s="92">
        <f>-'[1]PCR.3 (M3)'!K6</f>
        <v>3962656.08</v>
      </c>
      <c r="Q35" s="92">
        <f>-'[1]PCR.3 (M3)'!L6</f>
        <v>2713714.5100000002</v>
      </c>
      <c r="R35" s="92">
        <f>-'[1]PCR.3 (M3)'!M6</f>
        <v>2142098.6700000004</v>
      </c>
      <c r="S35" s="92">
        <f>-'[1]PCR.3 (M3)'!N6</f>
        <v>1914072.4000000001</v>
      </c>
      <c r="T35" s="92">
        <f>-'[1]PCR.3 (M3)'!O6</f>
        <v>2533457.85</v>
      </c>
      <c r="U35" s="92">
        <f>-'[1]PCR.3 (M3)'!P6</f>
        <v>3403481.3100000005</v>
      </c>
      <c r="V35" s="92">
        <f>-'[1]PCR.3 (M3)'!Q6</f>
        <v>3194801.5599999996</v>
      </c>
      <c r="W35" s="92">
        <f>-'[1]PCR.3 (M3)'!R6</f>
        <v>2879273.7199999997</v>
      </c>
      <c r="X35" s="92">
        <f>-'[1]PCR.3 (M3)'!S6</f>
        <v>1945915.5300000005</v>
      </c>
      <c r="Y35" s="107">
        <f>Y28*$AB35+Y49</f>
        <v>2042074.3843455717</v>
      </c>
      <c r="Z35" s="108">
        <f t="shared" ref="Z35:AA35" si="40">Z28*$AB35+Z49</f>
        <v>2947238.2975567686</v>
      </c>
      <c r="AA35" s="112">
        <f t="shared" si="40"/>
        <v>3668589.0153872068</v>
      </c>
      <c r="AB35" s="102">
        <v>2.5010000000000002E-3</v>
      </c>
      <c r="AC35" s="47"/>
    </row>
    <row r="36" spans="1:29" x14ac:dyDescent="0.25">
      <c r="A36" s="47" t="str">
        <f>A29</f>
        <v>SGS</v>
      </c>
      <c r="B36" s="91">
        <v>0</v>
      </c>
      <c r="C36" s="92">
        <v>0</v>
      </c>
      <c r="D36" s="92">
        <v>0</v>
      </c>
      <c r="E36" s="92">
        <v>0</v>
      </c>
      <c r="F36" s="92">
        <v>0</v>
      </c>
      <c r="G36" s="92">
        <v>44896.13</v>
      </c>
      <c r="H36" s="92">
        <v>580328.65</v>
      </c>
      <c r="I36" s="92">
        <v>664135.86</v>
      </c>
      <c r="J36" s="92">
        <v>682667.24</v>
      </c>
      <c r="K36" s="92">
        <v>659188.43000000005</v>
      </c>
      <c r="L36" s="92">
        <v>593334.67000000004</v>
      </c>
      <c r="M36" s="92">
        <f>-'[1]PCR.3 (M3)'!H7</f>
        <v>532142.30000000005</v>
      </c>
      <c r="N36" s="92">
        <f>-'[1]PCR.3 (M3)'!I7</f>
        <v>625476.50000000012</v>
      </c>
      <c r="O36" s="92">
        <f>-'[1]PCR.3 (M3)'!J7</f>
        <v>667032.46</v>
      </c>
      <c r="P36" s="92">
        <f>-'[1]PCR.3 (M3)'!K7</f>
        <v>650318.64000000025</v>
      </c>
      <c r="Q36" s="92">
        <f>-'[1]PCR.3 (M3)'!L7</f>
        <v>589395.70000000007</v>
      </c>
      <c r="R36" s="92">
        <f>-'[1]PCR.3 (M3)'!M7</f>
        <v>452489.25000000012</v>
      </c>
      <c r="S36" s="92">
        <f>-'[1]PCR.3 (M3)'!N7</f>
        <v>410293.00999999995</v>
      </c>
      <c r="T36" s="92">
        <f>-'[1]PCR.3 (M3)'!O7</f>
        <v>515073.51000000007</v>
      </c>
      <c r="U36" s="92">
        <f>-'[1]PCR.3 (M3)'!P7</f>
        <v>641353.99000000011</v>
      </c>
      <c r="V36" s="92">
        <f>-'[1]PCR.3 (M3)'!Q7</f>
        <v>625207.79</v>
      </c>
      <c r="W36" s="92">
        <f>-'[1]PCR.3 (M3)'!R7</f>
        <v>598408.66</v>
      </c>
      <c r="X36" s="92">
        <f>-'[1]PCR.3 (M3)'!S7</f>
        <v>485076.41000000003</v>
      </c>
      <c r="Y36" s="107">
        <f>Y29*$AB36</f>
        <v>472827.74222297186</v>
      </c>
      <c r="Z36" s="108">
        <f t="shared" ref="Y36:AA39" si="41">Z29*$AB36</f>
        <v>550317.41902415419</v>
      </c>
      <c r="AA36" s="112">
        <f t="shared" si="41"/>
        <v>659724.6221367307</v>
      </c>
      <c r="AB36" s="102">
        <v>2.225E-3</v>
      </c>
      <c r="AC36" s="47"/>
    </row>
    <row r="37" spans="1:29" x14ac:dyDescent="0.25">
      <c r="A37" s="47" t="str">
        <f>A30</f>
        <v>LGS</v>
      </c>
      <c r="B37" s="91">
        <v>0</v>
      </c>
      <c r="C37" s="92">
        <v>0</v>
      </c>
      <c r="D37" s="92">
        <v>0</v>
      </c>
      <c r="E37" s="92">
        <v>0</v>
      </c>
      <c r="F37" s="92">
        <v>0</v>
      </c>
      <c r="G37" s="92">
        <v>87272.5</v>
      </c>
      <c r="H37" s="92">
        <v>1364606.7</v>
      </c>
      <c r="I37" s="92">
        <v>1475091.82</v>
      </c>
      <c r="J37" s="92">
        <v>1510112.96</v>
      </c>
      <c r="K37" s="92">
        <v>1524107.45</v>
      </c>
      <c r="L37" s="92">
        <v>1400188.8</v>
      </c>
      <c r="M37" s="92">
        <f>-'[1]PCR.3 (M3)'!H8</f>
        <v>1236190.8299999998</v>
      </c>
      <c r="N37" s="92">
        <f>-'[1]PCR.3 (M3)'!I8</f>
        <v>1340183.3500000001</v>
      </c>
      <c r="O37" s="92">
        <f>-'[1]PCR.3 (M3)'!J8</f>
        <v>1386306.3800000001</v>
      </c>
      <c r="P37" s="92">
        <f>-'[1]PCR.3 (M3)'!K8</f>
        <v>1341932.4499999995</v>
      </c>
      <c r="Q37" s="92">
        <f>-'[1]PCR.3 (M3)'!L8</f>
        <v>1260285.4200000002</v>
      </c>
      <c r="R37" s="92">
        <f>-'[1]PCR.3 (M3)'!M8</f>
        <v>1076944.29</v>
      </c>
      <c r="S37" s="92">
        <f>-'[1]PCR.3 (M3)'!N8</f>
        <v>1004472.6400000001</v>
      </c>
      <c r="T37" s="92">
        <f>-'[1]PCR.3 (M3)'!O8</f>
        <v>1190333.8399999999</v>
      </c>
      <c r="U37" s="92">
        <f>-'[1]PCR.3 (M3)'!P8</f>
        <v>1389824.6600000001</v>
      </c>
      <c r="V37" s="92">
        <f>-'[1]PCR.3 (M3)'!Q8</f>
        <v>1384740.8900000004</v>
      </c>
      <c r="W37" s="92">
        <f>-'[1]PCR.3 (M3)'!R8</f>
        <v>1378224.84</v>
      </c>
      <c r="X37" s="92">
        <f>-'[1]PCR.3 (M3)'!S8</f>
        <v>1175985.6699999997</v>
      </c>
      <c r="Y37" s="107">
        <f>Y30*$AB37</f>
        <v>1125034.1019177113</v>
      </c>
      <c r="Z37" s="108">
        <f t="shared" si="41"/>
        <v>1186641.9652250377</v>
      </c>
      <c r="AA37" s="112">
        <f t="shared" si="41"/>
        <v>1376457.3563784061</v>
      </c>
      <c r="AB37" s="102">
        <v>2.2260000000000001E-3</v>
      </c>
      <c r="AC37" s="47"/>
    </row>
    <row r="38" spans="1:29" x14ac:dyDescent="0.25">
      <c r="A38" s="47" t="str">
        <f>A31</f>
        <v>SPS</v>
      </c>
      <c r="B38" s="91">
        <v>0</v>
      </c>
      <c r="C38" s="92">
        <v>0</v>
      </c>
      <c r="D38" s="92">
        <v>0</v>
      </c>
      <c r="E38" s="92">
        <v>0</v>
      </c>
      <c r="F38" s="92">
        <v>0</v>
      </c>
      <c r="G38" s="92">
        <v>31340.22</v>
      </c>
      <c r="H38" s="92">
        <v>530881.18000000005</v>
      </c>
      <c r="I38" s="92">
        <v>601464.24</v>
      </c>
      <c r="J38" s="92">
        <v>631415.18999999994</v>
      </c>
      <c r="K38" s="92">
        <v>627574.68000000005</v>
      </c>
      <c r="L38" s="92">
        <v>581541.01</v>
      </c>
      <c r="M38" s="92">
        <f>-'[1]PCR.3 (M3)'!H9</f>
        <v>537784.03</v>
      </c>
      <c r="N38" s="92">
        <f>-'[1]PCR.3 (M3)'!I9</f>
        <v>541470.15999999992</v>
      </c>
      <c r="O38" s="92">
        <f>-'[1]PCR.3 (M3)'!J9</f>
        <v>557029.80999999994</v>
      </c>
      <c r="P38" s="92">
        <f>-'[1]PCR.3 (M3)'!K9</f>
        <v>574111.24000000011</v>
      </c>
      <c r="Q38" s="92">
        <f>-'[1]PCR.3 (M3)'!L9</f>
        <v>506325.93000000017</v>
      </c>
      <c r="R38" s="92">
        <f>-'[1]PCR.3 (M3)'!M9</f>
        <v>494693.01000000007</v>
      </c>
      <c r="S38" s="92">
        <f>-'[1]PCR.3 (M3)'!N9</f>
        <v>465711.4599999999</v>
      </c>
      <c r="T38" s="92">
        <f>-'[1]PCR.3 (M3)'!O9</f>
        <v>542380.22999999986</v>
      </c>
      <c r="U38" s="92">
        <f>-'[1]PCR.3 (M3)'!P9</f>
        <v>570871.37000000011</v>
      </c>
      <c r="V38" s="92">
        <f>-'[1]PCR.3 (M3)'!Q9</f>
        <v>598366.41000000015</v>
      </c>
      <c r="W38" s="92">
        <f>-'[1]PCR.3 (M3)'!R9</f>
        <v>598519.19000000006</v>
      </c>
      <c r="X38" s="92">
        <f>-'[1]PCR.3 (M3)'!S9</f>
        <v>532005.64</v>
      </c>
      <c r="Y38" s="107">
        <f t="shared" si="41"/>
        <v>489910.45626838139</v>
      </c>
      <c r="Z38" s="108">
        <f t="shared" si="41"/>
        <v>495344.02881913492</v>
      </c>
      <c r="AA38" s="112">
        <f t="shared" si="41"/>
        <v>570546.10414016247</v>
      </c>
      <c r="AB38" s="102">
        <v>2.2490000000000001E-3</v>
      </c>
      <c r="AC38" s="47"/>
    </row>
    <row r="39" spans="1:29" x14ac:dyDescent="0.25">
      <c r="A39" s="47" t="str">
        <f>A32</f>
        <v>LPS</v>
      </c>
      <c r="B39" s="91">
        <v>0</v>
      </c>
      <c r="C39" s="92">
        <v>0</v>
      </c>
      <c r="D39" s="92">
        <v>0</v>
      </c>
      <c r="E39" s="92">
        <v>0</v>
      </c>
      <c r="F39" s="92">
        <v>0</v>
      </c>
      <c r="G39" s="92">
        <v>0</v>
      </c>
      <c r="H39" s="92">
        <v>161719.88</v>
      </c>
      <c r="I39" s="92">
        <v>254189.3</v>
      </c>
      <c r="J39" s="92">
        <v>281465.65999999997</v>
      </c>
      <c r="K39" s="92">
        <v>285245.49</v>
      </c>
      <c r="L39" s="92">
        <v>269083.57</v>
      </c>
      <c r="M39" s="92">
        <f>-'[1]PCR.3 (M3)'!H10</f>
        <v>238965.13999999998</v>
      </c>
      <c r="N39" s="92">
        <f>-'[1]PCR.3 (M3)'!I10</f>
        <v>224850.72999999998</v>
      </c>
      <c r="O39" s="92">
        <f>-'[1]PCR.3 (M3)'!J10</f>
        <v>237956.31</v>
      </c>
      <c r="P39" s="92">
        <f>-'[1]PCR.3 (M3)'!K10</f>
        <v>251565.01000000004</v>
      </c>
      <c r="Q39" s="92">
        <f>-'[1]PCR.3 (M3)'!L10</f>
        <v>189097.33</v>
      </c>
      <c r="R39" s="92">
        <f>-'[1]PCR.3 (M3)'!M10</f>
        <v>213113.47</v>
      </c>
      <c r="S39" s="92">
        <f>-'[1]PCR.3 (M3)'!N10</f>
        <v>216373.66000000003</v>
      </c>
      <c r="T39" s="92">
        <f>-'[1]PCR.3 (M3)'!O10</f>
        <v>116492.81999999998</v>
      </c>
      <c r="U39" s="92">
        <f>-'[1]PCR.3 (M3)'!P10</f>
        <v>243226.06999999998</v>
      </c>
      <c r="V39" s="92">
        <f>-'[1]PCR.3 (M3)'!Q10</f>
        <v>250527.38000000003</v>
      </c>
      <c r="W39" s="92">
        <f>-'[1]PCR.3 (M3)'!R10</f>
        <v>254092.40000000002</v>
      </c>
      <c r="X39" s="92">
        <f>-'[1]PCR.3 (M3)'!S10</f>
        <v>223814.44</v>
      </c>
      <c r="Y39" s="107">
        <f t="shared" si="41"/>
        <v>221386.87496534979</v>
      </c>
      <c r="Z39" s="108">
        <f t="shared" si="41"/>
        <v>216304.04941419844</v>
      </c>
      <c r="AA39" s="112">
        <f t="shared" si="41"/>
        <v>235226.96247103726</v>
      </c>
      <c r="AB39" s="102">
        <v>2.3140000000000001E-3</v>
      </c>
      <c r="AC39" s="47"/>
    </row>
    <row r="40" spans="1:29" x14ac:dyDescent="0.25">
      <c r="A40" s="47"/>
      <c r="B40" s="97"/>
      <c r="C40" s="105"/>
      <c r="D40" s="96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95"/>
      <c r="Z40" s="96"/>
      <c r="AA40" s="99"/>
    </row>
    <row r="41" spans="1:29" x14ac:dyDescent="0.25">
      <c r="A41" s="47" t="s">
        <v>102</v>
      </c>
      <c r="B41" s="202"/>
      <c r="C41" s="199"/>
      <c r="D41" s="100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5"/>
      <c r="Z41" s="96"/>
      <c r="AA41" s="99"/>
    </row>
    <row r="42" spans="1:29" x14ac:dyDescent="0.25">
      <c r="A42" s="162" t="s">
        <v>0</v>
      </c>
      <c r="B42" s="107">
        <v>0</v>
      </c>
      <c r="C42" s="111">
        <v>0</v>
      </c>
      <c r="D42" s="111">
        <v>0</v>
      </c>
      <c r="E42" s="111">
        <v>0</v>
      </c>
      <c r="F42" s="111">
        <v>0</v>
      </c>
      <c r="G42" s="134">
        <f>+(G35-G49)+(G49*G35/SUM(G35:G39))</f>
        <v>292936.79327111586</v>
      </c>
      <c r="H42" s="111">
        <f t="shared" ref="H42:AA42" si="42">+(H35-H49)+(H49*H35/SUM(H35:H39))</f>
        <v>3538896.3481180966</v>
      </c>
      <c r="I42" s="111">
        <f t="shared" si="42"/>
        <v>4496813.2826818805</v>
      </c>
      <c r="J42" s="111">
        <f t="shared" ref="J42:L42" si="43">+(J35-J49)+(J49*J35/SUM(J35:J39))</f>
        <v>4736497.0106670661</v>
      </c>
      <c r="K42" s="111">
        <f t="shared" si="43"/>
        <v>4371395.2080604704</v>
      </c>
      <c r="L42" s="111">
        <f t="shared" si="43"/>
        <v>3596564.2038589981</v>
      </c>
      <c r="M42" s="111">
        <f t="shared" ref="M42:W42" si="44">+(M35-M49)+(M49*M35/SUM(M35:M39))</f>
        <v>3236035.6914828485</v>
      </c>
      <c r="N42" s="111">
        <f t="shared" si="44"/>
        <v>4347172.150770409</v>
      </c>
      <c r="O42" s="111">
        <f t="shared" si="44"/>
        <v>4798285.9787176568</v>
      </c>
      <c r="P42" s="111">
        <f t="shared" si="44"/>
        <v>4026209.0912509938</v>
      </c>
      <c r="Q42" s="111">
        <f t="shared" si="44"/>
        <v>2764246.381875135</v>
      </c>
      <c r="R42" s="111">
        <f t="shared" si="44"/>
        <v>2180625.249807212</v>
      </c>
      <c r="S42" s="111">
        <f t="shared" si="44"/>
        <v>1946565.5208135028</v>
      </c>
      <c r="T42" s="111">
        <f t="shared" si="44"/>
        <v>2567502.121250682</v>
      </c>
      <c r="U42" s="111">
        <f t="shared" si="44"/>
        <v>3444792.2110946057</v>
      </c>
      <c r="V42" s="111">
        <f t="shared" si="44"/>
        <v>3234386.4221145427</v>
      </c>
      <c r="W42" s="111">
        <f t="shared" si="44"/>
        <v>2917338.4914510353</v>
      </c>
      <c r="X42" s="111">
        <f t="shared" ref="X42" si="45">+(X35-X49)+(X49*X35/SUM(X35:X39))</f>
        <v>1977751.476727305</v>
      </c>
      <c r="Y42" s="107">
        <f>+(Y35-Y49)+(Y49*Y35/SUM(Y35:Y39))</f>
        <v>2077304.1237929789</v>
      </c>
      <c r="Z42" s="111">
        <f t="shared" si="42"/>
        <v>2990716.4711308423</v>
      </c>
      <c r="AA42" s="112">
        <f t="shared" si="42"/>
        <v>3720647.9625908029</v>
      </c>
    </row>
    <row r="43" spans="1:29" x14ac:dyDescent="0.25">
      <c r="A43" s="162" t="s">
        <v>4</v>
      </c>
      <c r="B43" s="107">
        <v>0</v>
      </c>
      <c r="C43" s="111">
        <v>0</v>
      </c>
      <c r="D43" s="111">
        <v>0</v>
      </c>
      <c r="E43" s="111">
        <v>0</v>
      </c>
      <c r="F43" s="111">
        <v>0</v>
      </c>
      <c r="G43" s="111">
        <f t="shared" ref="G43:AA43" si="46">+G36+(G49*G36/SUM(G35:G39))</f>
        <v>43952.397629356201</v>
      </c>
      <c r="H43" s="111">
        <f t="shared" si="46"/>
        <v>570419.96649155463</v>
      </c>
      <c r="I43" s="111">
        <f t="shared" si="46"/>
        <v>652676.72856658197</v>
      </c>
      <c r="J43" s="111">
        <f t="shared" ref="J43:L43" si="47">+J36+(J49*J36/SUM(J35:J39))</f>
        <v>670682.78339376801</v>
      </c>
      <c r="K43" s="111">
        <f t="shared" si="47"/>
        <v>648121.31210670609</v>
      </c>
      <c r="L43" s="111">
        <f t="shared" si="47"/>
        <v>583549.28317587718</v>
      </c>
      <c r="M43" s="111">
        <f t="shared" ref="M43:W43" si="48">+M36+(M49*M36/SUM(M35:M39))</f>
        <v>521380.76073137886</v>
      </c>
      <c r="N43" s="111">
        <f t="shared" si="48"/>
        <v>611245.5064287727</v>
      </c>
      <c r="O43" s="111">
        <f t="shared" si="48"/>
        <v>651513.83073003101</v>
      </c>
      <c r="P43" s="111">
        <f t="shared" si="48"/>
        <v>635651.93541256012</v>
      </c>
      <c r="Q43" s="111">
        <f t="shared" si="48"/>
        <v>577693.5206197754</v>
      </c>
      <c r="R43" s="111">
        <f t="shared" si="48"/>
        <v>444697.12083809177</v>
      </c>
      <c r="S43" s="111">
        <f t="shared" si="48"/>
        <v>403935.04665153252</v>
      </c>
      <c r="T43" s="111">
        <f t="shared" si="48"/>
        <v>507656.74915873911</v>
      </c>
      <c r="U43" s="111">
        <f t="shared" si="48"/>
        <v>632042.09533338435</v>
      </c>
      <c r="V43" s="111">
        <f t="shared" si="48"/>
        <v>616550.87223702576</v>
      </c>
      <c r="W43" s="111">
        <f t="shared" si="48"/>
        <v>590357.64704331756</v>
      </c>
      <c r="X43" s="111">
        <f t="shared" ref="X43" si="49">+X36+(X49*X36/SUM(X35:X39))</f>
        <v>478686.82799926563</v>
      </c>
      <c r="Y43" s="107">
        <f t="shared" si="46"/>
        <v>465614.03502614331</v>
      </c>
      <c r="Z43" s="111">
        <f t="shared" si="46"/>
        <v>540545.82572805672</v>
      </c>
      <c r="AA43" s="112">
        <f t="shared" si="46"/>
        <v>647639.78309903166</v>
      </c>
    </row>
    <row r="44" spans="1:29" x14ac:dyDescent="0.25">
      <c r="A44" s="162" t="s">
        <v>5</v>
      </c>
      <c r="B44" s="107">
        <v>0</v>
      </c>
      <c r="C44" s="111">
        <v>0</v>
      </c>
      <c r="D44" s="111">
        <v>0</v>
      </c>
      <c r="E44" s="111">
        <v>0</v>
      </c>
      <c r="F44" s="111">
        <v>0</v>
      </c>
      <c r="G44" s="111">
        <f t="shared" ref="G44:AA44" si="50">+G37+(G49*G37/SUM(G35:G39))</f>
        <v>85438.001496075245</v>
      </c>
      <c r="H44" s="111">
        <f t="shared" si="50"/>
        <v>1341307.04746035</v>
      </c>
      <c r="I44" s="111">
        <f t="shared" si="50"/>
        <v>1449640.2941002545</v>
      </c>
      <c r="J44" s="111">
        <f t="shared" ref="J44:L44" si="51">+J37+(J49*J37/SUM(J35:J39))</f>
        <v>1483602.4111129192</v>
      </c>
      <c r="K44" s="111">
        <f t="shared" si="51"/>
        <v>1498519.202294867</v>
      </c>
      <c r="L44" s="111">
        <f t="shared" si="51"/>
        <v>1377096.6233119187</v>
      </c>
      <c r="M44" s="111">
        <f t="shared" ref="M44:W44" si="52">+M37+(M49*M37/SUM(M35:M39))</f>
        <v>1211191.283524265</v>
      </c>
      <c r="N44" s="111">
        <f t="shared" si="52"/>
        <v>1309691.1722153574</v>
      </c>
      <c r="O44" s="111">
        <f t="shared" si="52"/>
        <v>1354053.714566278</v>
      </c>
      <c r="P44" s="111">
        <f t="shared" si="52"/>
        <v>1311667.7065190964</v>
      </c>
      <c r="Q44" s="111">
        <f t="shared" si="52"/>
        <v>1235263.0351147323</v>
      </c>
      <c r="R44" s="111">
        <f t="shared" si="52"/>
        <v>1058398.6803355501</v>
      </c>
      <c r="S44" s="111">
        <f t="shared" si="52"/>
        <v>988907.17806425248</v>
      </c>
      <c r="T44" s="111">
        <f t="shared" si="52"/>
        <v>1173193.7206944278</v>
      </c>
      <c r="U44" s="111">
        <f t="shared" si="52"/>
        <v>1369645.630882266</v>
      </c>
      <c r="V44" s="111">
        <f t="shared" si="52"/>
        <v>1365567.1237746021</v>
      </c>
      <c r="W44" s="111">
        <f t="shared" si="52"/>
        <v>1359682.1503870829</v>
      </c>
      <c r="X44" s="111">
        <f t="shared" ref="X44" si="53">+X37+(X49*X37/SUM(X35:X39))</f>
        <v>1160495.2097029227</v>
      </c>
      <c r="Y44" s="107">
        <f t="shared" si="50"/>
        <v>1107869.9935692332</v>
      </c>
      <c r="Z44" s="111">
        <f t="shared" si="50"/>
        <v>1165571.6115138608</v>
      </c>
      <c r="AA44" s="112">
        <f t="shared" si="50"/>
        <v>1351243.4034108568</v>
      </c>
    </row>
    <row r="45" spans="1:29" x14ac:dyDescent="0.25">
      <c r="A45" s="162" t="s">
        <v>6</v>
      </c>
      <c r="B45" s="107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f t="shared" ref="G45:AA45" si="54">+G38+(G49*G38/SUM(G35:G39))</f>
        <v>30681.437603452723</v>
      </c>
      <c r="H45" s="111">
        <f t="shared" si="54"/>
        <v>521816.7755574311</v>
      </c>
      <c r="I45" s="111">
        <f t="shared" si="54"/>
        <v>591086.4570887431</v>
      </c>
      <c r="J45" s="111">
        <f t="shared" ref="J45:L45" si="55">+J38+(J49*J38/SUM(J35:J39))</f>
        <v>620330.48063988669</v>
      </c>
      <c r="K45" s="111">
        <f t="shared" si="55"/>
        <v>617038.32551573485</v>
      </c>
      <c r="L45" s="111">
        <f t="shared" si="55"/>
        <v>571950.12643180881</v>
      </c>
      <c r="M45" s="111">
        <f t="shared" ref="M45:W45" si="56">+M38+(M49*M38/SUM(M35:M39))</f>
        <v>526908.39775486116</v>
      </c>
      <c r="N45" s="111">
        <f t="shared" si="56"/>
        <v>529150.49912389752</v>
      </c>
      <c r="O45" s="111">
        <f t="shared" si="56"/>
        <v>544070.41202150995</v>
      </c>
      <c r="P45" s="111">
        <f t="shared" si="56"/>
        <v>561163.24890841928</v>
      </c>
      <c r="Q45" s="111">
        <f t="shared" si="56"/>
        <v>496273.06253300118</v>
      </c>
      <c r="R45" s="111">
        <f t="shared" si="56"/>
        <v>486174.1074417333</v>
      </c>
      <c r="S45" s="111">
        <f t="shared" si="56"/>
        <v>458494.72385906184</v>
      </c>
      <c r="T45" s="111">
        <f t="shared" si="56"/>
        <v>534570.26817350613</v>
      </c>
      <c r="U45" s="111">
        <f t="shared" si="56"/>
        <v>562582.82085473544</v>
      </c>
      <c r="V45" s="111">
        <f t="shared" si="56"/>
        <v>590081.15046493232</v>
      </c>
      <c r="W45" s="111">
        <f t="shared" si="56"/>
        <v>590466.68996847793</v>
      </c>
      <c r="X45" s="111">
        <f t="shared" ref="X45" si="57">+X38+(X49*X38/SUM(X35:X39))</f>
        <v>524997.89113496407</v>
      </c>
      <c r="Y45" s="107">
        <f t="shared" si="54"/>
        <v>482436.12625642063</v>
      </c>
      <c r="Z45" s="111">
        <f t="shared" si="54"/>
        <v>486548.55874323944</v>
      </c>
      <c r="AA45" s="112">
        <f t="shared" si="54"/>
        <v>560094.83765599132</v>
      </c>
    </row>
    <row r="46" spans="1:29" x14ac:dyDescent="0.25">
      <c r="A46" s="162" t="s">
        <v>7</v>
      </c>
      <c r="B46" s="107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f t="shared" ref="G46:AA46" si="58">+G39+(G49*G39/SUM(G35:G39))</f>
        <v>0</v>
      </c>
      <c r="H46" s="111">
        <f t="shared" si="58"/>
        <v>158958.63237256723</v>
      </c>
      <c r="I46" s="111">
        <f t="shared" si="58"/>
        <v>249803.46756253979</v>
      </c>
      <c r="J46" s="111">
        <f t="shared" ref="J46:L46" si="59">+J39+(J49*J39/SUM(J35:J39))</f>
        <v>276524.43418635987</v>
      </c>
      <c r="K46" s="111">
        <f t="shared" si="59"/>
        <v>280456.50202222192</v>
      </c>
      <c r="L46" s="111">
        <f t="shared" si="59"/>
        <v>264645.79322139721</v>
      </c>
      <c r="M46" s="111">
        <f t="shared" ref="M46:W46" si="60">+M39+(M49*M39/SUM(M35:M39))</f>
        <v>234132.53650664576</v>
      </c>
      <c r="N46" s="111">
        <f t="shared" si="60"/>
        <v>219734.87146156441</v>
      </c>
      <c r="O46" s="111">
        <f t="shared" si="60"/>
        <v>232420.21396452401</v>
      </c>
      <c r="P46" s="111">
        <f t="shared" si="60"/>
        <v>245891.43790893033</v>
      </c>
      <c r="Q46" s="111">
        <f t="shared" si="60"/>
        <v>185342.88985735635</v>
      </c>
      <c r="R46" s="111">
        <f t="shared" si="60"/>
        <v>209443.5315774132</v>
      </c>
      <c r="S46" s="111">
        <f t="shared" si="60"/>
        <v>213020.70061165033</v>
      </c>
      <c r="T46" s="111">
        <f t="shared" si="60"/>
        <v>114815.39072264486</v>
      </c>
      <c r="U46" s="111">
        <f t="shared" si="60"/>
        <v>239694.64183500968</v>
      </c>
      <c r="V46" s="111">
        <f t="shared" si="60"/>
        <v>247058.46140889704</v>
      </c>
      <c r="W46" s="111">
        <f t="shared" si="60"/>
        <v>250673.83115008639</v>
      </c>
      <c r="X46" s="111">
        <f t="shared" ref="X46" si="61">+X39+(X49*X39/SUM(X35:X39))</f>
        <v>220866.28443554274</v>
      </c>
      <c r="Y46" s="107">
        <f t="shared" si="58"/>
        <v>218009.28107520993</v>
      </c>
      <c r="Z46" s="111">
        <f t="shared" si="58"/>
        <v>212463.2929232945</v>
      </c>
      <c r="AA46" s="112">
        <f t="shared" si="58"/>
        <v>230918.07375686071</v>
      </c>
    </row>
    <row r="47" spans="1:29" s="47" customFormat="1" x14ac:dyDescent="0.25">
      <c r="B47" s="203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97"/>
      <c r="Z47" s="96"/>
      <c r="AA47" s="99"/>
    </row>
    <row r="48" spans="1:29" x14ac:dyDescent="0.25">
      <c r="A48" s="47" t="s">
        <v>103</v>
      </c>
      <c r="B48" s="202"/>
      <c r="C48" s="199"/>
      <c r="D48" s="100" t="s">
        <v>86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5"/>
      <c r="Z48" s="96"/>
      <c r="AA48" s="99"/>
      <c r="AB48" s="189"/>
      <c r="AC48" s="47"/>
    </row>
    <row r="49" spans="1:29" x14ac:dyDescent="0.25">
      <c r="A49" s="47" t="str">
        <f>A35</f>
        <v>RES</v>
      </c>
      <c r="B49" s="91">
        <v>0</v>
      </c>
      <c r="C49" s="92">
        <v>0</v>
      </c>
      <c r="D49" s="92">
        <v>0</v>
      </c>
      <c r="E49" s="92">
        <v>0</v>
      </c>
      <c r="F49" s="92">
        <v>0</v>
      </c>
      <c r="G49" s="92">
        <v>-9522.4</v>
      </c>
      <c r="H49" s="92">
        <v>-104689.11000000002</v>
      </c>
      <c r="I49" s="92">
        <v>-128371.58</v>
      </c>
      <c r="J49" s="92">
        <v>-136714.63</v>
      </c>
      <c r="K49" s="92">
        <v>-124499.38</v>
      </c>
      <c r="L49" s="92">
        <v>-105447.85</v>
      </c>
      <c r="M49" s="92">
        <f>'[1]PCR.4 (M3)'!H5</f>
        <v>-115870.95999999999</v>
      </c>
      <c r="N49" s="92">
        <f>'[1]PCR.4 (M3)'!I5</f>
        <v>-159652.35999999999</v>
      </c>
      <c r="O49" s="92">
        <f>'[1]PCR.4 (M3)'!J5</f>
        <v>-176358.06</v>
      </c>
      <c r="P49" s="92">
        <f>'[1]PCR.4 (M3)'!K5</f>
        <v>-152923.21000000002</v>
      </c>
      <c r="Q49" s="92">
        <f>'[1]PCR.4 (M3)'!L5</f>
        <v>-104411.42000000001</v>
      </c>
      <c r="R49" s="92">
        <f>'[1]PCR.4 (M3)'!M5</f>
        <v>-75414.77</v>
      </c>
      <c r="S49" s="92">
        <f>'[1]PCR.4 (M3)'!N5</f>
        <v>-62153.88</v>
      </c>
      <c r="T49" s="92">
        <f>'[1]PCR.4 (M3)'!O5</f>
        <v>-70524.600000000006</v>
      </c>
      <c r="U49" s="92">
        <f>'[1]PCR.4 (M3)'!P5</f>
        <v>-90726.45</v>
      </c>
      <c r="V49" s="92">
        <f>'[1]PCR.4 (M3)'!Q5</f>
        <v>-83821.569999999992</v>
      </c>
      <c r="W49" s="92">
        <f>'[1]PCR.4 (M3)'!R5</f>
        <v>-76802.63</v>
      </c>
      <c r="X49" s="92">
        <f>'[1]PCR.4 (M3)'!S5</f>
        <v>-57468.17</v>
      </c>
      <c r="Y49" s="107">
        <f>-(Y28*$AB$35*PPC!$B$14)</f>
        <v>-66384.693709516272</v>
      </c>
      <c r="Z49" s="111">
        <f>-(Z28*$AB$35*PPC!$B$14)</f>
        <v>-95810.17869481926</v>
      </c>
      <c r="AA49" s="112">
        <f>-(AA28*$AB$35*PPC!$B$14)</f>
        <v>-119260.17974640177</v>
      </c>
      <c r="AB49" s="201"/>
      <c r="AC49" s="47"/>
    </row>
    <row r="50" spans="1:29" x14ac:dyDescent="0.25">
      <c r="A50" s="47"/>
      <c r="B50" s="97"/>
      <c r="C50" s="105"/>
      <c r="D50" s="100" t="s">
        <v>68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4"/>
      <c r="Z50" s="105"/>
      <c r="AA50" s="99"/>
    </row>
    <row r="51" spans="1:29" ht="15.75" thickBot="1" x14ac:dyDescent="0.3">
      <c r="A51" s="47" t="s">
        <v>92</v>
      </c>
      <c r="B51" s="278">
        <v>0</v>
      </c>
      <c r="C51" s="279">
        <v>0</v>
      </c>
      <c r="D51" s="279">
        <v>0</v>
      </c>
      <c r="E51" s="115">
        <v>9653.81</v>
      </c>
      <c r="F51" s="115">
        <v>12438.97</v>
      </c>
      <c r="G51" s="115">
        <v>17431.88</v>
      </c>
      <c r="H51" s="115">
        <v>10576.06</v>
      </c>
      <c r="I51" s="115">
        <v>2521.9899999999998</v>
      </c>
      <c r="J51" s="115">
        <v>-1864.05</v>
      </c>
      <c r="K51" s="115">
        <v>-6842.24</v>
      </c>
      <c r="L51" s="115">
        <v>-9531.39</v>
      </c>
      <c r="M51" s="115">
        <f>-'[1]PCR.5 (M3)'!$W$13</f>
        <v>-4794.22</v>
      </c>
      <c r="N51" s="115">
        <f>-'[1]PCR.5 (M3)'!$W$14</f>
        <v>6542.98</v>
      </c>
      <c r="O51" s="115">
        <f>-'[1]PCR.5 (M3)'!$W$15</f>
        <v>-1848</v>
      </c>
      <c r="P51" s="115">
        <f>-'[1]PCR.5 (M3)'!$W$16</f>
        <v>-7048.55</v>
      </c>
      <c r="Q51" s="115">
        <f>-'[1]PCR.5 (M3)'!$W$17</f>
        <v>-8321.11</v>
      </c>
      <c r="R51" s="115">
        <f>-'[1]PCR.5 (M3)'!$W$18</f>
        <v>-4942.3900000000003</v>
      </c>
      <c r="S51" s="115">
        <f>-'[1]PCR.5 (M3)'!$W$19</f>
        <v>-734.78</v>
      </c>
      <c r="T51" s="115">
        <f>-'[1]PCR.5 (M3)'!$W$20</f>
        <v>-749.55</v>
      </c>
      <c r="U51" s="115">
        <f>-'[1]PCR.5 (M3)'!$W$21</f>
        <v>-1464.01</v>
      </c>
      <c r="V51" s="115">
        <f>-'[1]PCR.5 (M3)'!$W$22</f>
        <v>-1137.5899999999999</v>
      </c>
      <c r="W51" s="115">
        <f>-'[1]PCR.5 (M3)'!$W$23</f>
        <v>-911.11</v>
      </c>
      <c r="X51" s="115">
        <f>-'[1]PCR.5 (M3)'!$W$24</f>
        <v>-1351.83</v>
      </c>
      <c r="Y51" s="93">
        <f>'[2]MEEIA 3 calcs'!$Z$10</f>
        <v>-325.89</v>
      </c>
      <c r="Z51" s="94">
        <f>'[2]MEEIA 3 calcs'!$AA$10</f>
        <v>1104.7</v>
      </c>
      <c r="AA51" s="149">
        <f>'[2]MEEIA 3 calcs'!$AB$10</f>
        <v>906.88</v>
      </c>
      <c r="AB51" s="47"/>
    </row>
    <row r="52" spans="1:29" x14ac:dyDescent="0.25"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3"/>
      <c r="Z52" s="144"/>
      <c r="AA52" s="145"/>
    </row>
    <row r="53" spans="1:29" x14ac:dyDescent="0.25">
      <c r="A53" s="162" t="s">
        <v>69</v>
      </c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5"/>
      <c r="Z53" s="96"/>
      <c r="AA53" s="99"/>
    </row>
    <row r="54" spans="1:29" x14ac:dyDescent="0.25">
      <c r="A54" s="162" t="s">
        <v>0</v>
      </c>
      <c r="B54" s="107">
        <f>B21-B42</f>
        <v>317847.94516670017</v>
      </c>
      <c r="C54" s="111">
        <f t="shared" ref="B54:AA58" si="62">C21-C42</f>
        <v>62937.088413765421</v>
      </c>
      <c r="D54" s="111">
        <f>D21-D42</f>
        <v>155679.80049587399</v>
      </c>
      <c r="E54" s="111">
        <f>E21-E42</f>
        <v>2610951.7844937206</v>
      </c>
      <c r="F54" s="111">
        <f t="shared" si="62"/>
        <v>1148856.7617550408</v>
      </c>
      <c r="G54" s="111">
        <f t="shared" si="62"/>
        <v>1687462.742043464</v>
      </c>
      <c r="H54" s="111">
        <f t="shared" si="62"/>
        <v>-1398843.1860898021</v>
      </c>
      <c r="I54" s="111">
        <f t="shared" si="62"/>
        <v>-1731376.7414536877</v>
      </c>
      <c r="J54" s="111">
        <f t="shared" si="62"/>
        <v>-553487.60776054999</v>
      </c>
      <c r="K54" s="111">
        <f t="shared" ref="K54:L54" si="63">K21-K42</f>
        <v>-2490534.1029239642</v>
      </c>
      <c r="L54" s="111">
        <f t="shared" si="63"/>
        <v>-635176.60244994564</v>
      </c>
      <c r="M54" s="111">
        <f t="shared" ref="M54:W54" si="64">M21-M42</f>
        <v>1976347.7059606127</v>
      </c>
      <c r="N54" s="111">
        <f t="shared" si="64"/>
        <v>2762553.4391268175</v>
      </c>
      <c r="O54" s="111">
        <f t="shared" si="64"/>
        <v>-4538857.8358322438</v>
      </c>
      <c r="P54" s="111">
        <f t="shared" si="64"/>
        <v>-1581937.145451243</v>
      </c>
      <c r="Q54" s="111">
        <f t="shared" si="64"/>
        <v>1021723.1404877859</v>
      </c>
      <c r="R54" s="111">
        <f t="shared" si="64"/>
        <v>-500133.57285753824</v>
      </c>
      <c r="S54" s="111">
        <f t="shared" si="64"/>
        <v>215722.82899369812</v>
      </c>
      <c r="T54" s="111">
        <f t="shared" si="64"/>
        <v>414197.16891567362</v>
      </c>
      <c r="U54" s="111">
        <f t="shared" si="64"/>
        <v>-22142.511937346309</v>
      </c>
      <c r="V54" s="111">
        <f t="shared" si="64"/>
        <v>-19876.114327274263</v>
      </c>
      <c r="W54" s="111">
        <f t="shared" si="64"/>
        <v>1673954.9122172054</v>
      </c>
      <c r="X54" s="111">
        <f t="shared" ref="X54" si="65">X21-X42</f>
        <v>253781.38969110837</v>
      </c>
      <c r="Y54" s="107">
        <f>Y21-Y42</f>
        <v>1861140.5007086657</v>
      </c>
      <c r="Z54" s="111">
        <f t="shared" si="62"/>
        <v>1774694.2827823758</v>
      </c>
      <c r="AA54" s="112">
        <f t="shared" si="62"/>
        <v>-760029.59045708645</v>
      </c>
    </row>
    <row r="55" spans="1:29" x14ac:dyDescent="0.25">
      <c r="A55" s="162" t="s">
        <v>4</v>
      </c>
      <c r="B55" s="107">
        <f t="shared" si="62"/>
        <v>33385.711349135156</v>
      </c>
      <c r="C55" s="111">
        <f t="shared" si="62"/>
        <v>13887.647890998298</v>
      </c>
      <c r="D55" s="111">
        <f t="shared" si="62"/>
        <v>36274.43793325447</v>
      </c>
      <c r="E55" s="111">
        <f t="shared" si="62"/>
        <v>151627.30805818431</v>
      </c>
      <c r="F55" s="111">
        <f t="shared" si="62"/>
        <v>61855.782634756295</v>
      </c>
      <c r="G55" s="111">
        <f t="shared" si="62"/>
        <v>90862.866984242151</v>
      </c>
      <c r="H55" s="111">
        <f t="shared" si="62"/>
        <v>-374762.82410563447</v>
      </c>
      <c r="I55" s="111">
        <f t="shared" si="62"/>
        <v>-421583.36735753913</v>
      </c>
      <c r="J55" s="111">
        <f t="shared" si="62"/>
        <v>-344038.95094783133</v>
      </c>
      <c r="K55" s="111">
        <f t="shared" ref="K55:L55" si="66">K22-K43</f>
        <v>-55026.273248422076</v>
      </c>
      <c r="L55" s="111">
        <f t="shared" si="66"/>
        <v>-221243.20754634967</v>
      </c>
      <c r="M55" s="111">
        <f t="shared" ref="M55:W55" si="67">M22-M43</f>
        <v>58567.853023185802</v>
      </c>
      <c r="N55" s="111">
        <f t="shared" si="67"/>
        <v>1033411.1098627642</v>
      </c>
      <c r="O55" s="111">
        <f t="shared" si="67"/>
        <v>-173322.40997080179</v>
      </c>
      <c r="P55" s="111">
        <f t="shared" si="67"/>
        <v>-445327.59135275451</v>
      </c>
      <c r="Q55" s="111">
        <f t="shared" si="67"/>
        <v>-373157.50919834082</v>
      </c>
      <c r="R55" s="111">
        <f t="shared" si="67"/>
        <v>-103697.18065095606</v>
      </c>
      <c r="S55" s="111">
        <f t="shared" si="67"/>
        <v>-139670.97035782755</v>
      </c>
      <c r="T55" s="111">
        <f t="shared" si="67"/>
        <v>-173397.17971289117</v>
      </c>
      <c r="U55" s="111">
        <f t="shared" si="67"/>
        <v>-424543.92547295988</v>
      </c>
      <c r="V55" s="111">
        <f t="shared" si="67"/>
        <v>-194213.71558171563</v>
      </c>
      <c r="W55" s="111">
        <f t="shared" si="67"/>
        <v>-102942.45562564791</v>
      </c>
      <c r="X55" s="111">
        <f t="shared" ref="X55" si="68">X22-X43</f>
        <v>95987.642915857257</v>
      </c>
      <c r="Y55" s="107">
        <f t="shared" si="62"/>
        <v>887980.76479325932</v>
      </c>
      <c r="Z55" s="111">
        <f t="shared" si="62"/>
        <v>1542372.4939820406</v>
      </c>
      <c r="AA55" s="112">
        <f t="shared" si="62"/>
        <v>-96303.427927317563</v>
      </c>
    </row>
    <row r="56" spans="1:29" x14ac:dyDescent="0.25">
      <c r="A56" s="162" t="s">
        <v>5</v>
      </c>
      <c r="B56" s="107">
        <f t="shared" si="62"/>
        <v>72690.254284489041</v>
      </c>
      <c r="C56" s="111">
        <f t="shared" si="62"/>
        <v>29119.872157604295</v>
      </c>
      <c r="D56" s="111">
        <f t="shared" si="62"/>
        <v>73504.970610067088</v>
      </c>
      <c r="E56" s="111">
        <f t="shared" si="62"/>
        <v>313330.74775433698</v>
      </c>
      <c r="F56" s="111">
        <f t="shared" si="62"/>
        <v>143775.80981087088</v>
      </c>
      <c r="G56" s="111">
        <f t="shared" si="62"/>
        <v>248162.02867965022</v>
      </c>
      <c r="H56" s="111">
        <f t="shared" si="62"/>
        <v>-880318.03105231188</v>
      </c>
      <c r="I56" s="111">
        <f t="shared" si="62"/>
        <v>-936809.75996406912</v>
      </c>
      <c r="J56" s="111">
        <f t="shared" si="62"/>
        <v>-762087.07770896645</v>
      </c>
      <c r="K56" s="111">
        <f t="shared" ref="K56:L56" si="69">K23-K44</f>
        <v>-128226.97775019659</v>
      </c>
      <c r="L56" s="111">
        <f t="shared" si="69"/>
        <v>-525103.72916581656</v>
      </c>
      <c r="M56" s="111">
        <f t="shared" ref="M56:W56" si="70">M23-M44</f>
        <v>132880.70383436792</v>
      </c>
      <c r="N56" s="111">
        <f t="shared" si="70"/>
        <v>2211568.2089251485</v>
      </c>
      <c r="O56" s="111">
        <f t="shared" si="70"/>
        <v>-360933.25249400886</v>
      </c>
      <c r="P56" s="111">
        <f t="shared" si="70"/>
        <v>-919467.26872238831</v>
      </c>
      <c r="Q56" s="111">
        <f t="shared" si="70"/>
        <v>-797999.06492701476</v>
      </c>
      <c r="R56" s="111">
        <f t="shared" si="70"/>
        <v>-247730.01064714335</v>
      </c>
      <c r="S56" s="111">
        <f t="shared" si="70"/>
        <v>-341804.32361552236</v>
      </c>
      <c r="T56" s="111">
        <f t="shared" si="70"/>
        <v>-400416.93575203081</v>
      </c>
      <c r="U56" s="111">
        <f t="shared" si="70"/>
        <v>-920472.77281982068</v>
      </c>
      <c r="V56" s="111">
        <f t="shared" si="70"/>
        <v>-432180.21019330982</v>
      </c>
      <c r="W56" s="111">
        <f t="shared" si="70"/>
        <v>-238277.9665347978</v>
      </c>
      <c r="X56" s="111">
        <f t="shared" ref="X56" si="71">X23-X44</f>
        <v>231202.22861998132</v>
      </c>
      <c r="Y56" s="107">
        <f t="shared" si="62"/>
        <v>2111391.6082886308</v>
      </c>
      <c r="Z56" s="111">
        <f t="shared" si="62"/>
        <v>3323779.1436923416</v>
      </c>
      <c r="AA56" s="112">
        <f t="shared" si="62"/>
        <v>-201445.38907779823</v>
      </c>
    </row>
    <row r="57" spans="1:29" x14ac:dyDescent="0.25">
      <c r="A57" s="162" t="s">
        <v>6</v>
      </c>
      <c r="B57" s="107">
        <f t="shared" si="62"/>
        <v>33417.905035113341</v>
      </c>
      <c r="C57" s="111">
        <f t="shared" si="62"/>
        <v>11408.01611653602</v>
      </c>
      <c r="D57" s="111">
        <f t="shared" si="62"/>
        <v>29285.213310280094</v>
      </c>
      <c r="E57" s="111">
        <f t="shared" si="62"/>
        <v>126713.46256441454</v>
      </c>
      <c r="F57" s="111">
        <f t="shared" si="62"/>
        <v>61183.192042766401</v>
      </c>
      <c r="G57" s="111">
        <f t="shared" si="62"/>
        <v>108663.76764102771</v>
      </c>
      <c r="H57" s="111">
        <f t="shared" si="62"/>
        <v>-320402.36673472321</v>
      </c>
      <c r="I57" s="111">
        <f t="shared" si="62"/>
        <v>-382089.96353925095</v>
      </c>
      <c r="J57" s="111">
        <f t="shared" si="62"/>
        <v>-318570.45646706014</v>
      </c>
      <c r="K57" s="111">
        <f t="shared" ref="K57:L57" si="72">K24-K45</f>
        <v>-52728.929137424566</v>
      </c>
      <c r="L57" s="111">
        <f t="shared" si="72"/>
        <v>-217758.01058932295</v>
      </c>
      <c r="M57" s="111">
        <f t="shared" ref="M57:W57" si="73">M24-M45</f>
        <v>58393.929788786103</v>
      </c>
      <c r="N57" s="111">
        <f t="shared" si="73"/>
        <v>893832.9475640509</v>
      </c>
      <c r="O57" s="111">
        <f t="shared" si="73"/>
        <v>-145004.81359190604</v>
      </c>
      <c r="P57" s="111">
        <f t="shared" si="73"/>
        <v>-394071.83092649328</v>
      </c>
      <c r="Q57" s="111">
        <f t="shared" si="73"/>
        <v>-322557.30162756739</v>
      </c>
      <c r="R57" s="111">
        <f t="shared" si="73"/>
        <v>-117602.25187364902</v>
      </c>
      <c r="S57" s="111">
        <f t="shared" si="73"/>
        <v>-161998.74637115822</v>
      </c>
      <c r="T57" s="111">
        <f t="shared" si="73"/>
        <v>-185949.95847452874</v>
      </c>
      <c r="U57" s="111">
        <f t="shared" si="73"/>
        <v>-379970.70587841567</v>
      </c>
      <c r="V57" s="111">
        <f t="shared" si="73"/>
        <v>-190754.0472286744</v>
      </c>
      <c r="W57" s="111">
        <f t="shared" si="73"/>
        <v>-108456.54148001852</v>
      </c>
      <c r="X57" s="111">
        <f t="shared" ref="X57" si="74">X24-X45</f>
        <v>98295.289495780016</v>
      </c>
      <c r="Y57" s="107">
        <f t="shared" si="62"/>
        <v>905095.83573593141</v>
      </c>
      <c r="Z57" s="111">
        <f t="shared" si="62"/>
        <v>1368291.5228580663</v>
      </c>
      <c r="AA57" s="112">
        <f t="shared" si="62"/>
        <v>-88373.803586507682</v>
      </c>
    </row>
    <row r="58" spans="1:29" x14ac:dyDescent="0.25">
      <c r="A58" s="162" t="s">
        <v>7</v>
      </c>
      <c r="B58" s="107">
        <f t="shared" si="62"/>
        <v>15564.884164562347</v>
      </c>
      <c r="C58" s="111">
        <f t="shared" si="62"/>
        <v>4597.8354210959724</v>
      </c>
      <c r="D58" s="111">
        <f t="shared" si="62"/>
        <v>11312.677650524363</v>
      </c>
      <c r="E58" s="111">
        <f t="shared" si="62"/>
        <v>51892.447129343942</v>
      </c>
      <c r="F58" s="111">
        <f t="shared" si="62"/>
        <v>26015.323756565842</v>
      </c>
      <c r="G58" s="111">
        <f t="shared" si="62"/>
        <v>58650.364651615819</v>
      </c>
      <c r="H58" s="111">
        <f t="shared" si="62"/>
        <v>-67060.042017528351</v>
      </c>
      <c r="I58" s="111">
        <f t="shared" si="62"/>
        <v>-161478.00768545276</v>
      </c>
      <c r="J58" s="111">
        <f t="shared" si="62"/>
        <v>-142009.01711559179</v>
      </c>
      <c r="K58" s="111">
        <f t="shared" ref="K58:L58" si="75">K25-K46</f>
        <v>-23973.506939992949</v>
      </c>
      <c r="L58" s="111">
        <f t="shared" si="75"/>
        <v>-100758.33024856533</v>
      </c>
      <c r="M58" s="111">
        <f t="shared" ref="M58:W58" si="76">M25-M46</f>
        <v>25947.467393047642</v>
      </c>
      <c r="N58" s="111">
        <f t="shared" si="76"/>
        <v>371048.31452121842</v>
      </c>
      <c r="O58" s="111">
        <f t="shared" si="76"/>
        <v>-61943.498111038643</v>
      </c>
      <c r="P58" s="111">
        <f t="shared" si="76"/>
        <v>-173144.27354712097</v>
      </c>
      <c r="Q58" s="111">
        <f t="shared" si="76"/>
        <v>-118441.01473486332</v>
      </c>
      <c r="R58" s="111">
        <f t="shared" si="76"/>
        <v>-55123.113970713777</v>
      </c>
      <c r="S58" s="111">
        <f t="shared" si="76"/>
        <v>-79135.078649189527</v>
      </c>
      <c r="T58" s="111">
        <f t="shared" si="76"/>
        <v>18378.735023777059</v>
      </c>
      <c r="U58" s="111">
        <f t="shared" si="76"/>
        <v>-164076.2438914598</v>
      </c>
      <c r="V58" s="111">
        <f t="shared" si="76"/>
        <v>-84562.342669025849</v>
      </c>
      <c r="W58" s="111">
        <f t="shared" si="76"/>
        <v>-51791.628576739866</v>
      </c>
      <c r="X58" s="111">
        <f t="shared" ref="X58" si="77">X25-X46</f>
        <v>33862.589277272404</v>
      </c>
      <c r="Y58" s="107">
        <f t="shared" si="62"/>
        <v>391393.25592421705</v>
      </c>
      <c r="Z58" s="111">
        <f t="shared" si="62"/>
        <v>574746.14220184798</v>
      </c>
      <c r="AA58" s="112">
        <f t="shared" si="62"/>
        <v>-41898.099805667764</v>
      </c>
    </row>
    <row r="59" spans="1:29" x14ac:dyDescent="0.25">
      <c r="B59" s="97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5"/>
      <c r="Z59" s="96"/>
      <c r="AA59" s="99"/>
    </row>
    <row r="60" spans="1:29" x14ac:dyDescent="0.25">
      <c r="A60" s="162" t="s">
        <v>70</v>
      </c>
      <c r="B60" s="97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5"/>
      <c r="Z60" s="96"/>
      <c r="AA60" s="99"/>
    </row>
    <row r="61" spans="1:29" x14ac:dyDescent="0.25">
      <c r="A61" s="162" t="s">
        <v>0</v>
      </c>
      <c r="B61" s="107">
        <f>B54</f>
        <v>317847.94516670017</v>
      </c>
      <c r="C61" s="111">
        <f t="shared" ref="C61:J65" si="78">B61+C54+B68</f>
        <v>380785.03358046559</v>
      </c>
      <c r="D61" s="111">
        <f t="shared" si="78"/>
        <v>536464.83407633961</v>
      </c>
      <c r="E61" s="111">
        <f t="shared" si="78"/>
        <v>3147416.6185700605</v>
      </c>
      <c r="F61" s="111">
        <f t="shared" si="78"/>
        <v>4303585.3930421835</v>
      </c>
      <c r="G61" s="111">
        <f t="shared" si="78"/>
        <v>6000595.9046678776</v>
      </c>
      <c r="H61" s="111">
        <f t="shared" si="78"/>
        <v>4615140.8531213403</v>
      </c>
      <c r="I61" s="111">
        <f t="shared" si="78"/>
        <v>2893956.1002708194</v>
      </c>
      <c r="J61" s="111">
        <f t="shared" si="78"/>
        <v>2346726.3566535641</v>
      </c>
      <c r="K61" s="111">
        <f t="shared" ref="K61:K65" si="79">J61+K54+J68</f>
        <v>-139209.74665164977</v>
      </c>
      <c r="L61" s="111">
        <f t="shared" ref="L61:L65" si="80">K61+L54+K68</f>
        <v>-774643.52402747842</v>
      </c>
      <c r="M61" s="111">
        <f t="shared" ref="M61:M65" si="81">L61+M54+L68</f>
        <v>1200339.5621547722</v>
      </c>
      <c r="N61" s="111">
        <f t="shared" ref="N61:N65" si="82">M61+N54+M68</f>
        <v>3964709.5041492046</v>
      </c>
      <c r="O61" s="111">
        <f t="shared" ref="O61:O65" si="83">N61+O54+N68</f>
        <v>-567820.65861834167</v>
      </c>
      <c r="P61" s="111">
        <f t="shared" ref="P61:P65" si="84">O61+P54+O68</f>
        <v>-2150651.6853313693</v>
      </c>
      <c r="Q61" s="111">
        <f t="shared" ref="Q61:Q65" si="85">P61+Q54+P68</f>
        <v>-1132160.9438590708</v>
      </c>
      <c r="R61" s="111">
        <f t="shared" ref="R61:R65" si="86">Q61+R54+Q68</f>
        <v>-1634076.3418010129</v>
      </c>
      <c r="S61" s="111">
        <f t="shared" ref="S61:S65" si="87">R61+S54+R68</f>
        <v>-1419631.4422104203</v>
      </c>
      <c r="T61" s="111">
        <f t="shared" ref="T61:T65" si="88">S61+T54+S68</f>
        <v>-1005586.9629375398</v>
      </c>
      <c r="U61" s="111">
        <f t="shared" ref="U61:U65" si="89">T61+U54+T68</f>
        <v>-1027834.7522880035</v>
      </c>
      <c r="V61" s="111">
        <f t="shared" ref="V61:V65" si="90">U61+V54+U68</f>
        <v>-1047876.7445833046</v>
      </c>
      <c r="W61" s="111">
        <f t="shared" ref="W61:X65" si="91">V61+W54+V68</f>
        <v>625958.89742960164</v>
      </c>
      <c r="X61" s="111">
        <f t="shared" si="91"/>
        <v>879804.92572298821</v>
      </c>
      <c r="Y61" s="107">
        <f>X61+Y54+X68</f>
        <v>2741092.0605859412</v>
      </c>
      <c r="Z61" s="111">
        <f>Y61+Z54+Y68</f>
        <v>4516243.1920450814</v>
      </c>
      <c r="AA61" s="112">
        <f>Z61+AA54+Z68</f>
        <v>3756966.3087866693</v>
      </c>
    </row>
    <row r="62" spans="1:29" x14ac:dyDescent="0.25">
      <c r="A62" s="162" t="s">
        <v>4</v>
      </c>
      <c r="B62" s="107">
        <f>B55</f>
        <v>33385.711349135156</v>
      </c>
      <c r="C62" s="111">
        <f t="shared" si="78"/>
        <v>47273.359240133454</v>
      </c>
      <c r="D62" s="111">
        <f t="shared" si="78"/>
        <v>83547.797173387924</v>
      </c>
      <c r="E62" s="111">
        <f t="shared" si="78"/>
        <v>235175.10523157223</v>
      </c>
      <c r="F62" s="111">
        <f t="shared" si="78"/>
        <v>297577.24177132116</v>
      </c>
      <c r="G62" s="111">
        <f t="shared" si="78"/>
        <v>389100.30221702956</v>
      </c>
      <c r="H62" s="111">
        <f t="shared" si="78"/>
        <v>15205.613089931829</v>
      </c>
      <c r="I62" s="111">
        <f t="shared" si="78"/>
        <v>-406344.17448310042</v>
      </c>
      <c r="J62" s="111">
        <f t="shared" si="78"/>
        <v>-751261.80034901248</v>
      </c>
      <c r="K62" s="111">
        <f t="shared" si="79"/>
        <v>-807760.03962440335</v>
      </c>
      <c r="L62" s="111">
        <f t="shared" si="80"/>
        <v>-1030495.4963366216</v>
      </c>
      <c r="M62" s="111">
        <f t="shared" si="81"/>
        <v>-973742.97448473738</v>
      </c>
      <c r="N62" s="111">
        <f t="shared" si="82"/>
        <v>58194.546602617236</v>
      </c>
      <c r="O62" s="111">
        <f t="shared" si="83"/>
        <v>-115034.98492030223</v>
      </c>
      <c r="P62" s="111">
        <f t="shared" si="84"/>
        <v>-560543.66798909276</v>
      </c>
      <c r="Q62" s="111">
        <f t="shared" si="85"/>
        <v>-934543.66637938586</v>
      </c>
      <c r="R62" s="111">
        <f t="shared" si="86"/>
        <v>-1039711.6567736542</v>
      </c>
      <c r="S62" s="111">
        <f t="shared" si="87"/>
        <v>-1180195.7336326614</v>
      </c>
      <c r="T62" s="111">
        <f t="shared" si="88"/>
        <v>-1353719.8502811799</v>
      </c>
      <c r="U62" s="111">
        <f t="shared" si="89"/>
        <v>-1778405.5000695654</v>
      </c>
      <c r="V62" s="111">
        <f t="shared" si="90"/>
        <v>-1972906.2251049143</v>
      </c>
      <c r="W62" s="111">
        <f t="shared" si="91"/>
        <v>-2076073.2385611921</v>
      </c>
      <c r="X62" s="111">
        <f t="shared" si="91"/>
        <v>-1980299.9778881927</v>
      </c>
      <c r="Y62" s="107">
        <f t="shared" ref="Y62:Y65" si="92">X62+Y55+X69</f>
        <v>-1092649.2630912482</v>
      </c>
      <c r="Z62" s="111">
        <f>Y62+Z55+Y69</f>
        <v>449541.1226802771</v>
      </c>
      <c r="AA62" s="112">
        <f t="shared" ref="AA62:AA65" si="93">Z62+AA55+Z69</f>
        <v>353312.61827340623</v>
      </c>
    </row>
    <row r="63" spans="1:29" x14ac:dyDescent="0.25">
      <c r="A63" s="162" t="s">
        <v>5</v>
      </c>
      <c r="B63" s="107">
        <f>B56</f>
        <v>72690.254284489041</v>
      </c>
      <c r="C63" s="111">
        <f t="shared" si="78"/>
        <v>101810.12644209334</v>
      </c>
      <c r="D63" s="111">
        <f t="shared" si="78"/>
        <v>175315.09705216042</v>
      </c>
      <c r="E63" s="111">
        <f t="shared" si="78"/>
        <v>488645.84480649739</v>
      </c>
      <c r="F63" s="111">
        <f t="shared" si="78"/>
        <v>633556.86646390089</v>
      </c>
      <c r="G63" s="111">
        <f t="shared" si="78"/>
        <v>883124.4801211413</v>
      </c>
      <c r="H63" s="111">
        <f t="shared" si="78"/>
        <v>4776.8182698474329</v>
      </c>
      <c r="I63" s="111">
        <f t="shared" si="78"/>
        <v>-932022.39266031026</v>
      </c>
      <c r="J63" s="111">
        <f t="shared" si="78"/>
        <v>-1696124.8670476268</v>
      </c>
      <c r="K63" s="111">
        <f t="shared" si="79"/>
        <v>-1827675.1046529515</v>
      </c>
      <c r="L63" s="111">
        <f t="shared" si="80"/>
        <v>-2356155.2655764781</v>
      </c>
      <c r="M63" s="111">
        <f t="shared" si="81"/>
        <v>-2227425.1884195022</v>
      </c>
      <c r="N63" s="111">
        <f t="shared" si="82"/>
        <v>-19227.795861431041</v>
      </c>
      <c r="O63" s="111">
        <f t="shared" si="83"/>
        <v>-380191.73590161157</v>
      </c>
      <c r="P63" s="111">
        <f t="shared" si="84"/>
        <v>-1300257.514494061</v>
      </c>
      <c r="Q63" s="111">
        <f t="shared" si="85"/>
        <v>-2100210.848045046</v>
      </c>
      <c r="R63" s="111">
        <f t="shared" si="86"/>
        <v>-2351246.2265304653</v>
      </c>
      <c r="S63" s="111">
        <f t="shared" si="87"/>
        <v>-2694889.3422574457</v>
      </c>
      <c r="T63" s="111">
        <f t="shared" si="88"/>
        <v>-3095596.1290784241</v>
      </c>
      <c r="U63" s="111">
        <f t="shared" si="89"/>
        <v>-4016392.9875959884</v>
      </c>
      <c r="V63" s="111">
        <f t="shared" si="90"/>
        <v>-4449221.3867185954</v>
      </c>
      <c r="W63" s="111">
        <f t="shared" si="91"/>
        <v>-4688005.7673393143</v>
      </c>
      <c r="X63" s="111">
        <f t="shared" si="91"/>
        <v>-4457287.6378215542</v>
      </c>
      <c r="Y63" s="107">
        <f t="shared" si="92"/>
        <v>-2346638.9108058936</v>
      </c>
      <c r="Z63" s="111">
        <f t="shared" ref="Z63:Z65" si="94">Y63+Z56+Y70</f>
        <v>976749.1264013137</v>
      </c>
      <c r="AA63" s="112">
        <f t="shared" si="93"/>
        <v>775466.52884458238</v>
      </c>
    </row>
    <row r="64" spans="1:29" x14ac:dyDescent="0.25">
      <c r="A64" s="162" t="s">
        <v>6</v>
      </c>
      <c r="B64" s="107">
        <f>B57</f>
        <v>33417.905035113341</v>
      </c>
      <c r="C64" s="111">
        <f t="shared" si="78"/>
        <v>44825.92115164936</v>
      </c>
      <c r="D64" s="111">
        <f t="shared" si="78"/>
        <v>74111.134461929454</v>
      </c>
      <c r="E64" s="111">
        <f t="shared" si="78"/>
        <v>200824.59702634398</v>
      </c>
      <c r="F64" s="111">
        <f t="shared" si="78"/>
        <v>262474.34058907622</v>
      </c>
      <c r="G64" s="111">
        <f t="shared" si="78"/>
        <v>371720.42374061845</v>
      </c>
      <c r="H64" s="111">
        <f t="shared" si="78"/>
        <v>52147.415143750746</v>
      </c>
      <c r="I64" s="111">
        <f t="shared" si="78"/>
        <v>-329827.38704338891</v>
      </c>
      <c r="J64" s="111">
        <f t="shared" si="78"/>
        <v>-649111.05922877393</v>
      </c>
      <c r="K64" s="111">
        <f t="shared" si="79"/>
        <v>-703111.80789232196</v>
      </c>
      <c r="L64" s="111">
        <f t="shared" si="80"/>
        <v>-922168.74137628009</v>
      </c>
      <c r="M64" s="111">
        <f t="shared" si="81"/>
        <v>-865399.31326398987</v>
      </c>
      <c r="N64" s="111">
        <f t="shared" si="82"/>
        <v>27124.004605481903</v>
      </c>
      <c r="O64" s="111">
        <f t="shared" si="83"/>
        <v>-117837.51909767714</v>
      </c>
      <c r="P64" s="111">
        <f t="shared" si="84"/>
        <v>-512094.8535782554</v>
      </c>
      <c r="Q64" s="111">
        <f t="shared" si="85"/>
        <v>-835421.82651607378</v>
      </c>
      <c r="R64" s="111">
        <f t="shared" si="86"/>
        <v>-954338.88753820921</v>
      </c>
      <c r="S64" s="111">
        <f t="shared" si="87"/>
        <v>-1117083.9746363668</v>
      </c>
      <c r="T64" s="111">
        <f t="shared" si="88"/>
        <v>-1303154.0820086908</v>
      </c>
      <c r="U64" s="111">
        <f t="shared" si="89"/>
        <v>-1683261.2183458372</v>
      </c>
      <c r="V64" s="111">
        <f t="shared" si="90"/>
        <v>-1874286.9200889519</v>
      </c>
      <c r="W64" s="111">
        <f t="shared" si="91"/>
        <v>-1982956.7944681207</v>
      </c>
      <c r="X64" s="111">
        <f t="shared" si="91"/>
        <v>-1884866.2717007934</v>
      </c>
      <c r="Y64" s="107">
        <f t="shared" si="92"/>
        <v>-980084.58034347882</v>
      </c>
      <c r="Z64" s="111">
        <f t="shared" si="94"/>
        <v>388043.59508453018</v>
      </c>
      <c r="AA64" s="112">
        <f t="shared" si="93"/>
        <v>299734.4654305366</v>
      </c>
    </row>
    <row r="65" spans="1:27" x14ac:dyDescent="0.25">
      <c r="A65" s="162" t="s">
        <v>7</v>
      </c>
      <c r="B65" s="107">
        <f>B58</f>
        <v>15564.884164562347</v>
      </c>
      <c r="C65" s="111">
        <f t="shared" si="78"/>
        <v>20162.71958565832</v>
      </c>
      <c r="D65" s="111">
        <f t="shared" si="78"/>
        <v>31475.397236182682</v>
      </c>
      <c r="E65" s="111">
        <f t="shared" si="78"/>
        <v>83367.844365526631</v>
      </c>
      <c r="F65" s="111">
        <f t="shared" si="78"/>
        <v>109576.84656129236</v>
      </c>
      <c r="G65" s="111">
        <f t="shared" si="78"/>
        <v>168470.31420424327</v>
      </c>
      <c r="H65" s="111">
        <f t="shared" si="78"/>
        <v>101786.15206080508</v>
      </c>
      <c r="I65" s="111">
        <f t="shared" si="78"/>
        <v>-59467.073037337846</v>
      </c>
      <c r="J65" s="111">
        <f t="shared" si="78"/>
        <v>-201604.68120655077</v>
      </c>
      <c r="K65" s="111">
        <f t="shared" si="79"/>
        <v>-225973.19723854875</v>
      </c>
      <c r="L65" s="111">
        <f t="shared" si="80"/>
        <v>-327148.9884885826</v>
      </c>
      <c r="M65" s="111">
        <f t="shared" si="81"/>
        <v>-301777.83002514631</v>
      </c>
      <c r="N65" s="111">
        <f t="shared" si="82"/>
        <v>68813.796812930828</v>
      </c>
      <c r="O65" s="111">
        <f t="shared" si="83"/>
        <v>6980.1254642607919</v>
      </c>
      <c r="P65" s="111">
        <f t="shared" si="84"/>
        <v>-166153.15974831703</v>
      </c>
      <c r="Q65" s="111">
        <f t="shared" si="85"/>
        <v>-284843.90032844566</v>
      </c>
      <c r="R65" s="111">
        <f t="shared" si="86"/>
        <v>-340415.30922533368</v>
      </c>
      <c r="S65" s="111">
        <f t="shared" si="87"/>
        <v>-419816.60966710286</v>
      </c>
      <c r="T65" s="111">
        <f t="shared" si="88"/>
        <v>-401483.02836862573</v>
      </c>
      <c r="U65" s="111">
        <f t="shared" si="89"/>
        <v>-565601.30452203308</v>
      </c>
      <c r="V65" s="111">
        <f t="shared" si="90"/>
        <v>-650254.92722892365</v>
      </c>
      <c r="W65" s="111">
        <f t="shared" si="91"/>
        <v>-702120.5683633599</v>
      </c>
      <c r="X65" s="111">
        <f t="shared" si="91"/>
        <v>-668330.48239637865</v>
      </c>
      <c r="Y65" s="107">
        <f t="shared" si="92"/>
        <v>-277048.61488589435</v>
      </c>
      <c r="Z65" s="111">
        <f t="shared" si="94"/>
        <v>297651.35254680598</v>
      </c>
      <c r="AA65" s="112">
        <f t="shared" si="93"/>
        <v>255802.86129989603</v>
      </c>
    </row>
    <row r="66" spans="1:27" x14ac:dyDescent="0.25">
      <c r="B66" s="97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5"/>
      <c r="Z66" s="96"/>
      <c r="AA66" s="99"/>
    </row>
    <row r="67" spans="1:27" s="47" customFormat="1" x14ac:dyDescent="0.25">
      <c r="A67" s="47" t="s">
        <v>65</v>
      </c>
      <c r="B67" s="311">
        <v>0</v>
      </c>
      <c r="C67" s="183">
        <v>0</v>
      </c>
      <c r="D67" s="183">
        <v>0</v>
      </c>
      <c r="E67" s="183">
        <f>+'PCR (M2)'!AN67</f>
        <v>2.3231791666666669E-3</v>
      </c>
      <c r="F67" s="183">
        <f>+'PCR (M2)'!AO67</f>
        <v>2.2185616666666667E-3</v>
      </c>
      <c r="G67" s="183">
        <f>+'PCR (M2)'!AP67</f>
        <v>2.2311341666666666E-3</v>
      </c>
      <c r="H67" s="183">
        <f>+'PCR (M2)'!AQ67</f>
        <v>2.2083808333333331E-3</v>
      </c>
      <c r="I67" s="183">
        <f>+'PCR (M2)'!AR67</f>
        <v>2.1623908333333335E-3</v>
      </c>
      <c r="J67" s="183">
        <f>+'PCR (M2)'!AS67</f>
        <v>1.959325E-3</v>
      </c>
      <c r="K67" s="183">
        <f>+'PCR (M2)'!AT67</f>
        <v>1.8473916666666666E-3</v>
      </c>
      <c r="L67" s="183">
        <f>+'PCR (M2)'!AU67</f>
        <v>1.7616100000000003E-3</v>
      </c>
      <c r="M67" s="183">
        <f>+'PCR (M2)'!AV67</f>
        <v>1.5133241666666667E-3</v>
      </c>
      <c r="N67" s="183">
        <f>+'PCR (M2)'!AW67</f>
        <v>1.5959991666666667E-3</v>
      </c>
      <c r="O67" s="183">
        <f>+'PCR (M2)'!AX67</f>
        <v>1.5742316666666667E-3</v>
      </c>
      <c r="P67" s="183">
        <f>+'PCR (M2)'!AY67</f>
        <v>1.5029858333333332E-3</v>
      </c>
      <c r="Q67" s="183">
        <f>+'PCR (M2)'!AZ67</f>
        <v>1.5738266666666667E-3</v>
      </c>
      <c r="R67" s="183">
        <f>+'PCR (M2)'!BA67</f>
        <v>7.8204999999999995E-4</v>
      </c>
      <c r="S67" s="183">
        <f>+'PCR (M2)'!BB67</f>
        <v>1.0755583333333334E-4</v>
      </c>
      <c r="T67" s="183">
        <f>+'PCR (M2)'!BC67</f>
        <v>1.046925E-4</v>
      </c>
      <c r="U67" s="183">
        <f>+'PCR (M2)'!BD67</f>
        <v>1.6138583333333333E-4</v>
      </c>
      <c r="V67" s="183">
        <f>+'PCR (M2)'!BE67</f>
        <v>1.1382083333333333E-4</v>
      </c>
      <c r="W67" s="183">
        <f>+'PCR (M2)'!BF67</f>
        <v>1.0326333333333334E-4</v>
      </c>
      <c r="X67" s="183">
        <f>+'PCR (M2)'!BG67</f>
        <v>1.6666666666666666E-4</v>
      </c>
      <c r="Y67" s="311">
        <f>+X67</f>
        <v>1.6666666666666666E-4</v>
      </c>
      <c r="Z67" s="183">
        <f>+Y67</f>
        <v>1.6666666666666666E-4</v>
      </c>
      <c r="AA67" s="249">
        <f>+Z67</f>
        <v>1.6666666666666666E-4</v>
      </c>
    </row>
    <row r="68" spans="1:27" x14ac:dyDescent="0.25">
      <c r="A68" s="162" t="s">
        <v>0</v>
      </c>
      <c r="B68" s="107">
        <f t="shared" ref="B68:J72" si="95">B61*B$67</f>
        <v>0</v>
      </c>
      <c r="C68" s="111">
        <f t="shared" si="95"/>
        <v>0</v>
      </c>
      <c r="D68" s="111">
        <f t="shared" si="95"/>
        <v>0</v>
      </c>
      <c r="E68" s="111">
        <f>E61*E$67</f>
        <v>7312.0127170824117</v>
      </c>
      <c r="F68" s="111">
        <f t="shared" si="95"/>
        <v>9547.7695822299884</v>
      </c>
      <c r="G68" s="111">
        <f t="shared" si="95"/>
        <v>13388.134543264578</v>
      </c>
      <c r="H68" s="111">
        <f t="shared" si="95"/>
        <v>10191.988603166816</v>
      </c>
      <c r="I68" s="111">
        <f t="shared" si="95"/>
        <v>6257.8641432947015</v>
      </c>
      <c r="J68" s="111">
        <f t="shared" si="95"/>
        <v>4597.9996187502447</v>
      </c>
      <c r="K68" s="111">
        <f t="shared" ref="K68" si="96">K61*K$67</f>
        <v>-257.17492588303566</v>
      </c>
      <c r="L68" s="111">
        <f>L61*L$67</f>
        <v>-1364.6197783620464</v>
      </c>
      <c r="M68" s="111">
        <f t="shared" ref="M68:W68" si="97">M61*M$67</f>
        <v>1816.5028676149022</v>
      </c>
      <c r="N68" s="111">
        <f t="shared" si="97"/>
        <v>6327.6730646975439</v>
      </c>
      <c r="O68" s="111">
        <f t="shared" si="97"/>
        <v>-893.88126178451637</v>
      </c>
      <c r="P68" s="111">
        <f t="shared" si="97"/>
        <v>-3232.3990154875055</v>
      </c>
      <c r="Q68" s="111">
        <f t="shared" si="97"/>
        <v>-1781.8250844039085</v>
      </c>
      <c r="R68" s="111">
        <f t="shared" si="97"/>
        <v>-1277.9294031054819</v>
      </c>
      <c r="S68" s="111">
        <f t="shared" si="97"/>
        <v>-152.68964279314361</v>
      </c>
      <c r="T68" s="111">
        <f t="shared" si="97"/>
        <v>-105.27741311733838</v>
      </c>
      <c r="U68" s="111">
        <f t="shared" si="97"/>
        <v>-165.87796802695968</v>
      </c>
      <c r="V68" s="111">
        <f t="shared" si="97"/>
        <v>-119.27020429909221</v>
      </c>
      <c r="W68" s="111">
        <f t="shared" si="97"/>
        <v>64.638602278238764</v>
      </c>
      <c r="X68" s="111">
        <f t="shared" ref="X68" si="98">X61*X$67</f>
        <v>146.63415428716471</v>
      </c>
      <c r="Y68" s="107">
        <f>Y61*Y$67</f>
        <v>456.8486767643235</v>
      </c>
      <c r="Z68" s="111">
        <f t="shared" ref="Z68:AA68" si="99">Z61*Z$67</f>
        <v>752.70719867418018</v>
      </c>
      <c r="AA68" s="112">
        <f t="shared" si="99"/>
        <v>626.16105146444488</v>
      </c>
    </row>
    <row r="69" spans="1:27" x14ac:dyDescent="0.25">
      <c r="A69" s="162" t="s">
        <v>4</v>
      </c>
      <c r="B69" s="107">
        <f t="shared" si="95"/>
        <v>0</v>
      </c>
      <c r="C69" s="111">
        <f t="shared" si="95"/>
        <v>0</v>
      </c>
      <c r="D69" s="111">
        <f t="shared" si="95"/>
        <v>0</v>
      </c>
      <c r="E69" s="111">
        <f t="shared" si="95"/>
        <v>546.35390499262962</v>
      </c>
      <c r="F69" s="111">
        <f t="shared" si="95"/>
        <v>660.19346146625196</v>
      </c>
      <c r="G69" s="111">
        <f t="shared" si="95"/>
        <v>868.13497853674039</v>
      </c>
      <c r="H69" s="111">
        <f t="shared" si="95"/>
        <v>33.57978450688789</v>
      </c>
      <c r="I69" s="111">
        <f t="shared" si="95"/>
        <v>-878.67491808065699</v>
      </c>
      <c r="J69" s="111">
        <f t="shared" si="95"/>
        <v>-1471.9660269688288</v>
      </c>
      <c r="K69" s="111">
        <f t="shared" ref="K69:L69" si="100">K62*K$67</f>
        <v>-1492.2491658684592</v>
      </c>
      <c r="L69" s="111">
        <f t="shared" si="100"/>
        <v>-1815.3311713015562</v>
      </c>
      <c r="M69" s="111">
        <f t="shared" ref="M69:W69" si="101">M62*M$67</f>
        <v>-1473.5887754096366</v>
      </c>
      <c r="N69" s="111">
        <f t="shared" si="101"/>
        <v>92.878447882321609</v>
      </c>
      <c r="O69" s="111">
        <f t="shared" si="101"/>
        <v>-181.09171603606225</v>
      </c>
      <c r="P69" s="111">
        <f t="shared" si="101"/>
        <v>-842.48919195230985</v>
      </c>
      <c r="Q69" s="111">
        <f t="shared" si="101"/>
        <v>-1470.8097433123144</v>
      </c>
      <c r="R69" s="111">
        <f t="shared" si="101"/>
        <v>-813.10650117983619</v>
      </c>
      <c r="S69" s="111">
        <f t="shared" si="101"/>
        <v>-126.9369356273056</v>
      </c>
      <c r="T69" s="111">
        <f t="shared" si="101"/>
        <v>-141.72431542556242</v>
      </c>
      <c r="U69" s="111">
        <f t="shared" si="101"/>
        <v>-287.00945363331022</v>
      </c>
      <c r="V69" s="111">
        <f t="shared" si="101"/>
        <v>-224.55783062996227</v>
      </c>
      <c r="W69" s="111">
        <f t="shared" si="101"/>
        <v>-214.38224285795724</v>
      </c>
      <c r="X69" s="111">
        <f t="shared" ref="X69" si="102">X62*X$67</f>
        <v>-330.04999631469877</v>
      </c>
      <c r="Y69" s="107">
        <f t="shared" ref="Y69:AA69" si="103">Y62*Y$67</f>
        <v>-182.10821051520804</v>
      </c>
      <c r="Z69" s="111">
        <f t="shared" si="103"/>
        <v>74.923520446712843</v>
      </c>
      <c r="AA69" s="112">
        <f t="shared" si="103"/>
        <v>58.885436378901034</v>
      </c>
    </row>
    <row r="70" spans="1:27" x14ac:dyDescent="0.25">
      <c r="A70" s="162" t="s">
        <v>5</v>
      </c>
      <c r="B70" s="107">
        <f t="shared" si="95"/>
        <v>0</v>
      </c>
      <c r="C70" s="111">
        <f t="shared" si="95"/>
        <v>0</v>
      </c>
      <c r="D70" s="111">
        <f t="shared" si="95"/>
        <v>0</v>
      </c>
      <c r="E70" s="111">
        <f t="shared" si="95"/>
        <v>1135.211846532688</v>
      </c>
      <c r="F70" s="111">
        <f t="shared" si="95"/>
        <v>1405.5849775902627</v>
      </c>
      <c r="G70" s="111">
        <f t="shared" si="95"/>
        <v>1970.3692010180157</v>
      </c>
      <c r="H70" s="111">
        <f t="shared" si="95"/>
        <v>10.549033911447564</v>
      </c>
      <c r="I70" s="111">
        <f t="shared" si="95"/>
        <v>-2015.3966783500557</v>
      </c>
      <c r="J70" s="111">
        <f t="shared" si="95"/>
        <v>-3323.2598551280912</v>
      </c>
      <c r="K70" s="111">
        <f t="shared" ref="K70:L70" si="104">K63*K$67</f>
        <v>-3376.4317577099905</v>
      </c>
      <c r="L70" s="111">
        <f t="shared" si="104"/>
        <v>-4150.6266773921798</v>
      </c>
      <c r="M70" s="111">
        <f t="shared" ref="M70:W70" si="105">M63*M$67</f>
        <v>-3370.8163670772865</v>
      </c>
      <c r="N70" s="111">
        <f t="shared" si="105"/>
        <v>-30.687546171680722</v>
      </c>
      <c r="O70" s="111">
        <f t="shared" si="105"/>
        <v>-598.50987006128719</v>
      </c>
      <c r="P70" s="111">
        <f t="shared" si="105"/>
        <v>-1954.2686239697848</v>
      </c>
      <c r="Q70" s="111">
        <f t="shared" si="105"/>
        <v>-3305.3678382759081</v>
      </c>
      <c r="R70" s="111">
        <f t="shared" si="105"/>
        <v>-1838.7921114581502</v>
      </c>
      <c r="S70" s="111">
        <f t="shared" si="105"/>
        <v>-289.8510689476181</v>
      </c>
      <c r="T70" s="111">
        <f t="shared" si="105"/>
        <v>-324.08569774354294</v>
      </c>
      <c r="U70" s="111">
        <f t="shared" si="105"/>
        <v>-648.18892929733488</v>
      </c>
      <c r="V70" s="111">
        <f t="shared" si="105"/>
        <v>-506.41408592079944</v>
      </c>
      <c r="W70" s="111">
        <f t="shared" si="105"/>
        <v>-484.09910222134874</v>
      </c>
      <c r="X70" s="111">
        <f t="shared" ref="X70" si="106">X63*X$67</f>
        <v>-742.88127297025903</v>
      </c>
      <c r="Y70" s="107">
        <f t="shared" ref="Y70:AA70" si="107">Y63*Y$67</f>
        <v>-391.10648513431556</v>
      </c>
      <c r="Z70" s="111">
        <f t="shared" si="107"/>
        <v>162.79152106688562</v>
      </c>
      <c r="AA70" s="112">
        <f t="shared" si="107"/>
        <v>129.24442147409707</v>
      </c>
    </row>
    <row r="71" spans="1:27" x14ac:dyDescent="0.25">
      <c r="A71" s="162" t="s">
        <v>6</v>
      </c>
      <c r="B71" s="107">
        <f t="shared" si="95"/>
        <v>0</v>
      </c>
      <c r="C71" s="111">
        <f t="shared" si="95"/>
        <v>0</v>
      </c>
      <c r="D71" s="111">
        <f t="shared" si="95"/>
        <v>0</v>
      </c>
      <c r="E71" s="111">
        <f t="shared" si="95"/>
        <v>466.55151996583101</v>
      </c>
      <c r="F71" s="111">
        <f t="shared" si="95"/>
        <v>582.31551051453528</v>
      </c>
      <c r="G71" s="111">
        <f t="shared" si="95"/>
        <v>829.35813785550499</v>
      </c>
      <c r="H71" s="111">
        <f t="shared" si="95"/>
        <v>115.16135211133555</v>
      </c>
      <c r="I71" s="111">
        <f t="shared" si="95"/>
        <v>-713.21571832490963</v>
      </c>
      <c r="J71" s="111">
        <f t="shared" si="95"/>
        <v>-1271.8195261234175</v>
      </c>
      <c r="K71" s="111">
        <f t="shared" ref="K71:L71" si="108">K64*K$67</f>
        <v>-1298.9228946352098</v>
      </c>
      <c r="L71" s="111">
        <f t="shared" si="108"/>
        <v>-1624.5016764958691</v>
      </c>
      <c r="M71" s="111">
        <f t="shared" ref="M71:W71" si="109">M64*M$67</f>
        <v>-1309.6296945791332</v>
      </c>
      <c r="N71" s="111">
        <f t="shared" si="109"/>
        <v>43.289888747011943</v>
      </c>
      <c r="O71" s="111">
        <f t="shared" si="109"/>
        <v>-185.50355408500144</v>
      </c>
      <c r="P71" s="111">
        <f t="shared" si="109"/>
        <v>-769.67131025102537</v>
      </c>
      <c r="Q71" s="111">
        <f t="shared" si="109"/>
        <v>-1314.8091484863708</v>
      </c>
      <c r="R71" s="111">
        <f t="shared" si="109"/>
        <v>-746.3407269992565</v>
      </c>
      <c r="S71" s="111">
        <f t="shared" si="109"/>
        <v>-120.14889779532663</v>
      </c>
      <c r="T71" s="111">
        <f t="shared" si="109"/>
        <v>-136.43045873069485</v>
      </c>
      <c r="U71" s="111">
        <f t="shared" si="109"/>
        <v>-271.65451444042486</v>
      </c>
      <c r="V71" s="111">
        <f t="shared" si="109"/>
        <v>-213.33289915029124</v>
      </c>
      <c r="W71" s="111">
        <f t="shared" si="109"/>
        <v>-204.76672845275971</v>
      </c>
      <c r="X71" s="111">
        <f t="shared" ref="X71" si="110">X64*X$67</f>
        <v>-314.14437861679892</v>
      </c>
      <c r="Y71" s="107">
        <f t="shared" ref="Y71:AA71" si="111">Y64*Y$67</f>
        <v>-163.34743005724647</v>
      </c>
      <c r="Z71" s="111">
        <f t="shared" si="111"/>
        <v>64.673932514088364</v>
      </c>
      <c r="AA71" s="112">
        <f t="shared" si="111"/>
        <v>49.955744238422767</v>
      </c>
    </row>
    <row r="72" spans="1:27" ht="15.75" thickBot="1" x14ac:dyDescent="0.3">
      <c r="A72" s="162" t="s">
        <v>7</v>
      </c>
      <c r="B72" s="107">
        <f t="shared" si="95"/>
        <v>0</v>
      </c>
      <c r="C72" s="111">
        <f t="shared" si="95"/>
        <v>0</v>
      </c>
      <c r="D72" s="111">
        <f t="shared" si="95"/>
        <v>0</v>
      </c>
      <c r="E72" s="111">
        <f t="shared" si="95"/>
        <v>193.67843919990054</v>
      </c>
      <c r="F72" s="111">
        <f t="shared" si="95"/>
        <v>243.10299133509838</v>
      </c>
      <c r="G72" s="111">
        <f t="shared" si="95"/>
        <v>375.87987409015579</v>
      </c>
      <c r="H72" s="111">
        <f t="shared" si="95"/>
        <v>224.78258730983407</v>
      </c>
      <c r="I72" s="111">
        <f t="shared" si="95"/>
        <v>-128.59105362110319</v>
      </c>
      <c r="J72" s="111">
        <f t="shared" si="95"/>
        <v>-395.00909200502508</v>
      </c>
      <c r="K72" s="111">
        <f t="shared" ref="K72:L72" si="112">K65*K$67</f>
        <v>-417.46100146851796</v>
      </c>
      <c r="L72" s="111">
        <f t="shared" si="112"/>
        <v>-576.30892961137204</v>
      </c>
      <c r="M72" s="111">
        <f t="shared" ref="M72:W72" si="113">M65*M$67</f>
        <v>-456.68768314127954</v>
      </c>
      <c r="N72" s="111">
        <f t="shared" si="113"/>
        <v>109.82676236860692</v>
      </c>
      <c r="O72" s="111">
        <f t="shared" si="113"/>
        <v>10.988334543145706</v>
      </c>
      <c r="P72" s="111">
        <f t="shared" si="113"/>
        <v>-249.7258452652907</v>
      </c>
      <c r="Q72" s="111">
        <f t="shared" si="113"/>
        <v>-448.29492617424989</v>
      </c>
      <c r="R72" s="111">
        <f t="shared" si="113"/>
        <v>-266.22179257967218</v>
      </c>
      <c r="S72" s="111">
        <f t="shared" si="113"/>
        <v>-45.153725299919977</v>
      </c>
      <c r="T72" s="111">
        <f t="shared" si="113"/>
        <v>-42.032261947482347</v>
      </c>
      <c r="U72" s="111">
        <f t="shared" si="113"/>
        <v>-91.280037864708746</v>
      </c>
      <c r="V72" s="111">
        <f t="shared" si="113"/>
        <v>-74.01255769630211</v>
      </c>
      <c r="W72" s="111">
        <f t="shared" si="113"/>
        <v>-72.50331029109509</v>
      </c>
      <c r="X72" s="111">
        <f t="shared" ref="X72" si="114">X65*X$67</f>
        <v>-111.38841373272977</v>
      </c>
      <c r="Y72" s="107">
        <f t="shared" ref="Y72:AA72" si="115">Y65*Y$67</f>
        <v>-46.174769147649059</v>
      </c>
      <c r="Z72" s="111">
        <f t="shared" si="115"/>
        <v>49.608558757800992</v>
      </c>
      <c r="AA72" s="112">
        <f t="shared" si="115"/>
        <v>42.633810216649337</v>
      </c>
    </row>
    <row r="73" spans="1:27" ht="16.5" thickTop="1" thickBot="1" x14ac:dyDescent="0.3">
      <c r="A73" s="123" t="s">
        <v>71</v>
      </c>
      <c r="B73" s="127">
        <f>SUM(B68:B72)+SUM(B61:B65)-B76</f>
        <v>0</v>
      </c>
      <c r="C73" s="128">
        <f t="shared" ref="C73:J73" si="116">SUM(C68:C72)+SUM(C61:C65)-C76</f>
        <v>0</v>
      </c>
      <c r="D73" s="128">
        <f t="shared" si="116"/>
        <v>0</v>
      </c>
      <c r="E73" s="128">
        <f t="shared" si="116"/>
        <v>0</v>
      </c>
      <c r="F73" s="128">
        <f t="shared" si="116"/>
        <v>0</v>
      </c>
      <c r="G73" s="128">
        <f t="shared" si="116"/>
        <v>0</v>
      </c>
      <c r="H73" s="128">
        <f t="shared" si="116"/>
        <v>0</v>
      </c>
      <c r="I73" s="128">
        <f t="shared" si="116"/>
        <v>0</v>
      </c>
      <c r="J73" s="128">
        <f t="shared" si="116"/>
        <v>0</v>
      </c>
      <c r="K73" s="128">
        <f t="shared" ref="K73:L73" si="117">SUM(K68:K72)+SUM(K61:K65)-K76</f>
        <v>0</v>
      </c>
      <c r="L73" s="128">
        <f t="shared" si="117"/>
        <v>0</v>
      </c>
      <c r="M73" s="128">
        <f t="shared" ref="M73:N73" si="118">SUM(M68:M72)+SUM(M61:M65)-M76</f>
        <v>0</v>
      </c>
      <c r="N73" s="128">
        <f t="shared" si="118"/>
        <v>0</v>
      </c>
      <c r="O73" s="128">
        <f t="shared" ref="O73:W73" si="119">SUM(O68:O72)+SUM(O61:O65)-O76</f>
        <v>0</v>
      </c>
      <c r="P73" s="128">
        <f t="shared" si="119"/>
        <v>0</v>
      </c>
      <c r="Q73" s="128">
        <f t="shared" si="119"/>
        <v>0</v>
      </c>
      <c r="R73" s="128">
        <f t="shared" si="119"/>
        <v>0</v>
      </c>
      <c r="S73" s="128">
        <f t="shared" si="119"/>
        <v>0</v>
      </c>
      <c r="T73" s="128">
        <f t="shared" si="119"/>
        <v>0</v>
      </c>
      <c r="U73" s="128">
        <f t="shared" si="119"/>
        <v>0</v>
      </c>
      <c r="V73" s="128">
        <f t="shared" si="119"/>
        <v>0</v>
      </c>
      <c r="W73" s="128">
        <f t="shared" si="119"/>
        <v>0</v>
      </c>
      <c r="X73" s="128">
        <f t="shared" ref="X73" si="120">SUM(X68:X72)+SUM(X61:X65)-X76</f>
        <v>0</v>
      </c>
      <c r="Y73" s="127">
        <f>SUM(Y68:Y72)+SUM(Y61:Y65)-Y76</f>
        <v>0</v>
      </c>
      <c r="Z73" s="128">
        <f>SUM(Z68:Z72)+SUM(Z61:Z65)-Z76</f>
        <v>0</v>
      </c>
      <c r="AA73" s="129">
        <f>SUM(AA68:AA72)+SUM(AA61:AA65)-AA76</f>
        <v>0</v>
      </c>
    </row>
    <row r="74" spans="1:27" ht="16.5" thickTop="1" thickBot="1" x14ac:dyDescent="0.3">
      <c r="A74" s="123" t="s">
        <v>72</v>
      </c>
      <c r="B74" s="127">
        <f t="shared" ref="B74:J74" si="121">SUM(B68:B72)-B51</f>
        <v>0</v>
      </c>
      <c r="C74" s="128">
        <f t="shared" si="121"/>
        <v>0</v>
      </c>
      <c r="D74" s="125">
        <f>SUM(D68:D72)-D51</f>
        <v>0</v>
      </c>
      <c r="E74" s="128">
        <f>SUM(E68:E72)-E51</f>
        <v>-1.57222653797362E-3</v>
      </c>
      <c r="F74" s="128">
        <f t="shared" si="121"/>
        <v>-3.4768638633977389E-3</v>
      </c>
      <c r="G74" s="128">
        <f t="shared" si="121"/>
        <v>-3.2652350055286661E-3</v>
      </c>
      <c r="H74" s="128">
        <f t="shared" si="121"/>
        <v>1.361006321531022E-3</v>
      </c>
      <c r="I74" s="128">
        <f t="shared" si="121"/>
        <v>-4.2250820238223241E-3</v>
      </c>
      <c r="J74" s="128">
        <f t="shared" si="121"/>
        <v>-4.8814751178269944E-3</v>
      </c>
      <c r="K74" s="128">
        <f t="shared" ref="K74" si="122">SUM(K68:K72)-K51</f>
        <v>2.5443478716624668E-4</v>
      </c>
      <c r="L74" s="128">
        <f>SUM(L68:L72)-L51</f>
        <v>1.7668369764578529E-3</v>
      </c>
      <c r="M74" s="128">
        <f>SUM(M68:M72)-M51</f>
        <v>3.4740756655082805E-4</v>
      </c>
      <c r="N74" s="128">
        <f>SUM(N68:N72)-N51</f>
        <v>6.1752380406687735E-4</v>
      </c>
      <c r="O74" s="128">
        <f t="shared" ref="O74:W74" si="123">SUM(O68:O72)-O51</f>
        <v>1.932576278477427E-3</v>
      </c>
      <c r="P74" s="128">
        <f t="shared" si="123"/>
        <v>-3.9869259162514936E-3</v>
      </c>
      <c r="Q74" s="128">
        <f t="shared" si="123"/>
        <v>3.2593472478765761E-3</v>
      </c>
      <c r="R74" s="128">
        <f t="shared" si="123"/>
        <v>-5.353223968995735E-4</v>
      </c>
      <c r="S74" s="128">
        <f t="shared" si="123"/>
        <v>-2.7046331399560586E-4</v>
      </c>
      <c r="T74" s="128">
        <f t="shared" si="123"/>
        <v>-1.4696462108076958E-4</v>
      </c>
      <c r="U74" s="128">
        <f t="shared" si="123"/>
        <v>-9.0326273834762105E-4</v>
      </c>
      <c r="V74" s="128">
        <f t="shared" si="123"/>
        <v>2.4223035527484171E-3</v>
      </c>
      <c r="W74" s="128">
        <f t="shared" si="123"/>
        <v>-2.7815449220724986E-3</v>
      </c>
      <c r="X74" s="128">
        <f>SUM(X68:X72)-X51</f>
        <v>9.2652678176818881E-5</v>
      </c>
      <c r="Y74" s="127">
        <f>SUM(Y68:Y72)-Y51</f>
        <v>1.78190990436633E-3</v>
      </c>
      <c r="Z74" s="128">
        <f>SUM(Z68:Z72)-Z51</f>
        <v>4.7314596677097143E-3</v>
      </c>
      <c r="AA74" s="129">
        <f>SUM(AA68:AA72)-AA51</f>
        <v>4.6377251499052363E-4</v>
      </c>
    </row>
    <row r="75" spans="1:27" ht="15.75" thickTop="1" x14ac:dyDescent="0.25">
      <c r="B75" s="97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199"/>
      <c r="N75" s="199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5"/>
      <c r="Z75" s="96"/>
      <c r="AA75" s="99"/>
    </row>
    <row r="76" spans="1:27" x14ac:dyDescent="0.25">
      <c r="A76" s="162" t="s">
        <v>73</v>
      </c>
      <c r="B76" s="107">
        <f>(SUM(B15:B18)-SUM(B35:B39))+SUM(B68:B72)</f>
        <v>472906.7</v>
      </c>
      <c r="C76" s="111">
        <f t="shared" ref="C76:J76" si="124">(SUM(C15:C18)-SUM(C35:C39))+SUM(C68:C72)+B76</f>
        <v>594857.16</v>
      </c>
      <c r="D76" s="111">
        <f t="shared" si="124"/>
        <v>900914.26</v>
      </c>
      <c r="E76" s="111">
        <f t="shared" si="124"/>
        <v>4165083.8184277741</v>
      </c>
      <c r="F76" s="111">
        <f t="shared" si="124"/>
        <v>5619209.6549509112</v>
      </c>
      <c r="G76" s="111">
        <f t="shared" si="124"/>
        <v>7830443.301685676</v>
      </c>
      <c r="H76" s="111">
        <f t="shared" si="124"/>
        <v>4799632.9130466823</v>
      </c>
      <c r="I76" s="111">
        <f t="shared" si="124"/>
        <v>1168817.0588215999</v>
      </c>
      <c r="J76" s="111">
        <f t="shared" si="124"/>
        <v>-953240.10605987534</v>
      </c>
      <c r="K76" s="111">
        <f t="shared" ref="K76" si="125">(SUM(K15:K18)-SUM(K35:K39))+SUM(K68:K72)+J76</f>
        <v>-3710572.1358054406</v>
      </c>
      <c r="L76" s="111">
        <f t="shared" ref="L76" si="126">(SUM(L15:L18)-SUM(L35:L39))+SUM(L68:L72)+K76</f>
        <v>-5420143.4040386043</v>
      </c>
      <c r="M76" s="111">
        <f t="shared" ref="M76" si="127">(SUM(M15:M18)-SUM(M35:M39))+SUM(M68:M72)+L76</f>
        <v>-3172799.9636911964</v>
      </c>
      <c r="N76" s="111">
        <f t="shared" ref="N76" si="128">(SUM(N15:N18)-SUM(N35:N39))+SUM(N68:N72)+M76</f>
        <v>4106157.0369263273</v>
      </c>
      <c r="O76" s="111">
        <f t="shared" ref="O76" si="129">(SUM(O15:O18)-SUM(O35:O39))+SUM(O68:O72)+N76</f>
        <v>-1175752.7711410951</v>
      </c>
      <c r="P76" s="111">
        <f t="shared" ref="P76" si="130">(SUM(P15:P18)-SUM(P35:P39))+SUM(P68:P72)+O76</f>
        <v>-4696749.4351280211</v>
      </c>
      <c r="Q76" s="111">
        <f t="shared" ref="Q76" si="131">(SUM(Q15:Q18)-SUM(Q35:Q39))+SUM(Q68:Q72)+P76</f>
        <v>-5295502.2918686736</v>
      </c>
      <c r="R76" s="111">
        <f t="shared" ref="R76" si="132">(SUM(R15:R18)-SUM(R35:R39))+SUM(R68:R72)+Q76</f>
        <v>-6324730.8124039965</v>
      </c>
      <c r="S76" s="111">
        <f t="shared" ref="S76" si="133">(SUM(S15:S18)-SUM(S35:S39))+SUM(S68:S72)+R76</f>
        <v>-6832351.8826744594</v>
      </c>
      <c r="T76" s="111">
        <f t="shared" ref="T76" si="134">(SUM(T15:T18)-SUM(T35:T39))+SUM(T68:T72)+S76</f>
        <v>-7160289.6028214237</v>
      </c>
      <c r="U76" s="111">
        <f t="shared" ref="U76" si="135">(SUM(U15:U18)-SUM(U35:U39))+SUM(U68:U72)+T76</f>
        <v>-9072959.7737246882</v>
      </c>
      <c r="V76" s="111">
        <f t="shared" ref="V76" si="136">(SUM(V15:V18)-SUM(V35:V39))+SUM(V68:V72)+U76</f>
        <v>-9995683.7913023848</v>
      </c>
      <c r="W76" s="111">
        <f t="shared" ref="W76" si="137">(SUM(W15:W18)-SUM(W35:W39))+SUM(W68:W72)+V76</f>
        <v>-8824108.5840839278</v>
      </c>
      <c r="X76" s="111">
        <f>(SUM(X15:X18)-SUM(X35:X39))+SUM(X68:X72)+W76</f>
        <v>-8112331.2739912765</v>
      </c>
      <c r="Y76" s="107">
        <f>(SUM(Y15:Y18)-SUM(Y35:Y39))+SUM(Y68:Y72)+X76</f>
        <v>-1955655.1967586633</v>
      </c>
      <c r="Z76" s="111">
        <f>(SUM(Z15:Z18)-SUM(Z35:Z39))+SUM(Z68:Z72)+Y76</f>
        <v>6629333.0934894644</v>
      </c>
      <c r="AA76" s="112">
        <f t="shared" ref="AA76" si="138">(SUM(AA15:AA18)-SUM(AA35:AA39))+SUM(AA68:AA72)+Z76</f>
        <v>5442189.6630988587</v>
      </c>
    </row>
    <row r="77" spans="1:27" x14ac:dyDescent="0.25"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220"/>
      <c r="Z77" s="194"/>
      <c r="AA77" s="195"/>
    </row>
    <row r="78" spans="1:27" x14ac:dyDescent="0.25">
      <c r="A78" s="196" t="s">
        <v>0</v>
      </c>
      <c r="B78" s="97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148"/>
      <c r="Z78" s="98"/>
      <c r="AA78" s="99"/>
    </row>
    <row r="79" spans="1:27" x14ac:dyDescent="0.25">
      <c r="A79" s="196" t="s">
        <v>4</v>
      </c>
      <c r="B79" s="97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98"/>
      <c r="AA79" s="99"/>
    </row>
    <row r="80" spans="1:27" x14ac:dyDescent="0.25">
      <c r="A80" s="196" t="s">
        <v>5</v>
      </c>
      <c r="B80" s="97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  <c r="Z80" s="98"/>
      <c r="AA80" s="99"/>
    </row>
    <row r="81" spans="1:27" x14ac:dyDescent="0.25">
      <c r="A81" s="196" t="s">
        <v>6</v>
      </c>
      <c r="B81" s="97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  <c r="Z81" s="98"/>
      <c r="AA81" s="99"/>
    </row>
    <row r="82" spans="1:27" ht="15.75" thickBot="1" x14ac:dyDescent="0.3">
      <c r="A82" s="196" t="s">
        <v>7</v>
      </c>
      <c r="B82" s="146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46"/>
      <c r="Z82" s="147"/>
      <c r="AA82" s="132"/>
    </row>
    <row r="83" spans="1:27" x14ac:dyDescent="0.25">
      <c r="D83" s="54"/>
      <c r="E83" s="50"/>
      <c r="F83" s="50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5" spans="1:27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1:27" x14ac:dyDescent="0.25"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3"/>
    </row>
    <row r="87" spans="1:27" x14ac:dyDescent="0.25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9" spans="1:27" x14ac:dyDescent="0.25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3"/>
    </row>
  </sheetData>
  <mergeCells count="1">
    <mergeCell ref="Y13:AA13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-0.249977111117893"/>
    <pageSetUpPr fitToPage="1"/>
  </sheetPr>
  <dimension ref="A1:BQ89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BJ16" sqref="BJ16"/>
    </sheetView>
  </sheetViews>
  <sheetFormatPr defaultColWidth="9.140625" defaultRowHeight="15" x14ac:dyDescent="0.25"/>
  <cols>
    <col min="1" max="1" width="21.5703125" style="69" customWidth="1"/>
    <col min="2" max="2" width="15.28515625" style="69" customWidth="1"/>
    <col min="3" max="3" width="15.85546875" style="69" customWidth="1"/>
    <col min="4" max="4" width="17.85546875" style="69" customWidth="1"/>
    <col min="5" max="5" width="16.140625" style="69" customWidth="1"/>
    <col min="6" max="6" width="15" style="69" bestFit="1" customWidth="1"/>
    <col min="7" max="7" width="16" style="69" customWidth="1"/>
    <col min="8" max="8" width="15" style="69" bestFit="1" customWidth="1"/>
    <col min="9" max="11" width="16" style="69" bestFit="1" customWidth="1"/>
    <col min="12" max="59" width="16" style="162" customWidth="1"/>
    <col min="60" max="60" width="16.42578125" style="69" customWidth="1"/>
    <col min="61" max="61" width="17.28515625" style="69" customWidth="1"/>
    <col min="62" max="62" width="16.85546875" style="69" customWidth="1"/>
    <col min="63" max="63" width="13.85546875" style="69" bestFit="1" customWidth="1"/>
    <col min="64" max="64" width="10.85546875" style="69" bestFit="1" customWidth="1"/>
    <col min="65" max="65" width="9.140625" style="69"/>
    <col min="66" max="66" width="12.7109375" style="69" bestFit="1" customWidth="1"/>
    <col min="67" max="16384" width="9.140625" style="69"/>
  </cols>
  <sheetData>
    <row r="1" spans="1:69" x14ac:dyDescent="0.25">
      <c r="A1" s="47" t="s">
        <v>167</v>
      </c>
      <c r="B1" s="47"/>
    </row>
    <row r="2" spans="1:69" x14ac:dyDescent="0.25">
      <c r="B2" s="181" t="s">
        <v>77</v>
      </c>
      <c r="J2" s="2" t="s">
        <v>26</v>
      </c>
    </row>
    <row r="3" spans="1:69" x14ac:dyDescent="0.25">
      <c r="B3" s="198" t="s">
        <v>114</v>
      </c>
      <c r="C3" s="82" t="s">
        <v>64</v>
      </c>
      <c r="D3" s="82" t="s">
        <v>78</v>
      </c>
      <c r="E3" s="180" t="s">
        <v>97</v>
      </c>
      <c r="F3" s="180" t="s">
        <v>91</v>
      </c>
      <c r="G3" s="82" t="s">
        <v>65</v>
      </c>
      <c r="H3" s="82" t="s">
        <v>79</v>
      </c>
      <c r="J3" s="55" t="s">
        <v>80</v>
      </c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</row>
    <row r="4" spans="1:69" x14ac:dyDescent="0.25">
      <c r="A4" s="69" t="s">
        <v>0</v>
      </c>
      <c r="B4" s="23">
        <f>+N78</f>
        <v>2260140</v>
      </c>
      <c r="C4" s="23">
        <f>SUM(B42:BJ42)</f>
        <v>60538068.770087816</v>
      </c>
      <c r="D4" s="83">
        <f>SUM(B28:BJ28)</f>
        <v>65606008299.586281</v>
      </c>
      <c r="E4" s="23">
        <f>SUM(B21:BJ21)</f>
        <v>60349101.958132505</v>
      </c>
      <c r="F4" s="23">
        <f>+B4-C4+E4</f>
        <v>2071173.1880446896</v>
      </c>
      <c r="G4" s="23">
        <f>SUM(B68:BJ68)</f>
        <v>-221103.67689010958</v>
      </c>
      <c r="H4" s="41">
        <f>F4+G4</f>
        <v>1850069.5111545799</v>
      </c>
      <c r="J4" s="55" t="s">
        <v>94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</row>
    <row r="5" spans="1:69" x14ac:dyDescent="0.25">
      <c r="A5" s="69" t="s">
        <v>4</v>
      </c>
      <c r="B5" s="23">
        <f t="shared" ref="B5:B8" si="0">+N79</f>
        <v>98743</v>
      </c>
      <c r="C5" s="23">
        <f t="shared" ref="C5:C8" si="1">SUM(B43:BJ43)</f>
        <v>20708651.325521238</v>
      </c>
      <c r="D5" s="83">
        <f>SUM(B29:BJ29)</f>
        <v>16080069614.060162</v>
      </c>
      <c r="E5" s="23">
        <f>SUM(B22:BJ22)</f>
        <v>20474695.940093648</v>
      </c>
      <c r="F5" s="23">
        <f t="shared" ref="F5:F7" si="2">+B5-C5+E5</f>
        <v>-135212.38542759046</v>
      </c>
      <c r="G5" s="23">
        <f>SUM(B69:BJ69)</f>
        <v>-3756.6098549670878</v>
      </c>
      <c r="H5" s="41">
        <f>F5+G5</f>
        <v>-138968.99528255756</v>
      </c>
      <c r="J5" s="55" t="s">
        <v>93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</row>
    <row r="6" spans="1:69" x14ac:dyDescent="0.25">
      <c r="A6" s="69" t="s">
        <v>5</v>
      </c>
      <c r="B6" s="23">
        <f t="shared" si="0"/>
        <v>354201</v>
      </c>
      <c r="C6" s="23">
        <f t="shared" si="1"/>
        <v>47282653.562532224</v>
      </c>
      <c r="D6" s="83">
        <f>SUM(B30:BJ30)</f>
        <v>36762482630.492966</v>
      </c>
      <c r="E6" s="23">
        <f>SUM(B23:BJ23)</f>
        <v>46563920.721095383</v>
      </c>
      <c r="F6" s="23">
        <f t="shared" si="2"/>
        <v>-364531.84143684059</v>
      </c>
      <c r="G6" s="23">
        <f>SUM(B70:BJ70)</f>
        <v>-17578.436842603121</v>
      </c>
      <c r="H6" s="41">
        <f>F6+G6</f>
        <v>-382110.27827944374</v>
      </c>
      <c r="J6" s="55" t="s">
        <v>95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</row>
    <row r="7" spans="1:69" x14ac:dyDescent="0.25">
      <c r="A7" s="69" t="s">
        <v>6</v>
      </c>
      <c r="B7" s="23">
        <f t="shared" si="0"/>
        <v>106604</v>
      </c>
      <c r="C7" s="23">
        <f t="shared" si="1"/>
        <v>20720786.674210228</v>
      </c>
      <c r="D7" s="83">
        <f>SUM(B31:BJ31)</f>
        <v>15913342331.227337</v>
      </c>
      <c r="E7" s="23">
        <f>SUM(B24:BJ24)</f>
        <v>20427311.019289851</v>
      </c>
      <c r="F7" s="23">
        <f t="shared" si="2"/>
        <v>-186871.65492037684</v>
      </c>
      <c r="G7" s="23">
        <f>SUM(B71:BJ71)</f>
        <v>-8333.8875051327632</v>
      </c>
      <c r="H7" s="41">
        <f>F7+G7</f>
        <v>-195205.5424255096</v>
      </c>
      <c r="J7" s="55" t="s">
        <v>81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</row>
    <row r="8" spans="1:69" ht="15.75" thickBot="1" x14ac:dyDescent="0.3">
      <c r="A8" s="69" t="s">
        <v>7</v>
      </c>
      <c r="B8" s="23">
        <f t="shared" si="0"/>
        <v>-122962</v>
      </c>
      <c r="C8" s="23">
        <f t="shared" si="1"/>
        <v>9785054.1625868455</v>
      </c>
      <c r="D8" s="83">
        <f>SUM(B32:BJ32)</f>
        <v>7470828471.8366404</v>
      </c>
      <c r="E8" s="23">
        <f>SUM(B25:BJ25)</f>
        <v>9768216.7813886516</v>
      </c>
      <c r="F8" s="23">
        <f>+B8-C8+E8</f>
        <v>-139799.38119819388</v>
      </c>
      <c r="G8" s="23">
        <f>SUM(B72:BJ72)</f>
        <v>-8024.5511269643393</v>
      </c>
      <c r="H8" s="41">
        <f>F8+G8</f>
        <v>-147823.93232515821</v>
      </c>
      <c r="J8" s="55" t="s">
        <v>110</v>
      </c>
      <c r="L8" s="69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</row>
    <row r="9" spans="1:69" ht="16.5" thickTop="1" thickBot="1" x14ac:dyDescent="0.3">
      <c r="B9" s="84">
        <f>SUM(B4:B8)</f>
        <v>2696726</v>
      </c>
      <c r="C9" s="84">
        <f t="shared" ref="C9:H9" si="3">SUM(C4:C8)</f>
        <v>159035214.49493834</v>
      </c>
      <c r="D9" s="177">
        <f>SUM(D4:D8)</f>
        <v>141832731347.2034</v>
      </c>
      <c r="E9" s="84">
        <f t="shared" si="3"/>
        <v>157583246.42000002</v>
      </c>
      <c r="F9" s="84">
        <f>SUM(F4:F8)</f>
        <v>1244757.9250616878</v>
      </c>
      <c r="G9" s="84">
        <f>SUM(G4:G8)</f>
        <v>-258797.16221977689</v>
      </c>
      <c r="H9" s="84">
        <f t="shared" si="3"/>
        <v>985960.76284191082</v>
      </c>
      <c r="J9" s="55" t="s">
        <v>111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</row>
    <row r="10" spans="1:69" ht="16.5" thickTop="1" thickBot="1" x14ac:dyDescent="0.3">
      <c r="B10" s="162"/>
      <c r="F10" s="38" t="s">
        <v>25</v>
      </c>
      <c r="G10" s="20">
        <f>G9-SUM(B51:BJ51)</f>
        <v>2.6602752768667415E-2</v>
      </c>
      <c r="H10" s="47"/>
      <c r="J10" s="55" t="s">
        <v>112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</row>
    <row r="11" spans="1:69" ht="15.75" thickTop="1" x14ac:dyDescent="0.25">
      <c r="E11" s="3"/>
      <c r="G11" s="2"/>
      <c r="J11" s="55" t="s">
        <v>113</v>
      </c>
      <c r="K11" s="47"/>
      <c r="L11" s="47"/>
      <c r="M11" s="47"/>
      <c r="N11" s="47"/>
    </row>
    <row r="12" spans="1:69" ht="15.75" thickBot="1" x14ac:dyDescent="0.3">
      <c r="B12" s="50"/>
      <c r="C12" s="50"/>
      <c r="D12" s="50"/>
      <c r="E12" s="50"/>
      <c r="F12" s="50"/>
      <c r="G12" s="50"/>
      <c r="H12" s="50"/>
      <c r="I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280"/>
      <c r="BI12" s="280"/>
      <c r="BJ12" s="47"/>
    </row>
    <row r="13" spans="1:69" ht="15.75" thickBot="1" x14ac:dyDescent="0.3">
      <c r="B13" s="164"/>
      <c r="C13" s="117"/>
      <c r="D13" s="135" t="s">
        <v>68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321"/>
      <c r="BH13" s="367" t="s">
        <v>67</v>
      </c>
      <c r="BI13" s="368"/>
      <c r="BJ13" s="369"/>
    </row>
    <row r="14" spans="1:69" x14ac:dyDescent="0.25">
      <c r="A14" s="69" t="s">
        <v>83</v>
      </c>
      <c r="B14" s="88">
        <v>42370</v>
      </c>
      <c r="C14" s="89">
        <f t="shared" ref="C14:K14" si="4">EDATE(B14,1)</f>
        <v>42401</v>
      </c>
      <c r="D14" s="89">
        <f t="shared" si="4"/>
        <v>42430</v>
      </c>
      <c r="E14" s="89">
        <f t="shared" si="4"/>
        <v>42461</v>
      </c>
      <c r="F14" s="89">
        <f t="shared" si="4"/>
        <v>42491</v>
      </c>
      <c r="G14" s="89">
        <f t="shared" si="4"/>
        <v>42522</v>
      </c>
      <c r="H14" s="89">
        <f t="shared" si="4"/>
        <v>42552</v>
      </c>
      <c r="I14" s="89">
        <f t="shared" si="4"/>
        <v>42583</v>
      </c>
      <c r="J14" s="89">
        <f t="shared" si="4"/>
        <v>42614</v>
      </c>
      <c r="K14" s="89">
        <f t="shared" si="4"/>
        <v>42644</v>
      </c>
      <c r="L14" s="89">
        <f t="shared" ref="L14:W14" si="5">EDATE(K14,1)</f>
        <v>42675</v>
      </c>
      <c r="M14" s="89">
        <f t="shared" si="5"/>
        <v>42705</v>
      </c>
      <c r="N14" s="89">
        <f t="shared" si="5"/>
        <v>42736</v>
      </c>
      <c r="O14" s="89">
        <f t="shared" si="5"/>
        <v>42767</v>
      </c>
      <c r="P14" s="89">
        <f t="shared" si="5"/>
        <v>42795</v>
      </c>
      <c r="Q14" s="89">
        <f t="shared" si="5"/>
        <v>42826</v>
      </c>
      <c r="R14" s="89">
        <f t="shared" si="5"/>
        <v>42856</v>
      </c>
      <c r="S14" s="89">
        <f t="shared" si="5"/>
        <v>42887</v>
      </c>
      <c r="T14" s="89">
        <f t="shared" si="5"/>
        <v>42917</v>
      </c>
      <c r="U14" s="89">
        <f t="shared" si="5"/>
        <v>42948</v>
      </c>
      <c r="V14" s="89">
        <f t="shared" si="5"/>
        <v>42979</v>
      </c>
      <c r="W14" s="89">
        <f t="shared" si="5"/>
        <v>43009</v>
      </c>
      <c r="X14" s="89">
        <f t="shared" ref="X14" si="6">EDATE(W14,1)</f>
        <v>43040</v>
      </c>
      <c r="Y14" s="89">
        <f t="shared" ref="Y14" si="7">EDATE(X14,1)</f>
        <v>43070</v>
      </c>
      <c r="Z14" s="89">
        <f t="shared" ref="Z14" si="8">EDATE(Y14,1)</f>
        <v>43101</v>
      </c>
      <c r="AA14" s="89">
        <f t="shared" ref="AA14" si="9">EDATE(Z14,1)</f>
        <v>43132</v>
      </c>
      <c r="AB14" s="89">
        <f t="shared" ref="AB14" si="10">EDATE(AA14,1)</f>
        <v>43160</v>
      </c>
      <c r="AC14" s="89">
        <f t="shared" ref="AC14" si="11">EDATE(AB14,1)</f>
        <v>43191</v>
      </c>
      <c r="AD14" s="89">
        <f t="shared" ref="AD14" si="12">EDATE(AC14,1)</f>
        <v>43221</v>
      </c>
      <c r="AE14" s="89">
        <f t="shared" ref="AE14" si="13">EDATE(AD14,1)</f>
        <v>43252</v>
      </c>
      <c r="AF14" s="89">
        <f t="shared" ref="AF14" si="14">EDATE(AE14,1)</f>
        <v>43282</v>
      </c>
      <c r="AG14" s="89">
        <f t="shared" ref="AG14" si="15">EDATE(AF14,1)</f>
        <v>43313</v>
      </c>
      <c r="AH14" s="89">
        <f t="shared" ref="AH14" si="16">EDATE(AG14,1)</f>
        <v>43344</v>
      </c>
      <c r="AI14" s="89">
        <f t="shared" ref="AI14" si="17">EDATE(AH14,1)</f>
        <v>43374</v>
      </c>
      <c r="AJ14" s="89">
        <f t="shared" ref="AJ14" si="18">EDATE(AI14,1)</f>
        <v>43405</v>
      </c>
      <c r="AK14" s="89">
        <f t="shared" ref="AK14" si="19">EDATE(AJ14,1)</f>
        <v>43435</v>
      </c>
      <c r="AL14" s="89">
        <f t="shared" ref="AL14" si="20">EDATE(AK14,1)</f>
        <v>43466</v>
      </c>
      <c r="AM14" s="89">
        <f t="shared" ref="AM14" si="21">EDATE(AL14,1)</f>
        <v>43497</v>
      </c>
      <c r="AN14" s="89">
        <f t="shared" ref="AN14" si="22">EDATE(AM14,1)</f>
        <v>43525</v>
      </c>
      <c r="AO14" s="89">
        <f t="shared" ref="AO14" si="23">EDATE(AN14,1)</f>
        <v>43556</v>
      </c>
      <c r="AP14" s="89">
        <f t="shared" ref="AP14" si="24">EDATE(AO14,1)</f>
        <v>43586</v>
      </c>
      <c r="AQ14" s="89">
        <f t="shared" ref="AQ14" si="25">EDATE(AP14,1)</f>
        <v>43617</v>
      </c>
      <c r="AR14" s="89">
        <f t="shared" ref="AR14" si="26">EDATE(AQ14,1)</f>
        <v>43647</v>
      </c>
      <c r="AS14" s="89">
        <f t="shared" ref="AS14" si="27">EDATE(AR14,1)</f>
        <v>43678</v>
      </c>
      <c r="AT14" s="89">
        <f t="shared" ref="AT14" si="28">EDATE(AS14,1)</f>
        <v>43709</v>
      </c>
      <c r="AU14" s="89">
        <f t="shared" ref="AU14" si="29">EDATE(AT14,1)</f>
        <v>43739</v>
      </c>
      <c r="AV14" s="89">
        <f t="shared" ref="AV14" si="30">EDATE(AU14,1)</f>
        <v>43770</v>
      </c>
      <c r="AW14" s="89">
        <f t="shared" ref="AW14" si="31">EDATE(AV14,1)</f>
        <v>43800</v>
      </c>
      <c r="AX14" s="89">
        <f t="shared" ref="AX14" si="32">EDATE(AW14,1)</f>
        <v>43831</v>
      </c>
      <c r="AY14" s="89">
        <f t="shared" ref="AY14" si="33">EDATE(AX14,1)</f>
        <v>43862</v>
      </c>
      <c r="AZ14" s="89">
        <f t="shared" ref="AZ14" si="34">EDATE(AY14,1)</f>
        <v>43891</v>
      </c>
      <c r="BA14" s="89">
        <f t="shared" ref="BA14" si="35">EDATE(AZ14,1)</f>
        <v>43922</v>
      </c>
      <c r="BB14" s="89">
        <f t="shared" ref="BB14" si="36">EDATE(BA14,1)</f>
        <v>43952</v>
      </c>
      <c r="BC14" s="89">
        <f t="shared" ref="BC14" si="37">EDATE(BB14,1)</f>
        <v>43983</v>
      </c>
      <c r="BD14" s="89">
        <f t="shared" ref="BD14" si="38">EDATE(BC14,1)</f>
        <v>44013</v>
      </c>
      <c r="BE14" s="89">
        <f t="shared" ref="BE14" si="39">EDATE(BD14,1)</f>
        <v>44044</v>
      </c>
      <c r="BF14" s="89">
        <f t="shared" ref="BF14" si="40">EDATE(BE14,1)</f>
        <v>44075</v>
      </c>
      <c r="BG14" s="322">
        <f t="shared" ref="BG14" si="41">EDATE(BF14,1)</f>
        <v>44105</v>
      </c>
      <c r="BH14" s="88">
        <f>EDATE(BG14,1)</f>
        <v>44136</v>
      </c>
      <c r="BI14" s="89">
        <f>EDATE(BH14,1)</f>
        <v>44166</v>
      </c>
      <c r="BJ14" s="90">
        <f>EDATE(BI14,1)</f>
        <v>44197</v>
      </c>
      <c r="BK14" s="1"/>
      <c r="BL14" s="1"/>
      <c r="BM14" s="1"/>
      <c r="BN14" s="1"/>
      <c r="BO14" s="1"/>
      <c r="BP14" s="1"/>
      <c r="BQ14" s="1"/>
    </row>
    <row r="15" spans="1:69" x14ac:dyDescent="0.25">
      <c r="A15" s="47" t="s">
        <v>0</v>
      </c>
      <c r="B15" s="91">
        <v>0</v>
      </c>
      <c r="C15" s="92">
        <v>0</v>
      </c>
      <c r="D15" s="92">
        <v>92701.6</v>
      </c>
      <c r="E15" s="92">
        <v>470887.92</v>
      </c>
      <c r="F15" s="92">
        <v>1113267.27</v>
      </c>
      <c r="G15" s="92">
        <v>1040037.3</v>
      </c>
      <c r="H15" s="92">
        <v>1509771.61</v>
      </c>
      <c r="I15" s="92">
        <v>2518235.16</v>
      </c>
      <c r="J15" s="44">
        <v>1528668.86</v>
      </c>
      <c r="K15" s="44">
        <v>1905356.75</v>
      </c>
      <c r="L15" s="44">
        <v>2048839.7199999997</v>
      </c>
      <c r="M15" s="44">
        <v>1913931.6199999999</v>
      </c>
      <c r="N15" s="44">
        <v>1690080.7899999998</v>
      </c>
      <c r="O15" s="44">
        <v>1877206.5299999996</v>
      </c>
      <c r="P15" s="44">
        <v>1484918.02</v>
      </c>
      <c r="Q15" s="44">
        <v>630134.03999999992</v>
      </c>
      <c r="R15" s="44">
        <v>2225868.1400000006</v>
      </c>
      <c r="S15" s="44">
        <v>2452376.73</v>
      </c>
      <c r="T15" s="44">
        <v>1476113.1700000002</v>
      </c>
      <c r="U15" s="44">
        <v>2335443.9099999992</v>
      </c>
      <c r="V15" s="44">
        <v>1946348.1600000001</v>
      </c>
      <c r="W15" s="225">
        <v>1758048.53</v>
      </c>
      <c r="X15" s="225">
        <v>1416376.8500000003</v>
      </c>
      <c r="Y15" s="225">
        <v>1873803.07</v>
      </c>
      <c r="Z15" s="225">
        <v>1221681.9000000001</v>
      </c>
      <c r="AA15" s="225">
        <v>926005.15000000014</v>
      </c>
      <c r="AB15" s="225">
        <v>823725.77999999991</v>
      </c>
      <c r="AC15" s="225">
        <v>1315275.5600000003</v>
      </c>
      <c r="AD15" s="225">
        <v>1141924.23</v>
      </c>
      <c r="AE15" s="225">
        <v>1767113.3499999999</v>
      </c>
      <c r="AF15" s="225">
        <v>1901977.86</v>
      </c>
      <c r="AG15" s="225">
        <v>1657059.6099999999</v>
      </c>
      <c r="AH15" s="225">
        <v>1351059.9899999998</v>
      </c>
      <c r="AI15" s="225">
        <v>1233979.6000000001</v>
      </c>
      <c r="AJ15" s="225">
        <v>1667555.6700000002</v>
      </c>
      <c r="AK15" s="225">
        <v>1766965.4600000002</v>
      </c>
      <c r="AL15" s="225">
        <v>-77450.659999999989</v>
      </c>
      <c r="AM15" s="225">
        <v>1967957.46</v>
      </c>
      <c r="AN15" s="225">
        <v>1764533.03</v>
      </c>
      <c r="AO15" s="225">
        <v>-67760.229999999952</v>
      </c>
      <c r="AP15" s="225">
        <v>41885.949999999924</v>
      </c>
      <c r="AQ15" s="225">
        <v>67376.939999999959</v>
      </c>
      <c r="AR15" s="225">
        <v>1263726.94</v>
      </c>
      <c r="AS15" s="225">
        <v>-1284367.2999999998</v>
      </c>
      <c r="AT15" s="225">
        <v>8491.1800000000039</v>
      </c>
      <c r="AU15" s="225">
        <v>14637.199999999997</v>
      </c>
      <c r="AV15" s="225">
        <f>'[1]PCR.1 (M2)'!AT34</f>
        <v>-4330.6399999999994</v>
      </c>
      <c r="AW15" s="225">
        <f>'[1]PCR.1 (M2)'!AU34</f>
        <v>0</v>
      </c>
      <c r="AX15" s="225">
        <f>'[1]PCR.1 (M2)'!AV34</f>
        <v>0</v>
      </c>
      <c r="AY15" s="225">
        <f>'[1]PCR.1 (M2)'!AW34</f>
        <v>0</v>
      </c>
      <c r="AZ15" s="225">
        <f>'[1]PCR.1 (M2)'!AX34</f>
        <v>0</v>
      </c>
      <c r="BA15" s="225">
        <f>'[1]PCR.1 (M2)'!AY34</f>
        <v>0</v>
      </c>
      <c r="BB15" s="225">
        <f>'[1]PCR.1 (M2)'!AZ34</f>
        <v>0</v>
      </c>
      <c r="BC15" s="225">
        <f>'[1]PCR.1 (M2)'!BA34</f>
        <v>0</v>
      </c>
      <c r="BD15" s="225">
        <f>'[1]PCR.1 (M2)'!BB34</f>
        <v>0</v>
      </c>
      <c r="BE15" s="225">
        <f>'[1]PCR.1 (M2)'!BC34</f>
        <v>0</v>
      </c>
      <c r="BF15" s="225">
        <f>'[1]PCR.1 (M2)'!BD34</f>
        <v>0</v>
      </c>
      <c r="BG15" s="225">
        <f>'[1]PCR.1 (M2)'!BE34</f>
        <v>0</v>
      </c>
      <c r="BH15" s="332">
        <f>'[1]PPC.2, PCR.1F'!E28</f>
        <v>0</v>
      </c>
      <c r="BI15" s="333">
        <f>'[1]PPC.2, PCR.1F'!F28</f>
        <v>0</v>
      </c>
      <c r="BJ15" s="334">
        <f>'[1]PPC.2, PCR.1F'!G28</f>
        <v>0</v>
      </c>
      <c r="BK15" s="47"/>
    </row>
    <row r="16" spans="1:69" x14ac:dyDescent="0.25">
      <c r="A16" s="47" t="s">
        <v>1</v>
      </c>
      <c r="B16" s="91">
        <v>0</v>
      </c>
      <c r="C16" s="92">
        <v>0</v>
      </c>
      <c r="D16" s="92">
        <v>360011.71</v>
      </c>
      <c r="E16" s="92">
        <v>100283.17</v>
      </c>
      <c r="F16" s="92">
        <v>276551.98</v>
      </c>
      <c r="G16" s="92">
        <v>605722.87</v>
      </c>
      <c r="H16" s="92">
        <v>470055.31</v>
      </c>
      <c r="I16" s="92">
        <v>1007513.72</v>
      </c>
      <c r="J16" s="44">
        <v>231513.24</v>
      </c>
      <c r="K16" s="44">
        <v>1466502.53</v>
      </c>
      <c r="L16" s="44">
        <v>1729424.32</v>
      </c>
      <c r="M16" s="44">
        <v>1390087.1</v>
      </c>
      <c r="N16" s="44">
        <v>1606995.78</v>
      </c>
      <c r="O16" s="44">
        <v>2206926.4300000002</v>
      </c>
      <c r="P16" s="44">
        <v>1309598.0999999996</v>
      </c>
      <c r="Q16" s="44">
        <v>1857370.0300000005</v>
      </c>
      <c r="R16" s="44">
        <v>2223361.83</v>
      </c>
      <c r="S16" s="44">
        <v>2459399.94</v>
      </c>
      <c r="T16" s="44">
        <v>1721311.83</v>
      </c>
      <c r="U16" s="44">
        <v>2712665.18</v>
      </c>
      <c r="V16" s="44">
        <v>2376750.8800000004</v>
      </c>
      <c r="W16" s="225">
        <v>2789157.6200000006</v>
      </c>
      <c r="X16" s="225">
        <v>2040899.3699999999</v>
      </c>
      <c r="Y16" s="225">
        <v>3328148.16</v>
      </c>
      <c r="Z16" s="225">
        <v>1987894.0699999998</v>
      </c>
      <c r="AA16" s="225">
        <v>2078701.0700000003</v>
      </c>
      <c r="AB16" s="225">
        <v>2874985.1599999997</v>
      </c>
      <c r="AC16" s="225">
        <v>2698819.3800000004</v>
      </c>
      <c r="AD16" s="225">
        <v>3447134.8899999997</v>
      </c>
      <c r="AE16" s="225">
        <v>3016507.9500000007</v>
      </c>
      <c r="AF16" s="225">
        <v>3772457.8599999989</v>
      </c>
      <c r="AG16" s="225">
        <v>4259389.82</v>
      </c>
      <c r="AH16" s="225">
        <v>3623834.3400000003</v>
      </c>
      <c r="AI16" s="225">
        <v>3048734.03</v>
      </c>
      <c r="AJ16" s="225">
        <v>4491895.6600000011</v>
      </c>
      <c r="AK16" s="225">
        <v>5126185.09</v>
      </c>
      <c r="AL16" s="225">
        <v>2075568.73</v>
      </c>
      <c r="AM16" s="225">
        <v>6137174.9799999995</v>
      </c>
      <c r="AN16" s="225">
        <v>5187148.8900000006</v>
      </c>
      <c r="AO16" s="225">
        <v>100360.07999999997</v>
      </c>
      <c r="AP16" s="225">
        <v>258685.70000000013</v>
      </c>
      <c r="AQ16" s="225">
        <v>153747.82000000007</v>
      </c>
      <c r="AR16" s="225">
        <v>333621.8</v>
      </c>
      <c r="AS16" s="225">
        <v>121918.41999999995</v>
      </c>
      <c r="AT16" s="225">
        <v>45149.189999999988</v>
      </c>
      <c r="AU16" s="225">
        <v>443746.64999999997</v>
      </c>
      <c r="AV16" s="225">
        <f>'[1]PCR.1 (M2)'!AT35</f>
        <v>36972.11</v>
      </c>
      <c r="AW16" s="225">
        <f>'[1]PCR.1 (M2)'!AU35</f>
        <v>155446.64999999997</v>
      </c>
      <c r="AX16" s="225">
        <f>'[1]PCR.1 (M2)'!AV35</f>
        <v>179485.55</v>
      </c>
      <c r="AY16" s="225">
        <f>'[1]PCR.1 (M2)'!AW35</f>
        <v>35205.709999999992</v>
      </c>
      <c r="AZ16" s="225">
        <f>'[1]PCR.1 (M2)'!AX35</f>
        <v>202516.13000000006</v>
      </c>
      <c r="BA16" s="225">
        <f>'[1]PCR.1 (M2)'!AY35</f>
        <v>2374.9200000000019</v>
      </c>
      <c r="BB16" s="225">
        <f>'[1]PCR.1 (M2)'!AZ35</f>
        <v>5953.75</v>
      </c>
      <c r="BC16" s="225">
        <f>'[1]PCR.1 (M2)'!BA35</f>
        <v>249425.02999999997</v>
      </c>
      <c r="BD16" s="225">
        <f>'[1]PCR.1 (M2)'!BB35</f>
        <v>56635.89</v>
      </c>
      <c r="BE16" s="225">
        <f>'[1]PCR.1 (M2)'!BC35</f>
        <v>700318.2</v>
      </c>
      <c r="BF16" s="225">
        <f>'[1]PCR.1 (M2)'!BD35</f>
        <v>126526.49999999997</v>
      </c>
      <c r="BG16" s="225">
        <f>'[1]PCR.1 (M2)'!BE35</f>
        <v>21848.7</v>
      </c>
      <c r="BH16" s="332">
        <f>'[1]PPC.2, PCR.1F'!E29</f>
        <v>0</v>
      </c>
      <c r="BI16" s="333">
        <f>'[1]PPC.2, PCR.1F'!F29</f>
        <v>459255.04000001191</v>
      </c>
      <c r="BJ16" s="334">
        <f>'[1]PPC.2, PCR.1F'!G29</f>
        <v>136413.07</v>
      </c>
      <c r="BK16" s="47"/>
    </row>
    <row r="17" spans="1:66" x14ac:dyDescent="0.25">
      <c r="A17" s="47" t="s">
        <v>2</v>
      </c>
      <c r="B17" s="91">
        <v>0</v>
      </c>
      <c r="C17" s="92">
        <v>0</v>
      </c>
      <c r="D17" s="92">
        <v>23175.4</v>
      </c>
      <c r="E17" s="92">
        <v>20000</v>
      </c>
      <c r="F17" s="92">
        <v>110941.65</v>
      </c>
      <c r="G17" s="92">
        <v>105942.24</v>
      </c>
      <c r="H17" s="92">
        <v>77203.42</v>
      </c>
      <c r="I17" s="92">
        <v>288148.55</v>
      </c>
      <c r="J17" s="44">
        <v>98245.3</v>
      </c>
      <c r="K17" s="44">
        <v>-20629.98</v>
      </c>
      <c r="L17" s="44">
        <v>171715.17000000004</v>
      </c>
      <c r="M17" s="44">
        <v>163978.35999999999</v>
      </c>
      <c r="N17" s="44">
        <v>143965.96999999997</v>
      </c>
      <c r="O17" s="44">
        <v>286356.54000000004</v>
      </c>
      <c r="P17" s="44">
        <v>138885.66</v>
      </c>
      <c r="Q17" s="44">
        <v>90873.95</v>
      </c>
      <c r="R17" s="44">
        <v>191206.37</v>
      </c>
      <c r="S17" s="44">
        <v>41515.079999999987</v>
      </c>
      <c r="T17" s="44">
        <v>48458.150000000031</v>
      </c>
      <c r="U17" s="44">
        <v>479199.20000000007</v>
      </c>
      <c r="V17" s="44">
        <v>6987.9799999999959</v>
      </c>
      <c r="W17" s="225">
        <v>103923.13</v>
      </c>
      <c r="X17" s="225">
        <v>269601.89999999997</v>
      </c>
      <c r="Y17" s="225">
        <v>210081.5</v>
      </c>
      <c r="Z17" s="225">
        <v>313977.91999999993</v>
      </c>
      <c r="AA17" s="225">
        <v>298781.8600000001</v>
      </c>
      <c r="AB17" s="225">
        <v>550355.34000000008</v>
      </c>
      <c r="AC17" s="225">
        <v>72977.829999999973</v>
      </c>
      <c r="AD17" s="225">
        <v>125071.93</v>
      </c>
      <c r="AE17" s="225">
        <v>325353.08999999997</v>
      </c>
      <c r="AF17" s="225">
        <v>396987.47</v>
      </c>
      <c r="AG17" s="225">
        <v>592843.30999999994</v>
      </c>
      <c r="AH17" s="225">
        <v>87444.36</v>
      </c>
      <c r="AI17" s="225">
        <v>499086.59000000008</v>
      </c>
      <c r="AJ17" s="225">
        <v>314115.16000000003</v>
      </c>
      <c r="AK17" s="225">
        <v>1125001.46</v>
      </c>
      <c r="AL17" s="225">
        <v>-438961.34</v>
      </c>
      <c r="AM17" s="225">
        <v>1459300.46</v>
      </c>
      <c r="AN17" s="225">
        <v>49141.380000000121</v>
      </c>
      <c r="AO17" s="225">
        <v>156024.18999999994</v>
      </c>
      <c r="AP17" s="225">
        <v>-38111.010000000009</v>
      </c>
      <c r="AQ17" s="225">
        <v>-0.91000000003259629</v>
      </c>
      <c r="AR17" s="225">
        <v>-416530.07000000007</v>
      </c>
      <c r="AS17" s="225">
        <v>-195801.87</v>
      </c>
      <c r="AT17" s="225">
        <v>0</v>
      </c>
      <c r="AU17" s="225">
        <v>0</v>
      </c>
      <c r="AV17" s="225">
        <f>'[1]PCR.1 (M2)'!AT36</f>
        <v>0</v>
      </c>
      <c r="AW17" s="225">
        <f>'[1]PCR.1 (M2)'!AU36</f>
        <v>0</v>
      </c>
      <c r="AX17" s="225">
        <f>'[1]PCR.1 (M2)'!AV36</f>
        <v>-96364.57</v>
      </c>
      <c r="AY17" s="225">
        <f>'[1]PCR.1 (M2)'!AW36</f>
        <v>96364.57</v>
      </c>
      <c r="AZ17" s="225">
        <f>'[1]PCR.1 (M2)'!AX36</f>
        <v>0</v>
      </c>
      <c r="BA17" s="225">
        <f>'[1]PCR.1 (M2)'!AY36</f>
        <v>0</v>
      </c>
      <c r="BB17" s="225">
        <f>'[1]PCR.1 (M2)'!AZ36</f>
        <v>0</v>
      </c>
      <c r="BC17" s="225">
        <f>'[1]PCR.1 (M2)'!BA36</f>
        <v>0</v>
      </c>
      <c r="BD17" s="225">
        <f>'[1]PCR.1 (M2)'!BB36</f>
        <v>0</v>
      </c>
      <c r="BE17" s="225">
        <f>'[1]PCR.1 (M2)'!BC36</f>
        <v>0</v>
      </c>
      <c r="BF17" s="225">
        <f>'[1]PCR.1 (M2)'!BD36</f>
        <v>0</v>
      </c>
      <c r="BG17" s="225">
        <f>'[1]PCR.1 (M2)'!BE36</f>
        <v>0</v>
      </c>
      <c r="BH17" s="332">
        <f>'[1]PPC.2, PCR.1F'!E30</f>
        <v>0</v>
      </c>
      <c r="BI17" s="333">
        <f>'[1]PPC.2, PCR.1F'!F30</f>
        <v>0</v>
      </c>
      <c r="BJ17" s="334">
        <f>'[1]PPC.2, PCR.1F'!G30</f>
        <v>0</v>
      </c>
      <c r="BK17" s="47"/>
    </row>
    <row r="18" spans="1:66" x14ac:dyDescent="0.25">
      <c r="A18" s="47" t="s">
        <v>3</v>
      </c>
      <c r="B18" s="91">
        <v>0</v>
      </c>
      <c r="C18" s="92">
        <v>0</v>
      </c>
      <c r="D18" s="92">
        <v>13689</v>
      </c>
      <c r="E18" s="92">
        <v>4868.25</v>
      </c>
      <c r="F18" s="92">
        <v>16491.560000000001</v>
      </c>
      <c r="G18" s="92">
        <v>61798.91</v>
      </c>
      <c r="H18" s="92">
        <v>129893.74</v>
      </c>
      <c r="I18" s="92">
        <v>87893.42</v>
      </c>
      <c r="J18" s="44">
        <v>242878.07999999999</v>
      </c>
      <c r="K18" s="44">
        <v>122671.65</v>
      </c>
      <c r="L18" s="44">
        <v>21593.440000000006</v>
      </c>
      <c r="M18" s="44">
        <v>16432.740000000002</v>
      </c>
      <c r="N18" s="44">
        <v>233596.28</v>
      </c>
      <c r="O18" s="44">
        <v>43536.29</v>
      </c>
      <c r="P18" s="44">
        <v>58192.76</v>
      </c>
      <c r="Q18" s="44">
        <v>11926.3</v>
      </c>
      <c r="R18" s="44">
        <v>17374.550000000003</v>
      </c>
      <c r="S18" s="44">
        <v>23819.039999999997</v>
      </c>
      <c r="T18" s="44">
        <v>103044.69</v>
      </c>
      <c r="U18" s="44">
        <v>18933.559999999998</v>
      </c>
      <c r="V18" s="44">
        <v>13266.67</v>
      </c>
      <c r="W18" s="225">
        <v>12319.51</v>
      </c>
      <c r="X18" s="225">
        <v>-147070.75</v>
      </c>
      <c r="Y18" s="225">
        <v>8537.0999999999985</v>
      </c>
      <c r="Z18" s="225">
        <v>51198.69</v>
      </c>
      <c r="AA18" s="225">
        <v>28001.49</v>
      </c>
      <c r="AB18" s="225">
        <v>14183.650000000001</v>
      </c>
      <c r="AC18" s="225">
        <v>28101.760000000002</v>
      </c>
      <c r="AD18" s="225">
        <v>26867.64</v>
      </c>
      <c r="AE18" s="225">
        <v>36830.36</v>
      </c>
      <c r="AF18" s="225">
        <v>36391.519999999997</v>
      </c>
      <c r="AG18" s="225">
        <v>43938.8</v>
      </c>
      <c r="AH18" s="225">
        <v>52396.26</v>
      </c>
      <c r="AI18" s="225">
        <v>19258.870000000003</v>
      </c>
      <c r="AJ18" s="225">
        <v>1807.48</v>
      </c>
      <c r="AK18" s="225">
        <v>11208.28</v>
      </c>
      <c r="AL18" s="225">
        <v>12274.5</v>
      </c>
      <c r="AM18" s="225">
        <v>468</v>
      </c>
      <c r="AN18" s="225">
        <v>3600</v>
      </c>
      <c r="AO18" s="225">
        <v>8752.25</v>
      </c>
      <c r="AP18" s="225">
        <v>-5449.5</v>
      </c>
      <c r="AQ18" s="225">
        <v>-9692</v>
      </c>
      <c r="AR18" s="225">
        <v>-10</v>
      </c>
      <c r="AS18" s="225">
        <v>7726.93</v>
      </c>
      <c r="AT18" s="225">
        <v>31989</v>
      </c>
      <c r="AU18" s="225">
        <v>680.5</v>
      </c>
      <c r="AV18" s="225">
        <f>'[1]PCR.1 (M2)'!AT37</f>
        <v>8365</v>
      </c>
      <c r="AW18" s="225">
        <f>'[1]PCR.1 (M2)'!AU37</f>
        <v>3585</v>
      </c>
      <c r="AX18" s="225">
        <f>'[1]PCR.1 (M2)'!AV37</f>
        <v>0</v>
      </c>
      <c r="AY18" s="225">
        <f>'[1]PCR.1 (M2)'!AW37</f>
        <v>8285</v>
      </c>
      <c r="AZ18" s="225">
        <f>'[1]PCR.1 (M2)'!AX37</f>
        <v>7425</v>
      </c>
      <c r="BA18" s="225">
        <f>'[1]PCR.1 (M2)'!AY37</f>
        <v>-3675</v>
      </c>
      <c r="BB18" s="225">
        <f>'[1]PCR.1 (M2)'!AZ37</f>
        <v>8302</v>
      </c>
      <c r="BC18" s="225">
        <f>'[1]PCR.1 (M2)'!BA37</f>
        <v>3935</v>
      </c>
      <c r="BD18" s="225">
        <f>'[1]PCR.1 (M2)'!BB37</f>
        <v>4165.75</v>
      </c>
      <c r="BE18" s="225">
        <f>'[1]PCR.1 (M2)'!BC37</f>
        <v>85</v>
      </c>
      <c r="BF18" s="225">
        <f>'[1]PCR.1 (M2)'!BD37</f>
        <v>0</v>
      </c>
      <c r="BG18" s="225">
        <f>'[1]PCR.1 (M2)'!BE37</f>
        <v>0</v>
      </c>
      <c r="BH18" s="332">
        <f>'[1]PPC.2, PCR.1F'!E31</f>
        <v>0</v>
      </c>
      <c r="BI18" s="333">
        <f>'[1]PPC.2, PCR.1F'!F31</f>
        <v>0</v>
      </c>
      <c r="BJ18" s="334">
        <f>'[1]PPC.2, PCR.1F'!G31</f>
        <v>0</v>
      </c>
      <c r="BK18" s="47"/>
    </row>
    <row r="19" spans="1:66" x14ac:dyDescent="0.25">
      <c r="B19" s="97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5"/>
      <c r="BI19" s="96"/>
      <c r="BJ19" s="99"/>
    </row>
    <row r="20" spans="1:66" x14ac:dyDescent="0.25">
      <c r="A20" s="69" t="s">
        <v>84</v>
      </c>
      <c r="B20" s="97"/>
      <c r="C20" s="96"/>
      <c r="D20" s="100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5"/>
      <c r="BI20" s="96"/>
      <c r="BJ20" s="99"/>
    </row>
    <row r="21" spans="1:66" x14ac:dyDescent="0.25">
      <c r="A21" s="69" t="s">
        <v>0</v>
      </c>
      <c r="B21" s="107">
        <v>0</v>
      </c>
      <c r="C21" s="111">
        <v>0</v>
      </c>
      <c r="D21" s="111">
        <f>D15+((D28/SUM(D$28:D$32))*D$17)+((D28/SUM(D$28:D$32))*D$18)</f>
        <v>109165.05951390543</v>
      </c>
      <c r="E21" s="111">
        <f t="shared" ref="E21:J21" si="42">E15+((E28/SUM(E$28:E$32))*E$17)+((E28/SUM(E$28:E$32))*E$18)</f>
        <v>480741.41032421798</v>
      </c>
      <c r="F21" s="111">
        <f t="shared" si="42"/>
        <v>1159520.6775673528</v>
      </c>
      <c r="G21" s="111">
        <f t="shared" si="42"/>
        <v>1112154.6232287937</v>
      </c>
      <c r="H21" s="111">
        <f t="shared" si="42"/>
        <v>1607871.1840183262</v>
      </c>
      <c r="I21" s="111">
        <f t="shared" si="42"/>
        <v>2696956.6273276648</v>
      </c>
      <c r="J21" s="111">
        <f t="shared" si="42"/>
        <v>1680521.3719706708</v>
      </c>
      <c r="K21" s="111">
        <f>K15+((K28/SUM(K$28:K$32))*K$17)+((K28/SUM(K$28:K$32))*K$18)</f>
        <v>1945919.517875429</v>
      </c>
      <c r="L21" s="111">
        <f t="shared" ref="L21:U21" si="43">L15+((L28/SUM(L$28:L$32))*L$17)+((L28/SUM(L$28:L$32))*L$18)</f>
        <v>2120554.6975831105</v>
      </c>
      <c r="M21" s="111">
        <f t="shared" si="43"/>
        <v>1998032.1834068832</v>
      </c>
      <c r="N21" s="111">
        <f t="shared" si="43"/>
        <v>1881554.1394569001</v>
      </c>
      <c r="O21" s="111">
        <f t="shared" si="43"/>
        <v>2029628.75873946</v>
      </c>
      <c r="P21" s="111">
        <f t="shared" si="43"/>
        <v>1570290.0599660215</v>
      </c>
      <c r="Q21" s="111">
        <f t="shared" si="43"/>
        <v>671069.67591155518</v>
      </c>
      <c r="R21" s="111">
        <f t="shared" si="43"/>
        <v>2305581.1949410611</v>
      </c>
      <c r="S21" s="111">
        <f t="shared" si="43"/>
        <v>2479685.3929436286</v>
      </c>
      <c r="T21" s="111">
        <f t="shared" si="43"/>
        <v>1547830.6825912232</v>
      </c>
      <c r="U21" s="111">
        <f t="shared" si="43"/>
        <v>2568760.2312064166</v>
      </c>
      <c r="V21" s="111">
        <f>V15+((V28/SUM(V$28:V$32))*V$17)+((V28/SUM(V$28:V$32))*V$18)</f>
        <v>1954986.9702397876</v>
      </c>
      <c r="W21" s="108">
        <f>W15+((W28/SUM(W$28:W$32))*W$17)+((W28/SUM(W$28:W$32))*W$18)</f>
        <v>1805103.413504442</v>
      </c>
      <c r="X21" s="108">
        <f t="shared" ref="X21:AG21" si="44">X15+((X28/SUM(X$28:X$32))*X$17)+((X28/SUM(X$28:X$32))*X$18)</f>
        <v>1465028.1291243047</v>
      </c>
      <c r="Y21" s="108">
        <f t="shared" si="44"/>
        <v>1972246.5535187661</v>
      </c>
      <c r="Z21" s="108">
        <f t="shared" si="44"/>
        <v>1412765.3847262708</v>
      </c>
      <c r="AA21" s="108">
        <f t="shared" si="44"/>
        <v>1088589.6910137057</v>
      </c>
      <c r="AB21" s="108">
        <f t="shared" si="44"/>
        <v>1083493.4278145486</v>
      </c>
      <c r="AC21" s="108">
        <f t="shared" si="44"/>
        <v>1361445.8524978238</v>
      </c>
      <c r="AD21" s="108">
        <f t="shared" si="44"/>
        <v>1202720.3566389179</v>
      </c>
      <c r="AE21" s="108">
        <f t="shared" si="44"/>
        <v>1932637.1486539582</v>
      </c>
      <c r="AF21" s="108">
        <f t="shared" si="44"/>
        <v>2110758.5023123892</v>
      </c>
      <c r="AG21" s="108">
        <f t="shared" si="44"/>
        <v>1952963.7236525486</v>
      </c>
      <c r="AH21" s="108">
        <f>AH15+((AH28/SUM(AH$28:AH$32))*AH$17)+((AH28/SUM(AH$28:AH$32))*AH$18)</f>
        <v>1414942.4273249079</v>
      </c>
      <c r="AI21" s="108">
        <f>AI15+((AI28/SUM(AI$28:AI$32))*AI$17)+((AI28/SUM(AI$28:AI$32))*AI$18)</f>
        <v>1449776.2538906534</v>
      </c>
      <c r="AJ21" s="108">
        <f t="shared" ref="AJ21:AT21" si="45">AJ15+((AJ28/SUM(AJ$28:AJ$32))*AJ$17)+((AJ28/SUM(AJ$28:AJ$32))*AJ$18)</f>
        <v>1801265.5135733255</v>
      </c>
      <c r="AK21" s="108">
        <f t="shared" si="45"/>
        <v>2315371.5671533667</v>
      </c>
      <c r="AL21" s="108">
        <f t="shared" si="45"/>
        <v>-297658.33592078113</v>
      </c>
      <c r="AM21" s="108">
        <f t="shared" si="45"/>
        <v>2733299.4556717798</v>
      </c>
      <c r="AN21" s="108">
        <f t="shared" si="45"/>
        <v>1791288.7543801654</v>
      </c>
      <c r="AO21" s="108">
        <f t="shared" si="45"/>
        <v>4669.9744740828646</v>
      </c>
      <c r="AP21" s="108">
        <f t="shared" si="45"/>
        <v>24356.864494954887</v>
      </c>
      <c r="AQ21" s="108">
        <f t="shared" si="45"/>
        <v>63131.620601648567</v>
      </c>
      <c r="AR21" s="108">
        <f t="shared" si="45"/>
        <v>1062703.1659806606</v>
      </c>
      <c r="AS21" s="108">
        <f t="shared" si="45"/>
        <v>-1375879.0215261045</v>
      </c>
      <c r="AT21" s="108">
        <f t="shared" si="45"/>
        <v>23434.347831218198</v>
      </c>
      <c r="AU21" s="108">
        <f>AU15+((AU28/SUM(AU$28:AU$32))*AU$17)+((AU28/SUM(AU$28:AU$32))*AU$18)</f>
        <v>14936.443255272457</v>
      </c>
      <c r="AV21" s="108">
        <f t="shared" ref="AV21:BF21" si="46">AV15+((AV28/SUM(AV$28:AV$32))*AV$17)+((AV28/SUM(AV$28:AV$32))*AV$18)</f>
        <v>-632.98067805258233</v>
      </c>
      <c r="AW21" s="108">
        <f t="shared" si="46"/>
        <v>1786.6216307164027</v>
      </c>
      <c r="AX21" s="108">
        <f t="shared" si="46"/>
        <v>-49412.100738307949</v>
      </c>
      <c r="AY21" s="108">
        <f t="shared" si="46"/>
        <v>53257.089803581257</v>
      </c>
      <c r="AZ21" s="108">
        <f t="shared" si="46"/>
        <v>3679.7074012133294</v>
      </c>
      <c r="BA21" s="108">
        <f t="shared" si="46"/>
        <v>-1727.6088104847606</v>
      </c>
      <c r="BB21" s="108">
        <f t="shared" si="46"/>
        <v>3797.7448503100059</v>
      </c>
      <c r="BC21" s="108">
        <f t="shared" si="46"/>
        <v>1914.0816345316396</v>
      </c>
      <c r="BD21" s="108">
        <f t="shared" si="46"/>
        <v>2180.6856992382986</v>
      </c>
      <c r="BE21" s="108">
        <f t="shared" si="46"/>
        <v>43.04388451327587</v>
      </c>
      <c r="BF21" s="108">
        <f t="shared" si="46"/>
        <v>0</v>
      </c>
      <c r="BG21" s="108">
        <f>BG15+((BG28/SUM(BG$28:BG$32))*BG$17)+((BG28/SUM(BG$28:BG$32))*BG$18)</f>
        <v>0</v>
      </c>
      <c r="BH21" s="107">
        <f>BH15+((BH28/SUM(BH$28:BH$32))*BH$17)+((BH28/SUM(BH$28:BH$32))*BH$18)</f>
        <v>0</v>
      </c>
      <c r="BI21" s="108">
        <f>BI15+((BI28/SUM(BI$28:BI$32))*BI$17)+((BI28/SUM(BI$28:BI$32))*BI$18)</f>
        <v>0</v>
      </c>
      <c r="BJ21" s="112">
        <f>BJ15+((BJ28/SUM(BJ$28:BJ$32))*BJ$17)+((BJ28/SUM(BJ$28:BJ$32))*BJ$18)</f>
        <v>0</v>
      </c>
    </row>
    <row r="22" spans="1:66" x14ac:dyDescent="0.25">
      <c r="A22" s="69" t="s">
        <v>4</v>
      </c>
      <c r="B22" s="107">
        <v>0</v>
      </c>
      <c r="C22" s="111">
        <v>0</v>
      </c>
      <c r="D22" s="111">
        <f t="shared" ref="D22:J25" si="47">((D29/SUM(D$29:D$32))*D$16)+((D29/SUM(D$28:D$32))*D$17)+((D29/SUM(D$28:D$32))*D$18)</f>
        <v>80396.905524086716</v>
      </c>
      <c r="E22" s="111">
        <f t="shared" si="47"/>
        <v>22367.506099326867</v>
      </c>
      <c r="F22" s="111">
        <f t="shared" si="47"/>
        <v>66516.61829322367</v>
      </c>
      <c r="G22" s="111">
        <f t="shared" si="47"/>
        <v>141612.99114022916</v>
      </c>
      <c r="H22" s="111">
        <f t="shared" si="47"/>
        <v>123183.06799324245</v>
      </c>
      <c r="I22" s="111">
        <f t="shared" si="47"/>
        <v>256818.75360544008</v>
      </c>
      <c r="J22" s="111">
        <f t="shared" si="47"/>
        <v>84485.044258937647</v>
      </c>
      <c r="K22" s="111">
        <f>((K29/SUM(K$29:K$32))*K$16)+((K29/SUM(K$28:K$32))*K$17)+((K29/SUM(K$28:K$32))*K$18)</f>
        <v>300926.18467047397</v>
      </c>
      <c r="L22" s="111">
        <f t="shared" ref="L22:U22" si="48">((L29/SUM(L$29:L$32))*L$16)+((L29/SUM(L$28:L$32))*L$17)+((L29/SUM(L$28:L$32))*L$18)</f>
        <v>353019.58774262288</v>
      </c>
      <c r="M22" s="111">
        <f t="shared" si="48"/>
        <v>315056.14478681865</v>
      </c>
      <c r="N22" s="111">
        <f t="shared" si="48"/>
        <v>411570.06873041322</v>
      </c>
      <c r="O22" s="111">
        <f t="shared" si="48"/>
        <v>502793.63688851451</v>
      </c>
      <c r="P22" s="111">
        <f t="shared" si="48"/>
        <v>294404.38001965731</v>
      </c>
      <c r="Q22" s="111">
        <f t="shared" si="48"/>
        <v>373499.38771814341</v>
      </c>
      <c r="R22" s="111">
        <f t="shared" si="48"/>
        <v>445905.33572743292</v>
      </c>
      <c r="S22" s="111">
        <f t="shared" si="48"/>
        <v>487405.22998657834</v>
      </c>
      <c r="T22" s="111">
        <f t="shared" si="48"/>
        <v>383536.44183370651</v>
      </c>
      <c r="U22" s="111">
        <f t="shared" si="48"/>
        <v>619568.08369206416</v>
      </c>
      <c r="V22" s="111">
        <f>((V29/SUM(V$29:V$32))*V$16)+((V29/SUM(V$28:V$32))*V$17)+((V29/SUM(V$28:V$32))*V$18)</f>
        <v>474036.28843908414</v>
      </c>
      <c r="W22" s="108">
        <f t="shared" ref="W22:BJ25" si="49">((W29/SUM(W$29:W$32))*W$16)+((W29/SUM(W$28:W$32))*W$17)+((W29/SUM(W$28:W$32))*W$18)</f>
        <v>559059.78075431671</v>
      </c>
      <c r="X22" s="108">
        <f t="shared" ref="X22:AH22" si="50">((X29/SUM(X$29:X$32))*X$16)+((X29/SUM(X$28:X$32))*X$17)+((X29/SUM(X$28:X$32))*X$18)</f>
        <v>407907.81989739614</v>
      </c>
      <c r="Y22" s="108">
        <f t="shared" si="50"/>
        <v>707322.78080095793</v>
      </c>
      <c r="Z22" s="108">
        <f t="shared" si="50"/>
        <v>503052.8577392486</v>
      </c>
      <c r="AA22" s="108">
        <f t="shared" si="50"/>
        <v>509561.88435877959</v>
      </c>
      <c r="AB22" s="108">
        <f t="shared" si="50"/>
        <v>675624.74536446249</v>
      </c>
      <c r="AC22" s="108">
        <f t="shared" si="50"/>
        <v>589115.72273305943</v>
      </c>
      <c r="AD22" s="108">
        <f t="shared" si="50"/>
        <v>671173.91467850714</v>
      </c>
      <c r="AE22" s="108">
        <f t="shared" si="50"/>
        <v>655109.56934959674</v>
      </c>
      <c r="AF22" s="108">
        <f t="shared" si="50"/>
        <v>846540.1502605034</v>
      </c>
      <c r="AG22" s="108">
        <f t="shared" si="50"/>
        <v>949613.40748911363</v>
      </c>
      <c r="AH22" s="108">
        <f t="shared" si="50"/>
        <v>756167.99237199605</v>
      </c>
      <c r="AI22" s="108">
        <f t="shared" ref="AI22:AU22" si="51">((AI29/SUM(AI$29:AI$32))*AI$16)+((AI29/SUM(AI$28:AI$32))*AI$17)+((AI29/SUM(AI$28:AI$32))*AI$18)</f>
        <v>658782.97344566078</v>
      </c>
      <c r="AJ22" s="108">
        <f t="shared" si="51"/>
        <v>912757.77386116644</v>
      </c>
      <c r="AK22" s="108">
        <f t="shared" si="51"/>
        <v>1230279.3115955228</v>
      </c>
      <c r="AL22" s="108">
        <f t="shared" si="51"/>
        <v>439853.83431814337</v>
      </c>
      <c r="AM22" s="108">
        <f t="shared" si="51"/>
        <v>1647938.2419699337</v>
      </c>
      <c r="AN22" s="108">
        <f t="shared" si="51"/>
        <v>1228243.9665117457</v>
      </c>
      <c r="AO22" s="108">
        <f t="shared" si="51"/>
        <v>40706.196630383798</v>
      </c>
      <c r="AP22" s="108">
        <f t="shared" si="51"/>
        <v>47066.080968688475</v>
      </c>
      <c r="AQ22" s="108">
        <f t="shared" si="51"/>
        <v>30544.470102494786</v>
      </c>
      <c r="AR22" s="108">
        <f t="shared" si="51"/>
        <v>26212.251346126272</v>
      </c>
      <c r="AS22" s="108">
        <f t="shared" si="51"/>
        <v>5579.3095629468362</v>
      </c>
      <c r="AT22" s="108">
        <f t="shared" si="51"/>
        <v>13248.98665412956</v>
      </c>
      <c r="AU22" s="108">
        <f t="shared" si="51"/>
        <v>92883.994148459882</v>
      </c>
      <c r="AV22" s="108">
        <f t="shared" ref="AV22:BF22" si="52">((AV29/SUM(AV$29:AV$32))*AV$16)+((AV29/SUM(AV$28:AV$32))*AV$17)+((AV29/SUM(AV$28:AV$32))*AV$18)</f>
        <v>8719.8368335464875</v>
      </c>
      <c r="AW22" s="108">
        <f t="shared" si="52"/>
        <v>36020.265742970681</v>
      </c>
      <c r="AX22" s="108">
        <f t="shared" si="52"/>
        <v>31053.753014523034</v>
      </c>
      <c r="AY22" s="108">
        <f t="shared" si="52"/>
        <v>20041.923635457952</v>
      </c>
      <c r="AZ22" s="108">
        <f t="shared" si="52"/>
        <v>47809.436082471591</v>
      </c>
      <c r="BA22" s="108">
        <f t="shared" si="52"/>
        <v>87.060016915013478</v>
      </c>
      <c r="BB22" s="108">
        <f t="shared" si="52"/>
        <v>2059.7563616190555</v>
      </c>
      <c r="BC22" s="108">
        <f t="shared" si="52"/>
        <v>52898.746047981236</v>
      </c>
      <c r="BD22" s="108">
        <f t="shared" si="52"/>
        <v>13295.136350601504</v>
      </c>
      <c r="BE22" s="108">
        <f t="shared" si="52"/>
        <v>154253.36218287607</v>
      </c>
      <c r="BF22" s="108">
        <f t="shared" si="52"/>
        <v>26933.931248938421</v>
      </c>
      <c r="BG22" s="108">
        <f t="shared" ref="BG22" si="53">((BG29/SUM(BG$29:BG$32))*BG$16)+((BG29/SUM(BG$28:BG$32))*BG$17)+((BG29/SUM(BG$28:BG$32))*BG$18)</f>
        <v>4414.258458372341</v>
      </c>
      <c r="BH22" s="107">
        <f>((BH29/SUM(BH$29:BH$32))*BH$16)+((BH29/SUM(BH$28:BH$32))*BH$17)+((BH29/SUM(BH$28:BH$32))*BH$18)</f>
        <v>0</v>
      </c>
      <c r="BI22" s="108">
        <f t="shared" si="49"/>
        <v>103815.67847055259</v>
      </c>
      <c r="BJ22" s="112">
        <f t="shared" si="49"/>
        <v>31843.12158348563</v>
      </c>
    </row>
    <row r="23" spans="1:66" x14ac:dyDescent="0.25">
      <c r="A23" s="69" t="s">
        <v>5</v>
      </c>
      <c r="B23" s="107">
        <v>0</v>
      </c>
      <c r="C23" s="111">
        <v>0</v>
      </c>
      <c r="D23" s="111">
        <f t="shared" si="47"/>
        <v>184247.82933918544</v>
      </c>
      <c r="E23" s="111">
        <f t="shared" si="47"/>
        <v>55385.846863700259</v>
      </c>
      <c r="F23" s="111">
        <f t="shared" si="47"/>
        <v>171531.62773943189</v>
      </c>
      <c r="G23" s="111">
        <f t="shared" si="47"/>
        <v>338504.71718132001</v>
      </c>
      <c r="H23" s="111">
        <f t="shared" si="47"/>
        <v>279215.68078933004</v>
      </c>
      <c r="I23" s="111">
        <f t="shared" si="47"/>
        <v>584292.23288406734</v>
      </c>
      <c r="J23" s="111">
        <f t="shared" si="47"/>
        <v>200672.65960033773</v>
      </c>
      <c r="K23" s="111">
        <f>((K30/SUM(K$29:K$32))*K$16)+((K30/SUM(K$28:K$32))*K$17)+((K30/SUM(K$28:K$32))*K$18)</f>
        <v>739452.89185881964</v>
      </c>
      <c r="L23" s="111">
        <f t="shared" ref="L23:U23" si="54">((L30/SUM(L$29:L$32))*L$16)+((L30/SUM(L$28:L$32))*L$17)+((L30/SUM(L$28:L$32))*L$18)</f>
        <v>888814.69108194357</v>
      </c>
      <c r="M23" s="111">
        <f t="shared" si="54"/>
        <v>711740.86681302055</v>
      </c>
      <c r="N23" s="111">
        <f t="shared" si="54"/>
        <v>860102.8293358126</v>
      </c>
      <c r="O23" s="111">
        <f t="shared" si="54"/>
        <v>1111966.4679228009</v>
      </c>
      <c r="P23" s="111">
        <f t="shared" si="54"/>
        <v>690470.57929419319</v>
      </c>
      <c r="Q23" s="111">
        <f t="shared" si="54"/>
        <v>910120.41798563395</v>
      </c>
      <c r="R23" s="111">
        <f t="shared" si="54"/>
        <v>1128159.4145622177</v>
      </c>
      <c r="S23" s="111">
        <f t="shared" si="54"/>
        <v>1176823.5237113321</v>
      </c>
      <c r="T23" s="111">
        <f t="shared" si="54"/>
        <v>870044.8240527754</v>
      </c>
      <c r="U23" s="111">
        <f t="shared" si="54"/>
        <v>1418094.0621458886</v>
      </c>
      <c r="V23" s="111">
        <f>((V30/SUM(V$29:V$32))*V$16)+((V30/SUM(V$28:V$32))*V$17)+((V30/SUM(V$28:V$32))*V$18)</f>
        <v>1143451.0603072618</v>
      </c>
      <c r="W23" s="108">
        <f t="shared" si="49"/>
        <v>1367717.5298977192</v>
      </c>
      <c r="X23" s="108">
        <f t="shared" ref="X23:AH23" si="55">((X30/SUM(X$29:X$32))*X$16)+((X30/SUM(X$28:X$32))*X$17)+((X30/SUM(X$28:X$32))*X$18)</f>
        <v>1002327.1221908606</v>
      </c>
      <c r="Y23" s="108">
        <f t="shared" si="55"/>
        <v>1642715.0009584567</v>
      </c>
      <c r="Z23" s="108">
        <f t="shared" si="55"/>
        <v>1022632.8189452654</v>
      </c>
      <c r="AA23" s="108">
        <f t="shared" si="55"/>
        <v>1065522.3790675804</v>
      </c>
      <c r="AB23" s="108">
        <f t="shared" si="55"/>
        <v>1497067.7698519761</v>
      </c>
      <c r="AC23" s="108">
        <f t="shared" si="55"/>
        <v>1335821.4495324197</v>
      </c>
      <c r="AD23" s="108">
        <f t="shared" si="55"/>
        <v>1666504.1755704384</v>
      </c>
      <c r="AE23" s="108">
        <f t="shared" si="55"/>
        <v>1541976.1105171165</v>
      </c>
      <c r="AF23" s="108">
        <f t="shared" si="55"/>
        <v>1919269.9339676993</v>
      </c>
      <c r="AG23" s="108">
        <f t="shared" si="55"/>
        <v>2177300.5733180689</v>
      </c>
      <c r="AH23" s="108">
        <f t="shared" si="55"/>
        <v>1795213.2978989647</v>
      </c>
      <c r="AI23" s="108">
        <f t="shared" ref="AI23:AU23" si="56">((AI30/SUM(AI$29:AI$32))*AI$16)+((AI30/SUM(AI$28:AI$32))*AI$17)+((AI30/SUM(AI$28:AI$32))*AI$18)</f>
        <v>1614065.3314857311</v>
      </c>
      <c r="AJ23" s="108">
        <f t="shared" si="56"/>
        <v>2206347.3072531712</v>
      </c>
      <c r="AK23" s="108">
        <f t="shared" si="56"/>
        <v>2678670.3768449528</v>
      </c>
      <c r="AL23" s="108">
        <f t="shared" si="56"/>
        <v>922293.50311211497</v>
      </c>
      <c r="AM23" s="108">
        <f t="shared" si="56"/>
        <v>3339311.6184484991</v>
      </c>
      <c r="AN23" s="108">
        <f t="shared" si="56"/>
        <v>2538108.7706457209</v>
      </c>
      <c r="AO23" s="108">
        <f t="shared" si="56"/>
        <v>94616.317756611214</v>
      </c>
      <c r="AP23" s="108">
        <f t="shared" si="56"/>
        <v>116464.89792094272</v>
      </c>
      <c r="AQ23" s="108">
        <f t="shared" si="56"/>
        <v>71966.016970035605</v>
      </c>
      <c r="AR23" s="108">
        <f t="shared" si="56"/>
        <v>58168.883729143956</v>
      </c>
      <c r="AS23" s="108">
        <f t="shared" si="56"/>
        <v>12323.996352019682</v>
      </c>
      <c r="AT23" s="108">
        <f t="shared" si="56"/>
        <v>30610.580439516794</v>
      </c>
      <c r="AU23" s="108">
        <f t="shared" si="56"/>
        <v>218424.44363344379</v>
      </c>
      <c r="AV23" s="108">
        <f t="shared" ref="AV23:BF23" si="57">((AV30/SUM(AV$29:AV$32))*AV$16)+((AV30/SUM(AV$28:AV$32))*AV$17)+((AV30/SUM(AV$28:AV$32))*AV$18)</f>
        <v>20208.839446019952</v>
      </c>
      <c r="AW23" s="108">
        <f t="shared" si="57"/>
        <v>77120.474512550805</v>
      </c>
      <c r="AX23" s="108">
        <f t="shared" si="57"/>
        <v>64493.247273018991</v>
      </c>
      <c r="AY23" s="108">
        <f t="shared" si="57"/>
        <v>41300.293259620063</v>
      </c>
      <c r="AZ23" s="108">
        <f t="shared" si="57"/>
        <v>102208.62179023918</v>
      </c>
      <c r="BA23" s="108">
        <f t="shared" si="57"/>
        <v>206.97020667162769</v>
      </c>
      <c r="BB23" s="108">
        <f t="shared" si="57"/>
        <v>5043.7208105094687</v>
      </c>
      <c r="BC23" s="108">
        <f t="shared" si="57"/>
        <v>122296.94116525781</v>
      </c>
      <c r="BD23" s="108">
        <f t="shared" si="57"/>
        <v>28780.082238540137</v>
      </c>
      <c r="BE23" s="108">
        <f t="shared" si="57"/>
        <v>340907.89164193621</v>
      </c>
      <c r="BF23" s="108">
        <f t="shared" si="57"/>
        <v>61967.340620426992</v>
      </c>
      <c r="BG23" s="108">
        <f t="shared" ref="BG23" si="58">((BG30/SUM(BG$29:BG$32))*BG$16)+((BG30/SUM(BG$28:BG$32))*BG$17)+((BG30/SUM(BG$28:BG$32))*BG$18)</f>
        <v>10690.073249346307</v>
      </c>
      <c r="BH23" s="107">
        <f t="shared" si="49"/>
        <v>0</v>
      </c>
      <c r="BI23" s="108">
        <f t="shared" si="49"/>
        <v>223755.77099388465</v>
      </c>
      <c r="BJ23" s="112">
        <f t="shared" si="49"/>
        <v>66408.02410980995</v>
      </c>
    </row>
    <row r="24" spans="1:66" x14ac:dyDescent="0.25">
      <c r="A24" s="69" t="s">
        <v>6</v>
      </c>
      <c r="B24" s="107">
        <v>0</v>
      </c>
      <c r="C24" s="111">
        <v>0</v>
      </c>
      <c r="D24" s="111">
        <f t="shared" si="47"/>
        <v>76446.845496259717</v>
      </c>
      <c r="E24" s="111">
        <f t="shared" si="47"/>
        <v>24925.441552928634</v>
      </c>
      <c r="F24" s="111">
        <f t="shared" si="47"/>
        <v>80373.1566544823</v>
      </c>
      <c r="G24" s="111">
        <f t="shared" si="47"/>
        <v>143812.49422455556</v>
      </c>
      <c r="H24" s="111">
        <f t="shared" si="47"/>
        <v>117089.55808990503</v>
      </c>
      <c r="I24" s="111">
        <f t="shared" si="47"/>
        <v>238156.59167654801</v>
      </c>
      <c r="J24" s="111">
        <f t="shared" si="47"/>
        <v>88431.392361907871</v>
      </c>
      <c r="K24" s="111">
        <f>((K31/SUM(K$29:K$32))*K$16)+((K31/SUM(K$28:K$32))*K$17)+((K31/SUM(K$28:K$32))*K$18)</f>
        <v>314181.39281031361</v>
      </c>
      <c r="L24" s="111">
        <f t="shared" ref="L24:U24" si="59">((L31/SUM(L$29:L$32))*L$16)+((L31/SUM(L$28:L$32))*L$17)+((L31/SUM(L$28:L$32))*L$18)</f>
        <v>398118.03346698196</v>
      </c>
      <c r="M24" s="111">
        <f t="shared" si="59"/>
        <v>306986.68836154032</v>
      </c>
      <c r="N24" s="111">
        <f t="shared" si="59"/>
        <v>356788.04041822487</v>
      </c>
      <c r="O24" s="111">
        <f t="shared" si="59"/>
        <v>520044.08722166944</v>
      </c>
      <c r="P24" s="111">
        <f t="shared" si="59"/>
        <v>294078.51311682223</v>
      </c>
      <c r="Q24" s="111">
        <f t="shared" si="59"/>
        <v>424160.63775331364</v>
      </c>
      <c r="R24" s="111">
        <f t="shared" si="59"/>
        <v>518592.16985403083</v>
      </c>
      <c r="S24" s="111">
        <f t="shared" si="59"/>
        <v>548139.25087458664</v>
      </c>
      <c r="T24" s="111">
        <f t="shared" si="59"/>
        <v>364489.81913091976</v>
      </c>
      <c r="U24" s="111">
        <f t="shared" si="59"/>
        <v>615254.63877527637</v>
      </c>
      <c r="V24" s="111">
        <f>((V31/SUM(V$29:V$32))*V$16)+((V31/SUM(V$28:V$32))*V$17)+((V31/SUM(V$28:V$32))*V$18)</f>
        <v>506347.93409592676</v>
      </c>
      <c r="W24" s="108">
        <f t="shared" si="49"/>
        <v>617383.68475802662</v>
      </c>
      <c r="X24" s="108">
        <f t="shared" ref="X24:AH24" si="60">((X31/SUM(X$29:X$32))*X$16)+((X31/SUM(X$28:X$32))*X$17)+((X31/SUM(X$28:X$32))*X$18)</f>
        <v>453935.31211217341</v>
      </c>
      <c r="Y24" s="108">
        <f t="shared" si="60"/>
        <v>746498.85887898982</v>
      </c>
      <c r="Z24" s="108">
        <f t="shared" si="60"/>
        <v>443041.04712886061</v>
      </c>
      <c r="AA24" s="108">
        <f t="shared" si="60"/>
        <v>457962.34751248476</v>
      </c>
      <c r="AB24" s="108">
        <f t="shared" si="60"/>
        <v>688788.48789126845</v>
      </c>
      <c r="AC24" s="108">
        <f t="shared" si="60"/>
        <v>562269.83771640889</v>
      </c>
      <c r="AD24" s="108">
        <f t="shared" si="60"/>
        <v>815458.75403203291</v>
      </c>
      <c r="AE24" s="108">
        <f t="shared" si="60"/>
        <v>685770.92353864305</v>
      </c>
      <c r="AF24" s="108">
        <f t="shared" si="60"/>
        <v>832181.15415458393</v>
      </c>
      <c r="AG24" s="108">
        <f t="shared" si="60"/>
        <v>981428.327742461</v>
      </c>
      <c r="AH24" s="108">
        <f t="shared" si="60"/>
        <v>774012.03018908331</v>
      </c>
      <c r="AI24" s="108">
        <f t="shared" ref="AI24:AU24" si="61">((AI31/SUM(AI$29:AI$32))*AI$16)+((AI31/SUM(AI$28:AI$32))*AI$17)+((AI31/SUM(AI$28:AI$32))*AI$18)</f>
        <v>712700.49977852497</v>
      </c>
      <c r="AJ24" s="108">
        <f t="shared" si="61"/>
        <v>1026880.0510310169</v>
      </c>
      <c r="AK24" s="108">
        <f t="shared" si="61"/>
        <v>1231465.6642063381</v>
      </c>
      <c r="AL24" s="108">
        <f t="shared" si="61"/>
        <v>361318.17786610383</v>
      </c>
      <c r="AM24" s="108">
        <f t="shared" si="61"/>
        <v>1330419.5926359231</v>
      </c>
      <c r="AN24" s="108">
        <f t="shared" si="61"/>
        <v>1026431.5040852134</v>
      </c>
      <c r="AO24" s="108">
        <f t="shared" si="61"/>
        <v>40263.576656581979</v>
      </c>
      <c r="AP24" s="108">
        <f t="shared" si="61"/>
        <v>48647.552867494065</v>
      </c>
      <c r="AQ24" s="108">
        <f t="shared" si="61"/>
        <v>31443.249724879857</v>
      </c>
      <c r="AR24" s="108">
        <f t="shared" si="61"/>
        <v>23705.86757973893</v>
      </c>
      <c r="AS24" s="108">
        <f t="shared" si="61"/>
        <v>5154.2763748988837</v>
      </c>
      <c r="AT24" s="108">
        <f t="shared" si="61"/>
        <v>12605.952118244924</v>
      </c>
      <c r="AU24" s="108">
        <f t="shared" si="61"/>
        <v>90803.827559834812</v>
      </c>
      <c r="AV24" s="108">
        <f t="shared" ref="AV24:BF24" si="62">((AV31/SUM(AV$29:AV$32))*AV$16)+((AV31/SUM(AV$28:AV$32))*AV$17)+((AV31/SUM(AV$28:AV$32))*AV$18)</f>
        <v>8800.3327767854607</v>
      </c>
      <c r="AW24" s="108">
        <f t="shared" si="62"/>
        <v>31165.315233476329</v>
      </c>
      <c r="AX24" s="108">
        <f t="shared" si="62"/>
        <v>25915.321756609686</v>
      </c>
      <c r="AY24" s="108">
        <f t="shared" si="62"/>
        <v>17595.402500280481</v>
      </c>
      <c r="AZ24" s="108">
        <f t="shared" si="62"/>
        <v>40605.331598130004</v>
      </c>
      <c r="BA24" s="108">
        <f t="shared" si="62"/>
        <v>94.0993478255333</v>
      </c>
      <c r="BB24" s="108">
        <f t="shared" si="62"/>
        <v>2310.9818193617157</v>
      </c>
      <c r="BC24" s="108">
        <f t="shared" si="62"/>
        <v>55171.426387307729</v>
      </c>
      <c r="BD24" s="108">
        <f t="shared" si="62"/>
        <v>11700.599429455247</v>
      </c>
      <c r="BE24" s="108">
        <f t="shared" si="62"/>
        <v>145849.22807351753</v>
      </c>
      <c r="BF24" s="108">
        <f t="shared" si="62"/>
        <v>26635.25558757981</v>
      </c>
      <c r="BG24" s="108">
        <f t="shared" ref="BG24" si="63">((BG31/SUM(BG$29:BG$32))*BG$16)+((BG31/SUM(BG$28:BG$32))*BG$17)+((BG31/SUM(BG$28:BG$32))*BG$18)</f>
        <v>4787.7143215770739</v>
      </c>
      <c r="BH24" s="107">
        <f t="shared" si="49"/>
        <v>0</v>
      </c>
      <c r="BI24" s="108">
        <f t="shared" si="49"/>
        <v>92447.927364053146</v>
      </c>
      <c r="BJ24" s="112">
        <f t="shared" si="49"/>
        <v>27244.839017887381</v>
      </c>
    </row>
    <row r="25" spans="1:66" x14ac:dyDescent="0.25">
      <c r="A25" s="69" t="s">
        <v>7</v>
      </c>
      <c r="B25" s="107">
        <v>0</v>
      </c>
      <c r="C25" s="111">
        <v>0</v>
      </c>
      <c r="D25" s="111">
        <f t="shared" si="47"/>
        <v>39321.070126562699</v>
      </c>
      <c r="E25" s="111">
        <f t="shared" si="47"/>
        <v>12619.135159826228</v>
      </c>
      <c r="F25" s="111">
        <f t="shared" si="47"/>
        <v>39310.379745509235</v>
      </c>
      <c r="G25" s="111">
        <f t="shared" si="47"/>
        <v>77416.494225101458</v>
      </c>
      <c r="H25" s="111">
        <f t="shared" si="47"/>
        <v>59564.589109196262</v>
      </c>
      <c r="I25" s="111">
        <f t="shared" si="47"/>
        <v>125566.64450627941</v>
      </c>
      <c r="J25" s="111">
        <f t="shared" si="47"/>
        <v>47195.011808146039</v>
      </c>
      <c r="K25" s="111">
        <f>((K32/SUM(K$29:K$32))*K$16)+((K32/SUM(K$28:K$32))*K$17)+((K32/SUM(K$28:K$32))*K$18)</f>
        <v>173420.96278496395</v>
      </c>
      <c r="L25" s="111">
        <f t="shared" ref="L25:U25" si="64">((L32/SUM(L$29:L$32))*L$16)+((L32/SUM(L$28:L$32))*L$17)+((L32/SUM(L$28:L$32))*L$18)</f>
        <v>211065.64012534122</v>
      </c>
      <c r="M25" s="111">
        <f t="shared" si="64"/>
        <v>152613.93663173731</v>
      </c>
      <c r="N25" s="111">
        <f t="shared" si="64"/>
        <v>164623.74205864902</v>
      </c>
      <c r="O25" s="111">
        <f t="shared" si="64"/>
        <v>249592.83922755485</v>
      </c>
      <c r="P25" s="111">
        <f t="shared" si="64"/>
        <v>142351.0076033056</v>
      </c>
      <c r="Q25" s="111">
        <f t="shared" si="64"/>
        <v>211454.20063135427</v>
      </c>
      <c r="R25" s="111">
        <f t="shared" si="64"/>
        <v>259572.77491525796</v>
      </c>
      <c r="S25" s="111">
        <f t="shared" si="64"/>
        <v>285057.39248387417</v>
      </c>
      <c r="T25" s="111">
        <f t="shared" si="64"/>
        <v>183026.0723913754</v>
      </c>
      <c r="U25" s="111">
        <f t="shared" si="64"/>
        <v>324564.83418035397</v>
      </c>
      <c r="V25" s="111">
        <f>((V32/SUM(V$29:V$32))*V$16)+((V32/SUM(V$28:V$32))*V$17)+((V32/SUM(V$28:V$32))*V$18)</f>
        <v>264531.43691794015</v>
      </c>
      <c r="W25" s="108">
        <f t="shared" si="49"/>
        <v>314184.3810854961</v>
      </c>
      <c r="X25" s="108">
        <f t="shared" ref="X25:AH25" si="65">((X32/SUM(X$29:X$32))*X$16)+((X32/SUM(X$28:X$32))*X$17)+((X32/SUM(X$28:X$32))*X$18)</f>
        <v>250608.98667526536</v>
      </c>
      <c r="Y25" s="108">
        <f t="shared" si="65"/>
        <v>351786.63584282924</v>
      </c>
      <c r="Z25" s="108">
        <f t="shared" si="65"/>
        <v>193260.47146035449</v>
      </c>
      <c r="AA25" s="108">
        <f t="shared" si="65"/>
        <v>209853.26804744999</v>
      </c>
      <c r="AB25" s="108">
        <f t="shared" si="65"/>
        <v>318275.49907774379</v>
      </c>
      <c r="AC25" s="108">
        <f t="shared" si="65"/>
        <v>266521.66752028867</v>
      </c>
      <c r="AD25" s="108">
        <f t="shared" si="65"/>
        <v>385141.48908010346</v>
      </c>
      <c r="AE25" s="108">
        <f t="shared" si="65"/>
        <v>330310.99794068577</v>
      </c>
      <c r="AF25" s="108">
        <f t="shared" si="65"/>
        <v>399064.96930482326</v>
      </c>
      <c r="AG25" s="108">
        <f t="shared" si="65"/>
        <v>491925.50779780763</v>
      </c>
      <c r="AH25" s="108">
        <f t="shared" si="65"/>
        <v>374399.20221504843</v>
      </c>
      <c r="AI25" s="108">
        <f t="shared" ref="AI25:AU25" si="66">((AI32/SUM(AI$29:AI$32))*AI$16)+((AI32/SUM(AI$28:AI$32))*AI$17)+((AI32/SUM(AI$28:AI$32))*AI$18)</f>
        <v>365734.03139942978</v>
      </c>
      <c r="AJ25" s="108">
        <f t="shared" si="66"/>
        <v>528123.32428132067</v>
      </c>
      <c r="AK25" s="108">
        <f t="shared" si="66"/>
        <v>573573.37019981968</v>
      </c>
      <c r="AL25" s="108">
        <f t="shared" si="66"/>
        <v>145624.0506244188</v>
      </c>
      <c r="AM25" s="108">
        <f t="shared" si="66"/>
        <v>513931.99127386464</v>
      </c>
      <c r="AN25" s="108">
        <f t="shared" si="66"/>
        <v>420350.30437715532</v>
      </c>
      <c r="AO25" s="108">
        <f t="shared" si="66"/>
        <v>17120.224482340127</v>
      </c>
      <c r="AP25" s="108">
        <f t="shared" si="66"/>
        <v>20475.743747919907</v>
      </c>
      <c r="AQ25" s="108">
        <f t="shared" si="66"/>
        <v>14346.492600941192</v>
      </c>
      <c r="AR25" s="108">
        <f t="shared" si="66"/>
        <v>10018.501364329977</v>
      </c>
      <c r="AS25" s="108">
        <f t="shared" si="66"/>
        <v>2297.6192362393253</v>
      </c>
      <c r="AT25" s="108">
        <f t="shared" si="66"/>
        <v>5729.5029568905084</v>
      </c>
      <c r="AU25" s="108">
        <f t="shared" si="66"/>
        <v>42015.641402989051</v>
      </c>
      <c r="AV25" s="108">
        <f t="shared" ref="AV25:BF25" si="67">((AV32/SUM(AV$29:AV$32))*AV$16)+((AV32/SUM(AV$28:AV$32))*AV$17)+((AV32/SUM(AV$28:AV$32))*AV$18)</f>
        <v>3910.4416217006792</v>
      </c>
      <c r="AW25" s="108">
        <f t="shared" si="67"/>
        <v>12938.972880285743</v>
      </c>
      <c r="AX25" s="108">
        <f t="shared" si="67"/>
        <v>11070.758694156231</v>
      </c>
      <c r="AY25" s="108">
        <f t="shared" si="67"/>
        <v>7660.5708010602475</v>
      </c>
      <c r="AZ25" s="108">
        <f t="shared" si="67"/>
        <v>15638.033127945957</v>
      </c>
      <c r="BA25" s="108">
        <f t="shared" si="67"/>
        <v>39.399239072588074</v>
      </c>
      <c r="BB25" s="108">
        <f t="shared" si="67"/>
        <v>1043.5461581997542</v>
      </c>
      <c r="BC25" s="108">
        <f t="shared" si="67"/>
        <v>21078.834764921565</v>
      </c>
      <c r="BD25" s="108">
        <f t="shared" si="67"/>
        <v>4845.1362821648136</v>
      </c>
      <c r="BE25" s="108">
        <f t="shared" si="67"/>
        <v>59349.674217156833</v>
      </c>
      <c r="BF25" s="108">
        <f t="shared" si="67"/>
        <v>10989.972543054742</v>
      </c>
      <c r="BG25" s="108">
        <f t="shared" ref="BG25" si="68">((BG32/SUM(BG$29:BG$32))*BG$16)+((BG32/SUM(BG$28:BG$32))*BG$17)+((BG32/SUM(BG$28:BG$32))*BG$18)</f>
        <v>1956.6539707042759</v>
      </c>
      <c r="BH25" s="107">
        <f t="shared" si="49"/>
        <v>0</v>
      </c>
      <c r="BI25" s="108">
        <f t="shared" si="49"/>
        <v>39235.663171521606</v>
      </c>
      <c r="BJ25" s="112">
        <f t="shared" si="49"/>
        <v>10917.085288817034</v>
      </c>
    </row>
    <row r="26" spans="1:66" x14ac:dyDescent="0.25">
      <c r="B26" s="97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5"/>
      <c r="BI26" s="96"/>
      <c r="BJ26" s="99"/>
    </row>
    <row r="27" spans="1:66" x14ac:dyDescent="0.25">
      <c r="A27" s="69" t="s">
        <v>85</v>
      </c>
      <c r="B27" s="97"/>
      <c r="C27" s="96"/>
      <c r="D27" s="100" t="s">
        <v>86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5"/>
      <c r="BI27" s="96"/>
      <c r="BJ27" s="99"/>
    </row>
    <row r="28" spans="1:66" x14ac:dyDescent="0.25">
      <c r="A28" s="47" t="s">
        <v>0</v>
      </c>
      <c r="B28" s="139">
        <v>0</v>
      </c>
      <c r="C28" s="133">
        <v>0</v>
      </c>
      <c r="D28" s="106">
        <v>993663505</v>
      </c>
      <c r="E28" s="106">
        <v>799965556</v>
      </c>
      <c r="F28" s="106">
        <v>694371338</v>
      </c>
      <c r="G28" s="106">
        <v>1033880199</v>
      </c>
      <c r="H28" s="106">
        <v>1389519683</v>
      </c>
      <c r="I28" s="106">
        <v>1393717014</v>
      </c>
      <c r="J28" s="106">
        <v>1260356462</v>
      </c>
      <c r="K28" s="106">
        <v>898752689</v>
      </c>
      <c r="L28" s="106">
        <v>737254549</v>
      </c>
      <c r="M28" s="106">
        <v>1139687162</v>
      </c>
      <c r="N28" s="106">
        <v>1486587515</v>
      </c>
      <c r="O28" s="106">
        <v>1118519560</v>
      </c>
      <c r="P28" s="106">
        <v>900425374</v>
      </c>
      <c r="Q28" s="106">
        <v>785388980</v>
      </c>
      <c r="R28" s="106">
        <v>745552820</v>
      </c>
      <c r="S28" s="106">
        <v>999249366</v>
      </c>
      <c r="T28" s="106">
        <v>1328710328</v>
      </c>
      <c r="U28" s="106">
        <v>1345571317</v>
      </c>
      <c r="V28" s="106">
        <v>1065182267</v>
      </c>
      <c r="W28" s="176">
        <v>935823271</v>
      </c>
      <c r="X28" s="176">
        <v>821487370</v>
      </c>
      <c r="Y28" s="176">
        <v>1061048123</v>
      </c>
      <c r="Z28" s="176">
        <v>1655009463</v>
      </c>
      <c r="AA28" s="176">
        <v>1329247401</v>
      </c>
      <c r="AB28" s="176">
        <v>1071720684</v>
      </c>
      <c r="AC28" s="176">
        <v>1035354332</v>
      </c>
      <c r="AD28" s="176">
        <v>838111932</v>
      </c>
      <c r="AE28" s="176">
        <v>1238437606</v>
      </c>
      <c r="AF28" s="176">
        <v>1451979984</v>
      </c>
      <c r="AG28" s="176">
        <v>1300666274</v>
      </c>
      <c r="AH28" s="176">
        <v>1250635703</v>
      </c>
      <c r="AI28" s="176">
        <v>971081766</v>
      </c>
      <c r="AJ28" s="176">
        <v>906818656</v>
      </c>
      <c r="AK28" s="176">
        <v>1263779046</v>
      </c>
      <c r="AL28" s="176">
        <v>1395672993</v>
      </c>
      <c r="AM28" s="176">
        <v>1407530571</v>
      </c>
      <c r="AN28" s="176">
        <v>1268128455</v>
      </c>
      <c r="AO28" s="176">
        <v>872933544</v>
      </c>
      <c r="AP28" s="176">
        <v>738196558</v>
      </c>
      <c r="AQ28" s="176">
        <v>978975302</v>
      </c>
      <c r="AR28" s="176">
        <v>1243909773</v>
      </c>
      <c r="AS28" s="176">
        <v>1310015315</v>
      </c>
      <c r="AT28" s="176">
        <v>1208033233</v>
      </c>
      <c r="AU28" s="176">
        <v>993546162</v>
      </c>
      <c r="AV28" s="176">
        <f>'[1]PPC.3, PCR.2'!AU30</f>
        <v>897156231</v>
      </c>
      <c r="AW28" s="176">
        <f>'[1]PPC.3, PCR.2'!AV30</f>
        <v>1208147189</v>
      </c>
      <c r="AX28" s="176">
        <f>'[1]PPC.3, PCR.2'!AW30</f>
        <v>1334184680</v>
      </c>
      <c r="AY28" s="176">
        <f>'[1]PPC.3, PCR.2'!AX30</f>
        <v>1302694951</v>
      </c>
      <c r="AZ28" s="176">
        <f>'[1]PPC.3, PCR.2'!AY30</f>
        <v>1123586700</v>
      </c>
      <c r="BA28" s="176">
        <f>'[1]PPC.3, PCR.2'!AZ30</f>
        <v>886578697</v>
      </c>
      <c r="BB28" s="176">
        <f>'[1]PPC.3, PCR.2'!BA30</f>
        <v>790098101</v>
      </c>
      <c r="BC28" s="176">
        <f>'[1]PPC.3, PCR.2'!BB30</f>
        <v>1041013964</v>
      </c>
      <c r="BD28" s="176">
        <f>'[1]PPC.3, PCR.2'!BC30</f>
        <v>1397050553</v>
      </c>
      <c r="BE28" s="176">
        <f>'[1]PPC.3, PCR.2'!BD30</f>
        <v>1310723723</v>
      </c>
      <c r="BF28" s="176">
        <f>'[1]PPC.3, PCR.2'!BE30</f>
        <v>1275164339</v>
      </c>
      <c r="BG28" s="176">
        <f>'[1]PPC.3, PCR.2'!BF30</f>
        <v>800796996</v>
      </c>
      <c r="BH28" s="211">
        <f>'[2]M2 Allocations - TD'!BH23</f>
        <v>843046412.65697241</v>
      </c>
      <c r="BI28" s="212">
        <f>'[2]M2 Allocations - TD'!BI23</f>
        <v>1216732697.4216664</v>
      </c>
      <c r="BJ28" s="213">
        <f>'[2]M2 Allocations - TD'!BJ23</f>
        <v>1514533864.5076404</v>
      </c>
      <c r="BK28" s="47"/>
      <c r="BL28" s="50"/>
      <c r="BN28" s="50"/>
    </row>
    <row r="29" spans="1:66" x14ac:dyDescent="0.25">
      <c r="A29" s="47" t="s">
        <v>4</v>
      </c>
      <c r="B29" s="139">
        <v>0</v>
      </c>
      <c r="C29" s="133">
        <v>0</v>
      </c>
      <c r="D29" s="106">
        <v>260227273</v>
      </c>
      <c r="E29" s="106">
        <v>236480663</v>
      </c>
      <c r="F29" s="106">
        <v>226604577</v>
      </c>
      <c r="G29" s="106">
        <v>276800633</v>
      </c>
      <c r="H29" s="106">
        <v>328433342</v>
      </c>
      <c r="I29" s="106">
        <v>327996744</v>
      </c>
      <c r="J29" s="106">
        <v>315410170</v>
      </c>
      <c r="K29" s="106">
        <v>268275261</v>
      </c>
      <c r="L29" s="106">
        <v>238400191</v>
      </c>
      <c r="M29" s="106">
        <v>276639061</v>
      </c>
      <c r="N29" s="106">
        <v>331623730</v>
      </c>
      <c r="O29" s="106">
        <v>274620464</v>
      </c>
      <c r="P29" s="106">
        <v>244043467</v>
      </c>
      <c r="Q29" s="106">
        <v>230986921</v>
      </c>
      <c r="R29" s="106">
        <v>228484392</v>
      </c>
      <c r="S29" s="106">
        <v>271547337</v>
      </c>
      <c r="T29" s="106">
        <v>314773105</v>
      </c>
      <c r="U29" s="106">
        <v>317794583</v>
      </c>
      <c r="V29" s="106">
        <v>284270101</v>
      </c>
      <c r="W29" s="176">
        <v>269129889</v>
      </c>
      <c r="X29" s="176">
        <v>240618906</v>
      </c>
      <c r="Y29" s="176">
        <v>265688240</v>
      </c>
      <c r="Z29" s="176">
        <v>350848362</v>
      </c>
      <c r="AA29" s="176">
        <v>304988610</v>
      </c>
      <c r="AB29" s="176">
        <v>267166722</v>
      </c>
      <c r="AC29" s="176">
        <v>263421812</v>
      </c>
      <c r="AD29" s="176">
        <v>238338730</v>
      </c>
      <c r="AE29" s="176">
        <v>299991891</v>
      </c>
      <c r="AF29" s="176">
        <v>330814291</v>
      </c>
      <c r="AG29" s="176">
        <v>309298324</v>
      </c>
      <c r="AH29" s="176">
        <v>303923884</v>
      </c>
      <c r="AI29" s="176">
        <v>267631865</v>
      </c>
      <c r="AJ29" s="176">
        <v>241319654</v>
      </c>
      <c r="AK29" s="176">
        <v>291652347</v>
      </c>
      <c r="AL29" s="176">
        <v>307968093</v>
      </c>
      <c r="AM29" s="176">
        <v>308068267</v>
      </c>
      <c r="AN29" s="176">
        <v>290178959</v>
      </c>
      <c r="AO29" s="176">
        <v>235096003</v>
      </c>
      <c r="AP29" s="176">
        <v>221772499</v>
      </c>
      <c r="AQ29" s="176">
        <v>258735845</v>
      </c>
      <c r="AR29" s="176">
        <v>295975497</v>
      </c>
      <c r="AS29" s="176">
        <v>304175879</v>
      </c>
      <c r="AT29" s="176">
        <v>293549572</v>
      </c>
      <c r="AU29" s="176">
        <v>264736629</v>
      </c>
      <c r="AV29" s="176">
        <f>'[1]PPC.3, PCR.2'!AU31</f>
        <v>237145043</v>
      </c>
      <c r="AW29" s="176">
        <f>'[1]PPC.3, PCR.2'!AV31</f>
        <v>278572550</v>
      </c>
      <c r="AX29" s="176">
        <f>'[1]PPC.3, PCR.2'!AW31</f>
        <v>297050898</v>
      </c>
      <c r="AY29" s="176">
        <f>'[1]PPC.3, PCR.2'!AX31</f>
        <v>290934660</v>
      </c>
      <c r="AZ29" s="176">
        <f>'[1]PPC.3, PCR.2'!AY31</f>
        <v>265078600</v>
      </c>
      <c r="BA29" s="176">
        <f>'[1]PPC.3, PCR.2'!AZ31</f>
        <v>203506574</v>
      </c>
      <c r="BB29" s="176">
        <f>'[1]PPC.3, PCR.2'!BA31</f>
        <v>184563246</v>
      </c>
      <c r="BC29" s="176">
        <f>'[1]PPC.3, PCR.2'!BB31</f>
        <v>231230759</v>
      </c>
      <c r="BD29" s="176">
        <f>'[1]PPC.3, PCR.2'!BC31</f>
        <v>288425422</v>
      </c>
      <c r="BE29" s="176">
        <f>'[1]PPC.3, PCR.2'!BD31</f>
        <v>281389691</v>
      </c>
      <c r="BF29" s="176">
        <f>'[1]PPC.3, PCR.2'!BE31</f>
        <v>269111017</v>
      </c>
      <c r="BG29" s="176">
        <f>'[1]PPC.3, PCR.2'!BF31</f>
        <v>218212399</v>
      </c>
      <c r="BH29" s="211">
        <f>'[2]M2 Allocations - TD'!BH24</f>
        <v>212506850.43729073</v>
      </c>
      <c r="BI29" s="212">
        <f>'[2]M2 Allocations - TD'!BI24</f>
        <v>247333671.47152999</v>
      </c>
      <c r="BJ29" s="213">
        <f>'[2]M2 Allocations - TD'!BJ24</f>
        <v>296505448.15133965</v>
      </c>
      <c r="BK29" s="140"/>
      <c r="BL29" s="50"/>
      <c r="BN29" s="50"/>
    </row>
    <row r="30" spans="1:66" x14ac:dyDescent="0.25">
      <c r="A30" s="47" t="s">
        <v>5</v>
      </c>
      <c r="B30" s="139">
        <v>0</v>
      </c>
      <c r="C30" s="133">
        <v>0</v>
      </c>
      <c r="D30" s="106">
        <v>596370095</v>
      </c>
      <c r="E30" s="106">
        <v>585567373</v>
      </c>
      <c r="F30" s="106">
        <v>584363020</v>
      </c>
      <c r="G30" s="106">
        <v>661650596</v>
      </c>
      <c r="H30" s="106">
        <v>744450846</v>
      </c>
      <c r="I30" s="106">
        <v>746230356</v>
      </c>
      <c r="J30" s="106">
        <v>749176357</v>
      </c>
      <c r="K30" s="106">
        <v>659221190</v>
      </c>
      <c r="L30" s="106">
        <v>600231827</v>
      </c>
      <c r="M30" s="106">
        <v>624953134</v>
      </c>
      <c r="N30" s="106">
        <v>693030252</v>
      </c>
      <c r="O30" s="106">
        <v>607344097</v>
      </c>
      <c r="P30" s="106">
        <v>572358448</v>
      </c>
      <c r="Q30" s="106">
        <v>562854773</v>
      </c>
      <c r="R30" s="106">
        <v>578075204</v>
      </c>
      <c r="S30" s="106">
        <v>655641906</v>
      </c>
      <c r="T30" s="106">
        <v>714056556</v>
      </c>
      <c r="U30" s="106">
        <v>727381902</v>
      </c>
      <c r="V30" s="106">
        <v>685704779</v>
      </c>
      <c r="W30" s="176">
        <v>658415575</v>
      </c>
      <c r="X30" s="176">
        <v>591258230</v>
      </c>
      <c r="Y30" s="176">
        <v>617045102</v>
      </c>
      <c r="Z30" s="176">
        <v>713223360</v>
      </c>
      <c r="AA30" s="176">
        <v>637748229</v>
      </c>
      <c r="AB30" s="176">
        <v>591995322</v>
      </c>
      <c r="AC30" s="176">
        <v>597309651</v>
      </c>
      <c r="AD30" s="176">
        <v>591787732</v>
      </c>
      <c r="AE30" s="176">
        <v>706111391</v>
      </c>
      <c r="AF30" s="176">
        <v>750019857</v>
      </c>
      <c r="AG30" s="176">
        <v>709167976</v>
      </c>
      <c r="AH30" s="176">
        <v>721543630</v>
      </c>
      <c r="AI30" s="176">
        <v>655717182</v>
      </c>
      <c r="AJ30" s="176">
        <v>583325592</v>
      </c>
      <c r="AK30" s="176">
        <v>635010680</v>
      </c>
      <c r="AL30" s="176">
        <v>645753087</v>
      </c>
      <c r="AM30" s="176">
        <v>624256369</v>
      </c>
      <c r="AN30" s="176">
        <v>599641261</v>
      </c>
      <c r="AO30" s="176">
        <v>546450417</v>
      </c>
      <c r="AP30" s="176">
        <v>548775486</v>
      </c>
      <c r="AQ30" s="176">
        <v>609609142</v>
      </c>
      <c r="AR30" s="176">
        <v>656813642</v>
      </c>
      <c r="AS30" s="176">
        <v>671886437</v>
      </c>
      <c r="AT30" s="176">
        <v>678219627</v>
      </c>
      <c r="AU30" s="176">
        <v>622550219</v>
      </c>
      <c r="AV30" s="176">
        <f>'[1]PPC.3, PCR.2'!AU32</f>
        <v>549600433</v>
      </c>
      <c r="AW30" s="176">
        <f>'[1]PPC.3, PCR.2'!AV32</f>
        <v>596432225</v>
      </c>
      <c r="AX30" s="176">
        <f>'[1]PPC.3, PCR.2'!AW32</f>
        <v>616923082</v>
      </c>
      <c r="AY30" s="176">
        <f>'[1]PPC.3, PCR.2'!AX32</f>
        <v>599527620</v>
      </c>
      <c r="AZ30" s="176">
        <f>'[1]PPC.3, PCR.2'!AY32</f>
        <v>566693954</v>
      </c>
      <c r="BA30" s="176">
        <f>'[1]PPC.3, PCR.2'!AZ32</f>
        <v>483801855</v>
      </c>
      <c r="BB30" s="176">
        <f>'[1]PPC.3, PCR.2'!BA32</f>
        <v>451939609</v>
      </c>
      <c r="BC30" s="176">
        <f>'[1]PPC.3, PCR.2'!BB32</f>
        <v>534583835</v>
      </c>
      <c r="BD30" s="176">
        <f>'[1]PPC.3, PCR.2'!BC32</f>
        <v>624356693</v>
      </c>
      <c r="BE30" s="176">
        <f>'[1]PPC.3, PCR.2'!BD32</f>
        <v>621885740</v>
      </c>
      <c r="BF30" s="176">
        <f>'[1]PPC.3, PCR.2'!BE32</f>
        <v>619148163</v>
      </c>
      <c r="BG30" s="176">
        <f>'[1]PPC.3, PCR.2'!BF32</f>
        <v>528448107.69999999</v>
      </c>
      <c r="BH30" s="211">
        <f>'[2]M2 Allocations - TD'!BH25</f>
        <v>505406155.39879215</v>
      </c>
      <c r="BI30" s="212">
        <f>'[2]M2 Allocations - TD'!BI25</f>
        <v>533082643.85671055</v>
      </c>
      <c r="BJ30" s="213">
        <f>'[2]M2 Allocations - TD'!BJ25</f>
        <v>618354607.53746903</v>
      </c>
      <c r="BK30" s="140"/>
      <c r="BL30" s="50"/>
      <c r="BN30" s="50"/>
    </row>
    <row r="31" spans="1:66" x14ac:dyDescent="0.25">
      <c r="A31" s="47" t="s">
        <v>6</v>
      </c>
      <c r="B31" s="139">
        <v>0</v>
      </c>
      <c r="C31" s="133">
        <v>0</v>
      </c>
      <c r="D31" s="106">
        <v>247441789</v>
      </c>
      <c r="E31" s="106">
        <v>263524459</v>
      </c>
      <c r="F31" s="106">
        <v>273810149</v>
      </c>
      <c r="G31" s="106">
        <v>281099842</v>
      </c>
      <c r="H31" s="106">
        <v>312186695</v>
      </c>
      <c r="I31" s="106">
        <v>304162315</v>
      </c>
      <c r="J31" s="106">
        <v>330143172</v>
      </c>
      <c r="K31" s="106">
        <v>280092260</v>
      </c>
      <c r="L31" s="106">
        <v>268855946</v>
      </c>
      <c r="M31" s="106">
        <v>269553572</v>
      </c>
      <c r="N31" s="106">
        <v>287482958</v>
      </c>
      <c r="O31" s="106">
        <v>284042474</v>
      </c>
      <c r="P31" s="106">
        <v>243773343</v>
      </c>
      <c r="Q31" s="106">
        <v>262317859</v>
      </c>
      <c r="R31" s="106">
        <v>265729533</v>
      </c>
      <c r="S31" s="106">
        <v>305383990</v>
      </c>
      <c r="T31" s="106">
        <v>299141306</v>
      </c>
      <c r="U31" s="106">
        <v>315582091</v>
      </c>
      <c r="V31" s="106">
        <v>303646750</v>
      </c>
      <c r="W31" s="176">
        <v>297206861</v>
      </c>
      <c r="X31" s="176">
        <v>267769856</v>
      </c>
      <c r="Y31" s="176">
        <v>280403761</v>
      </c>
      <c r="Z31" s="176">
        <v>308993823</v>
      </c>
      <c r="AA31" s="176">
        <v>274104685</v>
      </c>
      <c r="AB31" s="176">
        <v>272372147</v>
      </c>
      <c r="AC31" s="176">
        <v>251417733</v>
      </c>
      <c r="AD31" s="176">
        <v>289575324</v>
      </c>
      <c r="AE31" s="176">
        <v>314032531</v>
      </c>
      <c r="AF31" s="176">
        <v>325203026</v>
      </c>
      <c r="AG31" s="176">
        <v>319660753</v>
      </c>
      <c r="AH31" s="176">
        <v>311095874</v>
      </c>
      <c r="AI31" s="176">
        <v>289535965</v>
      </c>
      <c r="AJ31" s="176">
        <v>271491896</v>
      </c>
      <c r="AK31" s="176">
        <v>291933586</v>
      </c>
      <c r="AL31" s="176">
        <v>252980562</v>
      </c>
      <c r="AM31" s="176">
        <v>248710812</v>
      </c>
      <c r="AN31" s="176">
        <v>242499726</v>
      </c>
      <c r="AO31" s="176">
        <v>232539680</v>
      </c>
      <c r="AP31" s="176">
        <v>229224298</v>
      </c>
      <c r="AQ31" s="176">
        <v>266349220</v>
      </c>
      <c r="AR31" s="176">
        <v>267674678</v>
      </c>
      <c r="AS31" s="176">
        <v>281003685</v>
      </c>
      <c r="AT31" s="176">
        <v>279302255</v>
      </c>
      <c r="AU31" s="176">
        <v>258807768</v>
      </c>
      <c r="AV31" s="176">
        <f>'[1]PPC.3, PCR.2'!AU33</f>
        <v>239334214</v>
      </c>
      <c r="AW31" s="176">
        <f>'[1]PPC.3, PCR.2'!AV33</f>
        <v>241025466</v>
      </c>
      <c r="AX31" s="176">
        <f>'[1]PPC.3, PCR.2'!AW33</f>
        <v>247898204</v>
      </c>
      <c r="AY31" s="176">
        <f>'[1]PPC.3, PCR.2'!AX33</f>
        <v>255420215</v>
      </c>
      <c r="AZ31" s="176">
        <f>'[1]PPC.3, PCR.2'!AY33</f>
        <v>225135566</v>
      </c>
      <c r="BA31" s="176">
        <f>'[1]PPC.3, PCR.2'!AZ33</f>
        <v>219961316</v>
      </c>
      <c r="BB31" s="176">
        <f>'[1]PPC.3, PCR.2'!BA33</f>
        <v>207074154</v>
      </c>
      <c r="BC31" s="176">
        <f>'[1]PPC.3, PCR.2'!BB33</f>
        <v>241165089</v>
      </c>
      <c r="BD31" s="176">
        <f>'[1]PPC.3, PCR.2'!BC33</f>
        <v>253833450</v>
      </c>
      <c r="BE31" s="176">
        <f>'[1]PPC.3, PCR.2'!BD33</f>
        <v>266058831</v>
      </c>
      <c r="BF31" s="176">
        <f>'[1]PPC.3, PCR.2'!BE33</f>
        <v>266126792</v>
      </c>
      <c r="BG31" s="176">
        <f>'[1]PPC.3, PCR.2'!BF33</f>
        <v>236673642.40000001</v>
      </c>
      <c r="BH31" s="211">
        <f>'[2]M2 Allocations - TD'!BH26</f>
        <v>217834796.02862665</v>
      </c>
      <c r="BI31" s="212">
        <f>'[2]M2 Allocations - TD'!BI26</f>
        <v>220250790.93781009</v>
      </c>
      <c r="BJ31" s="213">
        <f>'[2]M2 Allocations - TD'!BJ26</f>
        <v>253688796.86089924</v>
      </c>
      <c r="BK31" s="140"/>
      <c r="BL31" s="50"/>
      <c r="BN31" s="50"/>
    </row>
    <row r="32" spans="1:66" x14ac:dyDescent="0.25">
      <c r="A32" s="47" t="s">
        <v>7</v>
      </c>
      <c r="B32" s="139">
        <v>0</v>
      </c>
      <c r="C32" s="133">
        <v>0</v>
      </c>
      <c r="D32" s="106">
        <v>127273740</v>
      </c>
      <c r="E32" s="106">
        <v>133415922</v>
      </c>
      <c r="F32" s="106">
        <v>133920097</v>
      </c>
      <c r="G32" s="106">
        <v>151320401</v>
      </c>
      <c r="H32" s="106">
        <v>158812387</v>
      </c>
      <c r="I32" s="106">
        <v>160367769</v>
      </c>
      <c r="J32" s="106">
        <v>176194341</v>
      </c>
      <c r="K32" s="106">
        <v>154604539</v>
      </c>
      <c r="L32" s="106">
        <v>142536252</v>
      </c>
      <c r="M32" s="106">
        <v>134004611</v>
      </c>
      <c r="N32" s="106">
        <v>132646039</v>
      </c>
      <c r="O32" s="106">
        <v>136324918</v>
      </c>
      <c r="P32" s="106">
        <v>118000396</v>
      </c>
      <c r="Q32" s="106">
        <v>130771713</v>
      </c>
      <c r="R32" s="106">
        <v>133006544</v>
      </c>
      <c r="S32" s="106">
        <v>158813593</v>
      </c>
      <c r="T32" s="106">
        <v>150211763</v>
      </c>
      <c r="U32" s="106">
        <v>166478792</v>
      </c>
      <c r="V32" s="106">
        <v>158634223</v>
      </c>
      <c r="W32" s="176">
        <v>151247524</v>
      </c>
      <c r="X32" s="176">
        <v>147830606</v>
      </c>
      <c r="Y32" s="176">
        <v>132139915</v>
      </c>
      <c r="Z32" s="176">
        <v>134787267</v>
      </c>
      <c r="AA32" s="176">
        <v>125603697</v>
      </c>
      <c r="AB32" s="176">
        <v>125857767</v>
      </c>
      <c r="AC32" s="176">
        <v>119174583</v>
      </c>
      <c r="AD32" s="176">
        <v>136766539</v>
      </c>
      <c r="AE32" s="176">
        <v>151258088</v>
      </c>
      <c r="AF32" s="176">
        <v>155948179</v>
      </c>
      <c r="AG32" s="176">
        <v>160224923</v>
      </c>
      <c r="AH32" s="176">
        <v>150480926</v>
      </c>
      <c r="AI32" s="176">
        <v>148580162</v>
      </c>
      <c r="AJ32" s="176">
        <v>139627995</v>
      </c>
      <c r="AK32" s="176">
        <v>135972391</v>
      </c>
      <c r="AL32" s="176">
        <v>101960146</v>
      </c>
      <c r="AM32" s="176">
        <v>96075286</v>
      </c>
      <c r="AN32" s="176">
        <v>99309923</v>
      </c>
      <c r="AO32" s="176">
        <v>98876748</v>
      </c>
      <c r="AP32" s="176">
        <v>96480454</v>
      </c>
      <c r="AQ32" s="176">
        <v>121526151</v>
      </c>
      <c r="AR32" s="176">
        <v>113123855</v>
      </c>
      <c r="AS32" s="176">
        <v>125262874</v>
      </c>
      <c r="AT32" s="176">
        <v>126945040</v>
      </c>
      <c r="AU32" s="176">
        <v>119752379</v>
      </c>
      <c r="AV32" s="176">
        <f>'[1]PPC.3, PCR.2'!AU34</f>
        <v>106348532</v>
      </c>
      <c r="AW32" s="176">
        <f>'[1]PPC.3, PCR.2'!AV34</f>
        <v>100067076</v>
      </c>
      <c r="AX32" s="176">
        <f>'[1]PPC.3, PCR.2'!AW34</f>
        <v>105899561</v>
      </c>
      <c r="AY32" s="176">
        <f>'[1]PPC.3, PCR.2'!AX34</f>
        <v>111203176</v>
      </c>
      <c r="AZ32" s="176">
        <f>'[1]PPC.3, PCR.2'!AY34</f>
        <v>86704807</v>
      </c>
      <c r="BA32" s="176">
        <f>'[1]PPC.3, PCR.2'!AZ34</f>
        <v>92097434</v>
      </c>
      <c r="BB32" s="176">
        <f>'[1]PPC.3, PCR.2'!BA34</f>
        <v>93506334</v>
      </c>
      <c r="BC32" s="176">
        <f>'[1]PPC.3, PCR.2'!BB34</f>
        <v>92139707</v>
      </c>
      <c r="BD32" s="176">
        <f>'[1]PPC.3, PCR.2'!BC34</f>
        <v>105110654</v>
      </c>
      <c r="BE32" s="176">
        <f>'[1]PPC.3, PCR.2'!BD34</f>
        <v>108265948</v>
      </c>
      <c r="BF32" s="176">
        <f>'[1]PPC.3, PCR.2'!BE34</f>
        <v>109806573</v>
      </c>
      <c r="BG32" s="176">
        <f>'[1]PPC.3, PCR.2'!BF34</f>
        <v>96724322.099999994</v>
      </c>
      <c r="BH32" s="211">
        <f>'[2]M2 Allocations - TD'!BH27</f>
        <v>95672806.813029289</v>
      </c>
      <c r="BI32" s="212">
        <f>'[2]M2 Allocations - TD'!BI27</f>
        <v>93476252.987985492</v>
      </c>
      <c r="BJ32" s="213">
        <f>'[2]M2 Allocations - TD'!BJ27</f>
        <v>101653829.93562543</v>
      </c>
      <c r="BK32" s="140"/>
      <c r="BL32" s="50"/>
      <c r="BN32" s="50"/>
    </row>
    <row r="33" spans="1:64" x14ac:dyDescent="0.25">
      <c r="B33" s="97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5"/>
      <c r="BI33" s="96"/>
      <c r="BJ33" s="99"/>
    </row>
    <row r="34" spans="1:64" x14ac:dyDescent="0.25">
      <c r="A34" s="69" t="s">
        <v>87</v>
      </c>
      <c r="B34" s="97"/>
      <c r="C34" s="96"/>
      <c r="D34" s="100" t="s">
        <v>68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8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5"/>
      <c r="BI34" s="96"/>
      <c r="BJ34" s="99"/>
      <c r="BK34" s="113" t="s">
        <v>104</v>
      </c>
      <c r="BL34" s="47"/>
    </row>
    <row r="35" spans="1:64" x14ac:dyDescent="0.25">
      <c r="A35" s="47" t="str">
        <f>A28</f>
        <v>RES</v>
      </c>
      <c r="B35" s="91">
        <v>0</v>
      </c>
      <c r="C35" s="92">
        <v>0</v>
      </c>
      <c r="D35" s="92">
        <v>0</v>
      </c>
      <c r="E35" s="92">
        <v>0</v>
      </c>
      <c r="F35" s="92">
        <v>123961.69</v>
      </c>
      <c r="G35" s="92">
        <v>1908168.92</v>
      </c>
      <c r="H35" s="92">
        <v>2568297.87</v>
      </c>
      <c r="I35" s="92">
        <v>2577448.31</v>
      </c>
      <c r="J35" s="92">
        <v>2331302.52</v>
      </c>
      <c r="K35" s="92">
        <v>1662285.76</v>
      </c>
      <c r="L35" s="92">
        <v>1362163.19</v>
      </c>
      <c r="M35" s="92">
        <v>2095736.41</v>
      </c>
      <c r="N35" s="92">
        <v>2744219.77</v>
      </c>
      <c r="O35" s="92">
        <v>2148829.36</v>
      </c>
      <c r="P35" s="92">
        <v>1729823.68</v>
      </c>
      <c r="Q35" s="92">
        <v>1512003.54</v>
      </c>
      <c r="R35" s="92">
        <v>1440840.56</v>
      </c>
      <c r="S35" s="92">
        <v>1936757.77</v>
      </c>
      <c r="T35" s="92">
        <v>2576912.5699999998</v>
      </c>
      <c r="U35" s="92">
        <v>2608657.2400000002</v>
      </c>
      <c r="V35" s="92">
        <v>2062676.64</v>
      </c>
      <c r="W35" s="101">
        <v>1810953.83</v>
      </c>
      <c r="X35" s="101">
        <v>1581314.86</v>
      </c>
      <c r="Y35" s="101">
        <v>2039173.2</v>
      </c>
      <c r="Z35" s="101">
        <v>3182458.2</v>
      </c>
      <c r="AA35" s="101">
        <v>2595923.37</v>
      </c>
      <c r="AB35" s="101">
        <v>2092553.72</v>
      </c>
      <c r="AC35" s="101">
        <v>2020382.01</v>
      </c>
      <c r="AD35" s="101">
        <v>1645582.52</v>
      </c>
      <c r="AE35" s="101">
        <v>2444250.39</v>
      </c>
      <c r="AF35" s="101">
        <v>2866018.01</v>
      </c>
      <c r="AG35" s="101">
        <v>2568472.33</v>
      </c>
      <c r="AH35" s="101">
        <v>2470378.25</v>
      </c>
      <c r="AI35" s="101">
        <v>1911666.16</v>
      </c>
      <c r="AJ35" s="101">
        <v>1773897.44</v>
      </c>
      <c r="AK35" s="101">
        <v>2468312.4700000002</v>
      </c>
      <c r="AL35" s="101">
        <v>2371912.9899999998</v>
      </c>
      <c r="AM35" s="101">
        <v>-824507.18999999971</v>
      </c>
      <c r="AN35" s="101">
        <v>-745444.90999999992</v>
      </c>
      <c r="AO35" s="101">
        <v>-514077.78</v>
      </c>
      <c r="AP35" s="101">
        <v>-436461.67999999993</v>
      </c>
      <c r="AQ35" s="101">
        <v>-582419.76000000013</v>
      </c>
      <c r="AR35" s="101">
        <v>-740942.31</v>
      </c>
      <c r="AS35" s="101">
        <v>-781133.54</v>
      </c>
      <c r="AT35" s="101">
        <v>-720539.33000000007</v>
      </c>
      <c r="AU35" s="101">
        <v>-591555.64</v>
      </c>
      <c r="AV35" s="101">
        <f>-'[1]PCR.3 (M2)'!AR6</f>
        <v>-530129.47000000009</v>
      </c>
      <c r="AW35" s="101">
        <f>-'[1]PCR.3 (M2)'!AS6</f>
        <v>-714004.47999999998</v>
      </c>
      <c r="AX35" s="101">
        <f>-'[1]PCR.3 (M2)'!AT6</f>
        <v>-788734.29</v>
      </c>
      <c r="AY35" s="101">
        <f>-'[1]PCR.3 (M2)'!AU6</f>
        <v>-359351.67999999993</v>
      </c>
      <c r="AZ35" s="101">
        <f>-'[1]PCR.3 (M2)'!AV6</f>
        <v>131484.91</v>
      </c>
      <c r="BA35" s="101">
        <f>-'[1]PCR.3 (M2)'!AW6</f>
        <v>107819.94000000002</v>
      </c>
      <c r="BB35" s="101">
        <f>-'[1]PCR.3 (M2)'!AX6</f>
        <v>96348.87000000001</v>
      </c>
      <c r="BC35" s="101">
        <f>-'[1]PCR.3 (M2)'!AY6</f>
        <v>127268.51999999997</v>
      </c>
      <c r="BD35" s="101">
        <f>-'[1]PCR.3 (M2)'!AZ6</f>
        <v>171289.33000000002</v>
      </c>
      <c r="BE35" s="101">
        <f>-'[1]PCR.3 (M2)'!BA6</f>
        <v>160805.96</v>
      </c>
      <c r="BF35" s="101">
        <f>-'[1]PCR.3 (M2)'!BB6</f>
        <v>144819.87</v>
      </c>
      <c r="BG35" s="101">
        <f>-'[1]PCR.3 (M2)'!BC6</f>
        <v>97472.499999999985</v>
      </c>
      <c r="BH35" s="107">
        <f>BH28*$BK35+BH49</f>
        <v>102879.39721213197</v>
      </c>
      <c r="BI35" s="108">
        <f>BI28*$BK35+BI49</f>
        <v>148481.41762980921</v>
      </c>
      <c r="BJ35" s="112">
        <f t="shared" ref="BJ35" si="69">BJ28*$BK35+BJ49</f>
        <v>184822.95719263816</v>
      </c>
      <c r="BK35" s="102">
        <v>1.26E-4</v>
      </c>
      <c r="BL35" s="47"/>
    </row>
    <row r="36" spans="1:64" x14ac:dyDescent="0.25">
      <c r="A36" s="47" t="str">
        <f>A29</f>
        <v>SGS</v>
      </c>
      <c r="B36" s="91">
        <v>0</v>
      </c>
      <c r="C36" s="92">
        <v>0</v>
      </c>
      <c r="D36" s="92">
        <v>0</v>
      </c>
      <c r="E36" s="92">
        <v>0</v>
      </c>
      <c r="F36" s="92">
        <v>30867.47</v>
      </c>
      <c r="G36" s="92">
        <v>447208.24</v>
      </c>
      <c r="H36" s="92">
        <v>531350.03</v>
      </c>
      <c r="I36" s="92">
        <v>530492.54</v>
      </c>
      <c r="J36" s="92">
        <v>510350.03</v>
      </c>
      <c r="K36" s="92">
        <v>434079.23</v>
      </c>
      <c r="L36" s="92">
        <v>385472.34</v>
      </c>
      <c r="M36" s="92">
        <v>447361.18</v>
      </c>
      <c r="N36" s="92">
        <v>521889.23</v>
      </c>
      <c r="O36" s="92">
        <v>291041.78999999998</v>
      </c>
      <c r="P36" s="92">
        <v>258475.06</v>
      </c>
      <c r="Q36" s="92">
        <v>244605.15</v>
      </c>
      <c r="R36" s="92">
        <v>242003.19</v>
      </c>
      <c r="S36" s="92">
        <v>287667.83</v>
      </c>
      <c r="T36" s="92">
        <v>333489.84999999998</v>
      </c>
      <c r="U36" s="92">
        <v>336690.37</v>
      </c>
      <c r="V36" s="92">
        <v>301150.11</v>
      </c>
      <c r="W36" s="101">
        <v>285102.90999999997</v>
      </c>
      <c r="X36" s="101">
        <v>254850.05</v>
      </c>
      <c r="Y36" s="101">
        <v>281447.78999999998</v>
      </c>
      <c r="Z36" s="101">
        <v>431665.87</v>
      </c>
      <c r="AA36" s="101">
        <v>950845.36</v>
      </c>
      <c r="AB36" s="101">
        <v>833398.31</v>
      </c>
      <c r="AC36" s="101">
        <v>821359.53</v>
      </c>
      <c r="AD36" s="101">
        <v>743516.11</v>
      </c>
      <c r="AE36" s="101">
        <v>936050.92</v>
      </c>
      <c r="AF36" s="101">
        <v>1032769.67</v>
      </c>
      <c r="AG36" s="101">
        <v>965010.54</v>
      </c>
      <c r="AH36" s="101">
        <v>948232.91</v>
      </c>
      <c r="AI36" s="101">
        <v>835687.41</v>
      </c>
      <c r="AJ36" s="101">
        <v>752706.92999999993</v>
      </c>
      <c r="AK36" s="101">
        <v>909713.58000000007</v>
      </c>
      <c r="AL36" s="101">
        <v>893379.14</v>
      </c>
      <c r="AM36" s="101">
        <v>178827.99000000002</v>
      </c>
      <c r="AN36" s="101">
        <v>168311.71999999997</v>
      </c>
      <c r="AO36" s="101">
        <v>135747.34</v>
      </c>
      <c r="AP36" s="101">
        <v>128723.33</v>
      </c>
      <c r="AQ36" s="101">
        <v>149951.91999999998</v>
      </c>
      <c r="AR36" s="101">
        <v>171754.22999999995</v>
      </c>
      <c r="AS36" s="101">
        <v>176182.37</v>
      </c>
      <c r="AT36" s="101">
        <v>170004.76000000004</v>
      </c>
      <c r="AU36" s="101">
        <v>153935.74</v>
      </c>
      <c r="AV36" s="101">
        <f>-'[1]PCR.3 (M2)'!AR7</f>
        <v>137492.72</v>
      </c>
      <c r="AW36" s="101">
        <f>-'[1]PCR.3 (M2)'!AS7</f>
        <v>161408.21000000002</v>
      </c>
      <c r="AX36" s="101">
        <f>-'[1]PCR.3 (M2)'!AT7</f>
        <v>172107.58000000005</v>
      </c>
      <c r="AY36" s="101">
        <f>-'[1]PCR.3 (M2)'!AU7</f>
        <v>109647.47000000002</v>
      </c>
      <c r="AZ36" s="101">
        <f>-'[1]PCR.3 (M2)'!AV7</f>
        <v>30414.499999999996</v>
      </c>
      <c r="BA36" s="101">
        <f>-'[1]PCR.3 (M2)'!AW7</f>
        <v>22739.300000000003</v>
      </c>
      <c r="BB36" s="101">
        <f>-'[1]PCR.3 (M2)'!AX7</f>
        <v>20650.36</v>
      </c>
      <c r="BC36" s="101">
        <f>-'[1]PCR.3 (M2)'!AY7</f>
        <v>25825.659999999996</v>
      </c>
      <c r="BD36" s="101">
        <f>-'[1]PCR.3 (M2)'!AZ7</f>
        <v>32252.670000000002</v>
      </c>
      <c r="BE36" s="101">
        <f>-'[1]PCR.3 (M2)'!BA7</f>
        <v>32074.479999999992</v>
      </c>
      <c r="BF36" s="101">
        <f>-'[1]PCR.3 (M2)'!BB7</f>
        <v>30105.510000000006</v>
      </c>
      <c r="BG36" s="101">
        <f>-'[1]PCR.3 (M2)'!BC7</f>
        <v>24459.14</v>
      </c>
      <c r="BH36" s="107">
        <f>BH29*$BK36</f>
        <v>23800.767248976561</v>
      </c>
      <c r="BI36" s="108">
        <f>BI29*$BK36</f>
        <v>27701.371204811359</v>
      </c>
      <c r="BJ36" s="112">
        <f t="shared" ref="BJ36" si="70">BJ29*$BK36</f>
        <v>33208.610192950044</v>
      </c>
      <c r="BK36" s="102">
        <v>1.12E-4</v>
      </c>
      <c r="BL36" s="47"/>
    </row>
    <row r="37" spans="1:64" x14ac:dyDescent="0.25">
      <c r="A37" s="47" t="str">
        <f>A30</f>
        <v>LGS</v>
      </c>
      <c r="B37" s="91">
        <v>0</v>
      </c>
      <c r="C37" s="92">
        <v>0</v>
      </c>
      <c r="D37" s="92">
        <v>0</v>
      </c>
      <c r="E37" s="92">
        <v>0</v>
      </c>
      <c r="F37" s="92">
        <v>64202.879999999997</v>
      </c>
      <c r="G37" s="92">
        <v>1059813.77</v>
      </c>
      <c r="H37" s="92">
        <v>1203922.71</v>
      </c>
      <c r="I37" s="92">
        <v>1206399.46</v>
      </c>
      <c r="J37" s="92">
        <v>1211503.1299999999</v>
      </c>
      <c r="K37" s="92">
        <v>1066102.3899999999</v>
      </c>
      <c r="L37" s="92">
        <v>972108.05</v>
      </c>
      <c r="M37" s="92">
        <v>1010681.81</v>
      </c>
      <c r="N37" s="92">
        <v>1097512.96</v>
      </c>
      <c r="O37" s="92">
        <v>657802.05000000005</v>
      </c>
      <c r="P37" s="92">
        <v>617850.03</v>
      </c>
      <c r="Q37" s="92">
        <v>607462.05000000005</v>
      </c>
      <c r="R37" s="92">
        <v>624105.06000000006</v>
      </c>
      <c r="S37" s="92">
        <v>707741.76</v>
      </c>
      <c r="T37" s="92">
        <v>770766.14</v>
      </c>
      <c r="U37" s="92">
        <v>785160.49</v>
      </c>
      <c r="V37" s="92">
        <v>740167.74</v>
      </c>
      <c r="W37" s="101">
        <v>710721.13</v>
      </c>
      <c r="X37" s="101">
        <v>637956.66</v>
      </c>
      <c r="Y37" s="101">
        <v>666084.51999999897</v>
      </c>
      <c r="Z37" s="101">
        <v>874576.72</v>
      </c>
      <c r="AA37" s="101">
        <v>1984582.28</v>
      </c>
      <c r="AB37" s="101">
        <v>1854983.03</v>
      </c>
      <c r="AC37" s="101">
        <v>1871643.42</v>
      </c>
      <c r="AD37" s="101">
        <v>1855875.99</v>
      </c>
      <c r="AE37" s="101">
        <v>2212948.1</v>
      </c>
      <c r="AF37" s="101">
        <v>2349965.67</v>
      </c>
      <c r="AG37" s="101">
        <v>2223994.13</v>
      </c>
      <c r="AH37" s="101">
        <v>2262829.1800000002</v>
      </c>
      <c r="AI37" s="101">
        <v>2056074.25</v>
      </c>
      <c r="AJ37" s="101">
        <v>1828691.7000000002</v>
      </c>
      <c r="AK37" s="101">
        <v>1991673.2999999998</v>
      </c>
      <c r="AL37" s="101">
        <v>1906612.5699999994</v>
      </c>
      <c r="AM37" s="101">
        <v>371834.34999999992</v>
      </c>
      <c r="AN37" s="101">
        <v>332284.45000000007</v>
      </c>
      <c r="AO37" s="101">
        <v>300022.79000000004</v>
      </c>
      <c r="AP37" s="101">
        <v>320522.93</v>
      </c>
      <c r="AQ37" s="101">
        <v>354235.73000000004</v>
      </c>
      <c r="AR37" s="101">
        <v>383817.32</v>
      </c>
      <c r="AS37" s="101">
        <v>391987.35999999993</v>
      </c>
      <c r="AT37" s="101">
        <v>396090.88</v>
      </c>
      <c r="AU37" s="101">
        <v>362624.28</v>
      </c>
      <c r="AV37" s="101">
        <f>-'[1]PCR.3 (M2)'!AR8</f>
        <v>320424.63000000012</v>
      </c>
      <c r="AW37" s="101">
        <f>-'[1]PCR.3 (M2)'!AS8</f>
        <v>348316.22000000009</v>
      </c>
      <c r="AX37" s="101">
        <f>-'[1]PCR.3 (M2)'!AT8</f>
        <v>360259.5400000001</v>
      </c>
      <c r="AY37" s="101">
        <f>-'[1]PCR.3 (M2)'!AU8</f>
        <v>216252.19999999998</v>
      </c>
      <c r="AZ37" s="101">
        <f>-'[1]PCR.3 (M2)'!AV8</f>
        <v>27634.41</v>
      </c>
      <c r="BA37" s="101">
        <f>-'[1]PCR.3 (M2)'!AW8</f>
        <v>20819.22</v>
      </c>
      <c r="BB37" s="101">
        <f>-'[1]PCR.3 (M2)'!AX8</f>
        <v>18916.800000000003</v>
      </c>
      <c r="BC37" s="101">
        <f>-'[1]PCR.3 (M2)'!AY8</f>
        <v>22992.900000000009</v>
      </c>
      <c r="BD37" s="101">
        <f>-'[1]PCR.3 (M2)'!AZ8</f>
        <v>26846.690000000006</v>
      </c>
      <c r="BE37" s="101">
        <f>-'[1]PCR.3 (M2)'!BA8</f>
        <v>26211</v>
      </c>
      <c r="BF37" s="101">
        <f>-'[1]PCR.3 (M2)'!BB8</f>
        <v>26616.13</v>
      </c>
      <c r="BG37" s="101">
        <f>-'[1]PCR.3 (M2)'!BC8</f>
        <v>22717.040000000005</v>
      </c>
      <c r="BH37" s="107">
        <f t="shared" ref="BH37:BH39" si="71">BH30*$BK37</f>
        <v>21732.464682148064</v>
      </c>
      <c r="BI37" s="108">
        <f>BI30*$BK37</f>
        <v>22922.553685838553</v>
      </c>
      <c r="BJ37" s="112">
        <f t="shared" ref="BJ37" si="72">BJ30*$BK37</f>
        <v>26589.248124111171</v>
      </c>
      <c r="BK37" s="102">
        <v>4.3000000000000002E-5</v>
      </c>
      <c r="BL37" s="47"/>
    </row>
    <row r="38" spans="1:64" x14ac:dyDescent="0.25">
      <c r="A38" s="47" t="str">
        <f>A31</f>
        <v>SPS</v>
      </c>
      <c r="B38" s="91">
        <v>0</v>
      </c>
      <c r="C38" s="92">
        <v>0</v>
      </c>
      <c r="D38" s="92">
        <v>0</v>
      </c>
      <c r="E38" s="92">
        <v>0</v>
      </c>
      <c r="F38" s="92">
        <v>42324.55</v>
      </c>
      <c r="G38" s="92">
        <v>402228.87</v>
      </c>
      <c r="H38" s="92">
        <v>504543.46</v>
      </c>
      <c r="I38" s="92">
        <v>492134.64</v>
      </c>
      <c r="J38" s="92">
        <v>534160.06000000006</v>
      </c>
      <c r="K38" s="92">
        <v>453189.31</v>
      </c>
      <c r="L38" s="92">
        <v>435008.89</v>
      </c>
      <c r="M38" s="92">
        <v>436137.77</v>
      </c>
      <c r="N38" s="92">
        <v>457765.57</v>
      </c>
      <c r="O38" s="92">
        <v>318136.18</v>
      </c>
      <c r="P38" s="92">
        <v>262787.62</v>
      </c>
      <c r="Q38" s="92">
        <v>282778.65000000002</v>
      </c>
      <c r="R38" s="92">
        <v>286456.53999999998</v>
      </c>
      <c r="S38" s="92">
        <v>329203.88</v>
      </c>
      <c r="T38" s="92">
        <v>322474.40000000002</v>
      </c>
      <c r="U38" s="92">
        <v>340197.43</v>
      </c>
      <c r="V38" s="92">
        <v>327331.33</v>
      </c>
      <c r="W38" s="101">
        <v>320388.98</v>
      </c>
      <c r="X38" s="101">
        <v>288445.09999999998</v>
      </c>
      <c r="Y38" s="101">
        <v>302275.21999999997</v>
      </c>
      <c r="Z38" s="101">
        <v>394301.64</v>
      </c>
      <c r="AA38" s="101">
        <v>798472.04</v>
      </c>
      <c r="AB38" s="101">
        <v>862270.76</v>
      </c>
      <c r="AC38" s="101">
        <v>797497.14</v>
      </c>
      <c r="AD38" s="101">
        <v>916795.59</v>
      </c>
      <c r="AE38" s="101">
        <v>994226.8</v>
      </c>
      <c r="AF38" s="101">
        <v>1029592.88</v>
      </c>
      <c r="AG38" s="101">
        <v>1012045.8</v>
      </c>
      <c r="AH38" s="101">
        <v>984929.5</v>
      </c>
      <c r="AI38" s="101">
        <v>923599.95</v>
      </c>
      <c r="AJ38" s="101">
        <v>859543.4</v>
      </c>
      <c r="AK38" s="101">
        <v>924261.55999999994</v>
      </c>
      <c r="AL38" s="101">
        <v>751320.97</v>
      </c>
      <c r="AM38" s="101">
        <v>216698.99000000005</v>
      </c>
      <c r="AN38" s="101">
        <v>140260.87</v>
      </c>
      <c r="AO38" s="101">
        <v>135341.45999999996</v>
      </c>
      <c r="AP38" s="101">
        <v>137076.04999999999</v>
      </c>
      <c r="AQ38" s="101">
        <v>159276.74</v>
      </c>
      <c r="AR38" s="101">
        <v>160069.38000000003</v>
      </c>
      <c r="AS38" s="101">
        <v>168040.34999999998</v>
      </c>
      <c r="AT38" s="101">
        <v>167022.80999999997</v>
      </c>
      <c r="AU38" s="101">
        <v>154767.25999999998</v>
      </c>
      <c r="AV38" s="101">
        <f>-'[1]PCR.3 (M2)'!AR9</f>
        <v>143121.96000000005</v>
      </c>
      <c r="AW38" s="101">
        <f>-'[1]PCR.3 (M2)'!AS9</f>
        <v>144105.38</v>
      </c>
      <c r="AX38" s="101">
        <f>-'[1]PCR.3 (M2)'!AT9</f>
        <v>148243.61000000002</v>
      </c>
      <c r="AY38" s="101">
        <f>-'[1]PCR.3 (M2)'!AU9</f>
        <v>97297.76999999999</v>
      </c>
      <c r="AZ38" s="101">
        <f>-'[1]PCR.3 (M2)'!AV9</f>
        <v>-280.72999999999996</v>
      </c>
      <c r="BA38" s="101">
        <f>-'[1]PCR.3 (M2)'!AW9</f>
        <v>-1319.77</v>
      </c>
      <c r="BB38" s="101">
        <f>-'[1]PCR.3 (M2)'!AX9</f>
        <v>-1242.1300000000001</v>
      </c>
      <c r="BC38" s="101">
        <f>-'[1]PCR.3 (M2)'!AY9</f>
        <v>-1447.2099999999994</v>
      </c>
      <c r="BD38" s="101">
        <f>-'[1]PCR.3 (M2)'!AZ9</f>
        <v>-1522.9499999999998</v>
      </c>
      <c r="BE38" s="101">
        <f>-'[1]PCR.3 (M2)'!BA9</f>
        <v>-1596.5600000000002</v>
      </c>
      <c r="BF38" s="101">
        <f>-'[1]PCR.3 (M2)'!BB9</f>
        <v>-1596.75</v>
      </c>
      <c r="BG38" s="101">
        <f>-'[1]PCR.3 (M2)'!BC9</f>
        <v>-1419.25</v>
      </c>
      <c r="BH38" s="107">
        <f t="shared" si="71"/>
        <v>-1307.00877617176</v>
      </c>
      <c r="BI38" s="108">
        <f t="shared" ref="BI38:BJ38" si="73">BI31*$BK38</f>
        <v>-1321.5047456268605</v>
      </c>
      <c r="BJ38" s="112">
        <f t="shared" si="73"/>
        <v>-1522.1327811653955</v>
      </c>
      <c r="BK38" s="102">
        <v>-6.0000000000000002E-6</v>
      </c>
      <c r="BL38" s="47"/>
    </row>
    <row r="39" spans="1:64" x14ac:dyDescent="0.25">
      <c r="A39" s="47" t="str">
        <f>A32</f>
        <v>LPS</v>
      </c>
      <c r="B39" s="91">
        <v>0</v>
      </c>
      <c r="C39" s="92">
        <v>0</v>
      </c>
      <c r="D39" s="92">
        <v>0</v>
      </c>
      <c r="E39" s="92">
        <v>0</v>
      </c>
      <c r="F39" s="92">
        <v>0</v>
      </c>
      <c r="G39" s="92">
        <v>131268.19</v>
      </c>
      <c r="H39" s="92">
        <v>256958.42</v>
      </c>
      <c r="I39" s="92">
        <v>259475.03</v>
      </c>
      <c r="J39" s="92">
        <v>285082.46999999997</v>
      </c>
      <c r="K39" s="92">
        <v>250150.11</v>
      </c>
      <c r="L39" s="92">
        <v>230623.71</v>
      </c>
      <c r="M39" s="92">
        <v>216819.48</v>
      </c>
      <c r="N39" s="92">
        <v>214621.26</v>
      </c>
      <c r="O39" s="92">
        <v>172271.18</v>
      </c>
      <c r="P39" s="92">
        <v>122366.39999999999</v>
      </c>
      <c r="Q39" s="92">
        <v>135610.26999999999</v>
      </c>
      <c r="R39" s="92">
        <v>137927.78</v>
      </c>
      <c r="S39" s="92">
        <v>164689.71</v>
      </c>
      <c r="T39" s="92">
        <v>155769.62</v>
      </c>
      <c r="U39" s="92">
        <v>172638.5</v>
      </c>
      <c r="V39" s="92">
        <v>164503.65</v>
      </c>
      <c r="W39" s="101">
        <v>156843.72</v>
      </c>
      <c r="X39" s="101">
        <v>149437.10999999999</v>
      </c>
      <c r="Y39" s="101">
        <v>137029.09</v>
      </c>
      <c r="Z39" s="101">
        <v>155747.07999999999</v>
      </c>
      <c r="AA39" s="101">
        <v>262877.71999999997</v>
      </c>
      <c r="AB39" s="101">
        <v>405202.34</v>
      </c>
      <c r="AC39" s="101">
        <v>385569.73</v>
      </c>
      <c r="AD39" s="101">
        <v>440885.67</v>
      </c>
      <c r="AE39" s="101">
        <v>487898.42</v>
      </c>
      <c r="AF39" s="101">
        <v>425781.68</v>
      </c>
      <c r="AG39" s="101">
        <v>502465.32</v>
      </c>
      <c r="AH39" s="101">
        <v>471908.19</v>
      </c>
      <c r="AI39" s="101">
        <v>465947.44</v>
      </c>
      <c r="AJ39" s="101">
        <v>437873.32000000007</v>
      </c>
      <c r="AK39" s="101">
        <v>426409.44</v>
      </c>
      <c r="AL39" s="101">
        <v>358135.90000000008</v>
      </c>
      <c r="AM39" s="101">
        <v>168230.86999999997</v>
      </c>
      <c r="AN39" s="101">
        <v>68225.86</v>
      </c>
      <c r="AO39" s="101">
        <v>67928.39</v>
      </c>
      <c r="AP39" s="101">
        <v>66282.06</v>
      </c>
      <c r="AQ39" s="101">
        <v>83488.460000000006</v>
      </c>
      <c r="AR39" s="101">
        <v>77716.079999999987</v>
      </c>
      <c r="AS39" s="101">
        <v>86055.61</v>
      </c>
      <c r="AT39" s="101">
        <v>87211.220000000016</v>
      </c>
      <c r="AU39" s="101">
        <v>82269.97</v>
      </c>
      <c r="AV39" s="101">
        <f>-'[1]PCR.3 (M2)'!AR10</f>
        <v>73061.37999999999</v>
      </c>
      <c r="AW39" s="101">
        <f>-'[1]PCR.3 (M2)'!AS10</f>
        <v>68746.049999999988</v>
      </c>
      <c r="AX39" s="101">
        <f>-'[1]PCR.3 (M2)'!AT10</f>
        <v>72752.960000000006</v>
      </c>
      <c r="AY39" s="101">
        <f>-'[1]PCR.3 (M2)'!AU10</f>
        <v>54453.23000000001</v>
      </c>
      <c r="AZ39" s="101">
        <f>-'[1]PCR.3 (M2)'!AV10</f>
        <v>-17825.060000000001</v>
      </c>
      <c r="BA39" s="101">
        <f>-'[1]PCR.3 (M2)'!AW10</f>
        <v>-16761.77</v>
      </c>
      <c r="BB39" s="101">
        <f>-'[1]PCR.3 (M2)'!AX10</f>
        <v>-17018.150000000001</v>
      </c>
      <c r="BC39" s="101">
        <f>-'[1]PCR.3 (M2)'!AY10</f>
        <v>-44586.65</v>
      </c>
      <c r="BD39" s="101">
        <f>-'[1]PCR.3 (M2)'!AZ10</f>
        <v>-19130.22</v>
      </c>
      <c r="BE39" s="101">
        <f>-'[1]PCR.3 (M2)'!BA10</f>
        <v>-19704.37</v>
      </c>
      <c r="BF39" s="101">
        <f>-'[1]PCR.3 (M2)'!BB10</f>
        <v>-19984.8</v>
      </c>
      <c r="BG39" s="101">
        <f>-'[1]PCR.3 (M2)'!BC10</f>
        <v>-17603.410000000003</v>
      </c>
      <c r="BH39" s="107">
        <f t="shared" si="71"/>
        <v>-17412.45083997133</v>
      </c>
      <c r="BI39" s="108">
        <f t="shared" ref="BI39:BJ39" si="74">BI32*$BK39</f>
        <v>-17012.678043813361</v>
      </c>
      <c r="BJ39" s="112">
        <f t="shared" si="74"/>
        <v>-18500.997048283829</v>
      </c>
      <c r="BK39" s="102">
        <v>-1.8200000000000001E-4</v>
      </c>
      <c r="BL39" s="47"/>
    </row>
    <row r="40" spans="1:64" x14ac:dyDescent="0.25">
      <c r="A40" s="47"/>
      <c r="B40" s="97"/>
      <c r="C40" s="105"/>
      <c r="D40" s="96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97"/>
      <c r="BI40" s="96"/>
      <c r="BJ40" s="99"/>
    </row>
    <row r="41" spans="1:64" s="162" customFormat="1" x14ac:dyDescent="0.25">
      <c r="A41" s="47" t="s">
        <v>102</v>
      </c>
      <c r="B41" s="202"/>
      <c r="C41" s="199"/>
      <c r="D41" s="100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5"/>
      <c r="BI41" s="96"/>
      <c r="BJ41" s="99"/>
    </row>
    <row r="42" spans="1:64" s="162" customFormat="1" x14ac:dyDescent="0.25">
      <c r="A42" s="162" t="s">
        <v>0</v>
      </c>
      <c r="B42" s="107">
        <v>0</v>
      </c>
      <c r="C42" s="111">
        <v>0</v>
      </c>
      <c r="D42" s="111">
        <v>0</v>
      </c>
      <c r="E42" s="111">
        <v>0</v>
      </c>
      <c r="F42" s="134">
        <f>+(F35-F49)+(F49*F35/SUM(F35:F39))</f>
        <v>123961.69</v>
      </c>
      <c r="G42" s="134">
        <f>+(G35-G49)+(G49*G35/SUM(G35:G39))</f>
        <v>1908168.92</v>
      </c>
      <c r="H42" s="111">
        <f t="shared" ref="H42:BJ42" si="75">+(H35-H49)+(H49*H35/SUM(H35:H39))</f>
        <v>2568297.87</v>
      </c>
      <c r="I42" s="111">
        <f t="shared" si="75"/>
        <v>2577448.31</v>
      </c>
      <c r="J42" s="111">
        <f t="shared" si="75"/>
        <v>2331302.52</v>
      </c>
      <c r="K42" s="111">
        <f t="shared" si="75"/>
        <v>1662285.76</v>
      </c>
      <c r="L42" s="111">
        <f t="shared" si="75"/>
        <v>1362163.19</v>
      </c>
      <c r="M42" s="111">
        <f t="shared" si="75"/>
        <v>2095736.41</v>
      </c>
      <c r="N42" s="111">
        <f t="shared" si="75"/>
        <v>2744219.77</v>
      </c>
      <c r="O42" s="111">
        <f t="shared" si="75"/>
        <v>2148829.36</v>
      </c>
      <c r="P42" s="111">
        <f t="shared" si="75"/>
        <v>1729823.68</v>
      </c>
      <c r="Q42" s="111">
        <f>+(Q35-Q49)+(Q49*Q35/SUM(Q35:Q39))</f>
        <v>1535490.3519158037</v>
      </c>
      <c r="R42" s="111">
        <f t="shared" si="75"/>
        <v>1461392.3439489268</v>
      </c>
      <c r="S42" s="111">
        <f t="shared" si="75"/>
        <v>1959654.4296565112</v>
      </c>
      <c r="T42" s="111">
        <f t="shared" si="75"/>
        <v>2602980.2619516258</v>
      </c>
      <c r="U42" s="111">
        <f t="shared" si="75"/>
        <v>2635782.5735193253</v>
      </c>
      <c r="V42" s="111">
        <f t="shared" si="75"/>
        <v>2087458.9369660481</v>
      </c>
      <c r="W42" s="108">
        <f t="shared" si="75"/>
        <v>1834404.122561598</v>
      </c>
      <c r="X42" s="108">
        <f t="shared" ref="X42:AH42" si="76">+(X35-X49)+(X49*X35/SUM(X35:X39))</f>
        <v>1606117.6948667259</v>
      </c>
      <c r="Y42" s="108">
        <f t="shared" si="76"/>
        <v>2068883.559439132</v>
      </c>
      <c r="Z42" s="108">
        <f t="shared" si="76"/>
        <v>3226172.2975526219</v>
      </c>
      <c r="AA42" s="108">
        <f t="shared" si="76"/>
        <v>2657419.7915159557</v>
      </c>
      <c r="AB42" s="108">
        <f t="shared" si="76"/>
        <v>2148033.234848218</v>
      </c>
      <c r="AC42" s="108">
        <f t="shared" si="76"/>
        <v>2073158.2689492719</v>
      </c>
      <c r="AD42" s="108">
        <f t="shared" si="76"/>
        <v>1684360.7882410712</v>
      </c>
      <c r="AE42" s="108">
        <f t="shared" si="76"/>
        <v>2489096.4246969549</v>
      </c>
      <c r="AF42" s="108">
        <f t="shared" si="76"/>
        <v>2916270.5428013494</v>
      </c>
      <c r="AG42" s="108">
        <f t="shared" si="76"/>
        <v>2614104.5086031272</v>
      </c>
      <c r="AH42" s="108">
        <f t="shared" si="76"/>
        <v>2514280.7205046257</v>
      </c>
      <c r="AI42" s="108">
        <f t="shared" ref="AI42:AT42" si="77">+(AI35-AI49)+(AI49*AI35/SUM(AI35:AI39))</f>
        <v>1952199.8455454113</v>
      </c>
      <c r="AJ42" s="108">
        <f t="shared" si="77"/>
        <v>1819195.5082668429</v>
      </c>
      <c r="AK42" s="108">
        <f t="shared" si="77"/>
        <v>2528983.8409120333</v>
      </c>
      <c r="AL42" s="108">
        <f t="shared" si="77"/>
        <v>2428682.2724777227</v>
      </c>
      <c r="AM42" s="108">
        <f t="shared" si="77"/>
        <v>-1104866.0403645083</v>
      </c>
      <c r="AN42" s="108">
        <f t="shared" si="77"/>
        <v>-151444.71727311076</v>
      </c>
      <c r="AO42" s="108">
        <f t="shared" si="77"/>
        <v>-615901.09641548886</v>
      </c>
      <c r="AP42" s="108">
        <f t="shared" si="77"/>
        <v>-481641.63624545839</v>
      </c>
      <c r="AQ42" s="108">
        <f t="shared" si="77"/>
        <v>-661701.41643242969</v>
      </c>
      <c r="AR42" s="108">
        <f t="shared" si="77"/>
        <v>-1065112.5793198571</v>
      </c>
      <c r="AS42" s="108">
        <f t="shared" si="77"/>
        <v>-1237132.8972703291</v>
      </c>
      <c r="AT42" s="108">
        <f t="shared" si="77"/>
        <v>-891232.67323233013</v>
      </c>
      <c r="AU42" s="108">
        <f>+(AU35-AU49)+(AU49*AU35/SUM(AU35:AU39))</f>
        <v>-673291.94634736353</v>
      </c>
      <c r="AV42" s="108">
        <f>+(AV35-AV49)+(AV49*AV35/SUM(AV35:AV39))</f>
        <v>-620563.7335911456</v>
      </c>
      <c r="AW42" s="108">
        <f t="shared" ref="AW42:BE42" si="78">+(AW35-AW49)+(AW49*AW35/SUM(AW35:AW39))</f>
        <v>-2958744.3907033713</v>
      </c>
      <c r="AX42" s="108">
        <f t="shared" si="78"/>
        <v>-162236.21387720876</v>
      </c>
      <c r="AY42" s="108">
        <f t="shared" si="78"/>
        <v>-416120.64397948614</v>
      </c>
      <c r="AZ42" s="108">
        <f t="shared" si="78"/>
        <v>132673.44991530792</v>
      </c>
      <c r="BA42" s="108">
        <f t="shared" si="78"/>
        <v>108545.80223893997</v>
      </c>
      <c r="BB42" s="108">
        <f t="shared" si="78"/>
        <v>96916.020017286879</v>
      </c>
      <c r="BC42" s="108">
        <f t="shared" si="78"/>
        <v>127344.34311614427</v>
      </c>
      <c r="BD42" s="108">
        <f t="shared" si="78"/>
        <v>172126.87322786861</v>
      </c>
      <c r="BE42" s="108">
        <f t="shared" si="78"/>
        <v>161596.67825329234</v>
      </c>
      <c r="BF42" s="108">
        <f>+(BF35-BF49)+(BF49*BF35/SUM(BF35:BF39))</f>
        <v>145573.39038811633</v>
      </c>
      <c r="BG42" s="108">
        <f>+(BG35-BG49)+(BG49*BG35/SUM(BG35:BG39))</f>
        <v>98120.945656796248</v>
      </c>
      <c r="BH42" s="107">
        <f>+(BH35-BH49)+(BH49*BH35/SUM(BH35:BH39))</f>
        <v>103570.85492059516</v>
      </c>
      <c r="BI42" s="111">
        <f t="shared" si="75"/>
        <v>149343.60952414162</v>
      </c>
      <c r="BJ42" s="112">
        <f t="shared" si="75"/>
        <v>185886.98814054488</v>
      </c>
    </row>
    <row r="43" spans="1:64" s="162" customFormat="1" x14ac:dyDescent="0.25">
      <c r="A43" s="162" t="s">
        <v>4</v>
      </c>
      <c r="B43" s="107">
        <v>0</v>
      </c>
      <c r="C43" s="111">
        <v>0</v>
      </c>
      <c r="D43" s="111">
        <v>0</v>
      </c>
      <c r="E43" s="111">
        <v>0</v>
      </c>
      <c r="F43" s="134">
        <f>+F36+(F49*F36/SUM(F35:F39))</f>
        <v>30867.47</v>
      </c>
      <c r="G43" s="111">
        <f t="shared" ref="G43:BJ43" si="79">+G36+(G49*G36/SUM(G35:G39))</f>
        <v>447208.24</v>
      </c>
      <c r="H43" s="111">
        <f t="shared" si="79"/>
        <v>531350.03</v>
      </c>
      <c r="I43" s="111">
        <f t="shared" si="79"/>
        <v>530492.54</v>
      </c>
      <c r="J43" s="111">
        <f t="shared" si="79"/>
        <v>510350.03</v>
      </c>
      <c r="K43" s="111">
        <f t="shared" si="79"/>
        <v>434079.23</v>
      </c>
      <c r="L43" s="111">
        <f t="shared" si="79"/>
        <v>385472.34</v>
      </c>
      <c r="M43" s="111">
        <f t="shared" si="79"/>
        <v>447361.18</v>
      </c>
      <c r="N43" s="111">
        <f t="shared" si="79"/>
        <v>521889.23</v>
      </c>
      <c r="O43" s="111">
        <f t="shared" si="79"/>
        <v>291041.78999999998</v>
      </c>
      <c r="P43" s="111">
        <f t="shared" si="79"/>
        <v>258475.06</v>
      </c>
      <c r="Q43" s="111">
        <f t="shared" si="79"/>
        <v>240083.15584274652</v>
      </c>
      <c r="R43" s="111">
        <f t="shared" si="79"/>
        <v>238149.15984790772</v>
      </c>
      <c r="S43" s="111">
        <f t="shared" si="79"/>
        <v>283245.20303855278</v>
      </c>
      <c r="T43" s="111">
        <f t="shared" si="79"/>
        <v>327996.44676217379</v>
      </c>
      <c r="U43" s="111">
        <f t="shared" si="79"/>
        <v>331103.46574723173</v>
      </c>
      <c r="V43" s="111">
        <f t="shared" si="79"/>
        <v>296282.23817969492</v>
      </c>
      <c r="W43" s="108">
        <f t="shared" si="79"/>
        <v>280564.22084559378</v>
      </c>
      <c r="X43" s="108">
        <f t="shared" ref="X43:AH43" si="80">+X36+(X49*X36/SUM(X35:X39))</f>
        <v>250099.87615326291</v>
      </c>
      <c r="Y43" s="108">
        <f t="shared" si="80"/>
        <v>275418.30182261876</v>
      </c>
      <c r="Z43" s="108">
        <f t="shared" si="80"/>
        <v>421500.50217779254</v>
      </c>
      <c r="AA43" s="108">
        <f t="shared" si="80"/>
        <v>936215.17642884317</v>
      </c>
      <c r="AB43" s="108">
        <f t="shared" si="80"/>
        <v>821710.18178006366</v>
      </c>
      <c r="AC43" s="108">
        <f t="shared" si="80"/>
        <v>810175.96384697023</v>
      </c>
      <c r="AD43" s="108">
        <f t="shared" si="80"/>
        <v>736229.84954130137</v>
      </c>
      <c r="AE43" s="108">
        <f t="shared" si="80"/>
        <v>926986.56114003644</v>
      </c>
      <c r="AF43" s="108">
        <f t="shared" si="80"/>
        <v>1022042.4867010192</v>
      </c>
      <c r="AG43" s="108">
        <f t="shared" si="80"/>
        <v>955648.28094076551</v>
      </c>
      <c r="AH43" s="108">
        <f t="shared" si="80"/>
        <v>939314.60212604853</v>
      </c>
      <c r="AI43" s="108">
        <f t="shared" ref="AI43:AU43" si="81">+AI36+(AI49*AI36/SUM(AI35:AI39))</f>
        <v>827775.46290727635</v>
      </c>
      <c r="AJ43" s="108">
        <f t="shared" si="81"/>
        <v>743916.57345465268</v>
      </c>
      <c r="AK43" s="108">
        <f t="shared" si="81"/>
        <v>896733.1428579042</v>
      </c>
      <c r="AL43" s="108">
        <f t="shared" si="81"/>
        <v>880406.34045537328</v>
      </c>
      <c r="AM43" s="108">
        <f t="shared" si="81"/>
        <v>232415.45010216403</v>
      </c>
      <c r="AN43" s="108">
        <f t="shared" si="81"/>
        <v>27316.648594111903</v>
      </c>
      <c r="AO43" s="108">
        <f t="shared" si="81"/>
        <v>157377.04203113262</v>
      </c>
      <c r="AP43" s="108">
        <f t="shared" si="81"/>
        <v>137634.87684908058</v>
      </c>
      <c r="AQ43" s="108">
        <f t="shared" si="81"/>
        <v>165867.83303630899</v>
      </c>
      <c r="AR43" s="108">
        <f t="shared" si="81"/>
        <v>241934.0031590279</v>
      </c>
      <c r="AS43" s="108">
        <f t="shared" si="81"/>
        <v>273886.85707687569</v>
      </c>
      <c r="AT43" s="108">
        <f t="shared" si="81"/>
        <v>205379.17337433269</v>
      </c>
      <c r="AU43" s="108">
        <f t="shared" si="81"/>
        <v>170631.84498505414</v>
      </c>
      <c r="AV43" s="108">
        <f t="shared" ref="AV43:BF43" si="82">+AV36+(AV49*AV36/SUM(AV35:AV39))</f>
        <v>155938.11408844628</v>
      </c>
      <c r="AW43" s="108">
        <f t="shared" si="82"/>
        <v>662835.77070233377</v>
      </c>
      <c r="AX43" s="108">
        <f t="shared" si="82"/>
        <v>28982.726509716478</v>
      </c>
      <c r="AY43" s="108">
        <f t="shared" si="82"/>
        <v>122679.11355421464</v>
      </c>
      <c r="AZ43" s="108">
        <f t="shared" si="82"/>
        <v>29509.491897124404</v>
      </c>
      <c r="BA43" s="108">
        <f t="shared" si="82"/>
        <v>22091.436744232353</v>
      </c>
      <c r="BB43" s="108">
        <f t="shared" si="82"/>
        <v>20100.685339468746</v>
      </c>
      <c r="BC43" s="108">
        <f t="shared" si="82"/>
        <v>25122.466831011177</v>
      </c>
      <c r="BD43" s="108">
        <f t="shared" si="82"/>
        <v>31550.051474232405</v>
      </c>
      <c r="BE43" s="108">
        <f t="shared" si="82"/>
        <v>31388.737526430356</v>
      </c>
      <c r="BF43" s="108">
        <f t="shared" si="82"/>
        <v>29459.947749600527</v>
      </c>
      <c r="BG43" s="108">
        <f t="shared" ref="BG43" si="83">+BG36+(BG49*BG36/SUM(BG35:BG39))</f>
        <v>23895.785112157497</v>
      </c>
      <c r="BH43" s="107">
        <f t="shared" si="79"/>
        <v>23187.007133901363</v>
      </c>
      <c r="BI43" s="111">
        <f t="shared" si="79"/>
        <v>26961.696739780949</v>
      </c>
      <c r="BJ43" s="112">
        <f t="shared" si="79"/>
        <v>32320.232312676791</v>
      </c>
    </row>
    <row r="44" spans="1:64" s="162" customFormat="1" x14ac:dyDescent="0.25">
      <c r="A44" s="162" t="s">
        <v>5</v>
      </c>
      <c r="B44" s="107">
        <v>0</v>
      </c>
      <c r="C44" s="111">
        <v>0</v>
      </c>
      <c r="D44" s="111">
        <v>0</v>
      </c>
      <c r="E44" s="111">
        <v>0</v>
      </c>
      <c r="F44" s="111">
        <f t="shared" ref="F44:BJ44" si="84">+F37+(F49*F37/SUM(F35:F39))</f>
        <v>64202.879999999997</v>
      </c>
      <c r="G44" s="111">
        <f t="shared" si="84"/>
        <v>1059813.77</v>
      </c>
      <c r="H44" s="111">
        <f t="shared" si="84"/>
        <v>1203922.71</v>
      </c>
      <c r="I44" s="111">
        <f t="shared" si="84"/>
        <v>1206399.46</v>
      </c>
      <c r="J44" s="111">
        <f t="shared" si="84"/>
        <v>1211503.1299999999</v>
      </c>
      <c r="K44" s="111">
        <f t="shared" si="84"/>
        <v>1066102.3899999999</v>
      </c>
      <c r="L44" s="111">
        <f t="shared" si="84"/>
        <v>972108.05</v>
      </c>
      <c r="M44" s="111">
        <f t="shared" si="84"/>
        <v>1010681.81</v>
      </c>
      <c r="N44" s="111">
        <f t="shared" si="84"/>
        <v>1097512.96</v>
      </c>
      <c r="O44" s="111">
        <f t="shared" si="84"/>
        <v>657802.05000000005</v>
      </c>
      <c r="P44" s="111">
        <f t="shared" si="84"/>
        <v>617850.03</v>
      </c>
      <c r="Q44" s="111">
        <f t="shared" si="84"/>
        <v>596231.95185671397</v>
      </c>
      <c r="R44" s="111">
        <f t="shared" si="84"/>
        <v>614165.85333370208</v>
      </c>
      <c r="S44" s="111">
        <f t="shared" si="84"/>
        <v>696860.88468794955</v>
      </c>
      <c r="T44" s="111">
        <f t="shared" si="84"/>
        <v>758069.71397958952</v>
      </c>
      <c r="U44" s="111">
        <f t="shared" si="84"/>
        <v>772131.85339038563</v>
      </c>
      <c r="V44" s="111">
        <f t="shared" si="84"/>
        <v>728203.46848157048</v>
      </c>
      <c r="W44" s="108">
        <f t="shared" si="84"/>
        <v>699406.82147702377</v>
      </c>
      <c r="X44" s="108">
        <f t="shared" ref="X44:AH44" si="85">+X37+(X49*X37/SUM(X35:X39))</f>
        <v>626065.72632475162</v>
      </c>
      <c r="Y44" s="108">
        <f t="shared" si="85"/>
        <v>651814.91518812021</v>
      </c>
      <c r="Z44" s="108">
        <f t="shared" si="85"/>
        <v>853981.17454365024</v>
      </c>
      <c r="AA44" s="108">
        <f t="shared" si="85"/>
        <v>1954046.501744254</v>
      </c>
      <c r="AB44" s="108">
        <f t="shared" si="85"/>
        <v>1828967.5230805702</v>
      </c>
      <c r="AC44" s="108">
        <f t="shared" si="85"/>
        <v>1846159.2717824064</v>
      </c>
      <c r="AD44" s="108">
        <f t="shared" si="85"/>
        <v>1837688.8980724488</v>
      </c>
      <c r="AE44" s="108">
        <f t="shared" si="85"/>
        <v>2191518.7575483364</v>
      </c>
      <c r="AF44" s="108">
        <f t="shared" si="85"/>
        <v>2325557.020888139</v>
      </c>
      <c r="AG44" s="108">
        <f t="shared" si="85"/>
        <v>2202417.5685758349</v>
      </c>
      <c r="AH44" s="108">
        <f t="shared" si="85"/>
        <v>2241546.8483274984</v>
      </c>
      <c r="AI44" s="108">
        <f t="shared" ref="AI44:AU44" si="86">+AI37+(AI49*AI37/SUM(AI35:AI39))</f>
        <v>2036608.1787273556</v>
      </c>
      <c r="AJ44" s="108">
        <f t="shared" si="86"/>
        <v>1807335.6430622526</v>
      </c>
      <c r="AK44" s="108">
        <f t="shared" si="86"/>
        <v>1963254.6958957929</v>
      </c>
      <c r="AL44" s="108">
        <f t="shared" si="86"/>
        <v>1878926.5612580944</v>
      </c>
      <c r="AM44" s="108">
        <f t="shared" si="86"/>
        <v>483257.94982483203</v>
      </c>
      <c r="AN44" s="108">
        <f t="shared" si="86"/>
        <v>53929.087968073436</v>
      </c>
      <c r="AO44" s="108">
        <f t="shared" si="86"/>
        <v>347827.80445000017</v>
      </c>
      <c r="AP44" s="108">
        <f t="shared" si="86"/>
        <v>342712.80892015825</v>
      </c>
      <c r="AQ44" s="108">
        <f t="shared" si="86"/>
        <v>391834.3487641575</v>
      </c>
      <c r="AR44" s="108">
        <f t="shared" si="86"/>
        <v>540647.29997840314</v>
      </c>
      <c r="AS44" s="108">
        <f t="shared" si="86"/>
        <v>609369.63241135771</v>
      </c>
      <c r="AT44" s="108">
        <f t="shared" si="86"/>
        <v>478509.0577199838</v>
      </c>
      <c r="AU44" s="108">
        <f t="shared" si="86"/>
        <v>401955.06211083196</v>
      </c>
      <c r="AV44" s="108">
        <f t="shared" ref="AV44:BF44" si="87">+AV37+(AV49*AV37/SUM(AV35:AV39))</f>
        <v>363411.33195770805</v>
      </c>
      <c r="AW44" s="108">
        <f t="shared" si="87"/>
        <v>1430388.5169894621</v>
      </c>
      <c r="AX44" s="108">
        <f t="shared" si="87"/>
        <v>60667.308902584482</v>
      </c>
      <c r="AY44" s="108">
        <f t="shared" si="87"/>
        <v>241953.85630100474</v>
      </c>
      <c r="AZ44" s="108">
        <f t="shared" si="87"/>
        <v>26812.125728741677</v>
      </c>
      <c r="BA44" s="108">
        <f t="shared" si="87"/>
        <v>20226.061562768293</v>
      </c>
      <c r="BB44" s="108">
        <f t="shared" si="87"/>
        <v>18413.26952312998</v>
      </c>
      <c r="BC44" s="108">
        <f t="shared" si="87"/>
        <v>22366.838547350086</v>
      </c>
      <c r="BD44" s="108">
        <f t="shared" si="87"/>
        <v>26261.839761258852</v>
      </c>
      <c r="BE44" s="108">
        <f t="shared" si="87"/>
        <v>25650.616917414289</v>
      </c>
      <c r="BF44" s="108">
        <f t="shared" si="87"/>
        <v>26045.391660748315</v>
      </c>
      <c r="BG44" s="108">
        <f t="shared" ref="BG44" si="88">+BG37+(BG49*BG37/SUM(BG35:BG39))</f>
        <v>22193.810012301597</v>
      </c>
      <c r="BH44" s="107">
        <f t="shared" si="84"/>
        <v>21172.040730909415</v>
      </c>
      <c r="BI44" s="111">
        <f t="shared" si="84"/>
        <v>22310.481903927681</v>
      </c>
      <c r="BJ44" s="112">
        <f t="shared" si="84"/>
        <v>25877.94765868031</v>
      </c>
    </row>
    <row r="45" spans="1:64" s="162" customFormat="1" x14ac:dyDescent="0.25">
      <c r="A45" s="162" t="s">
        <v>6</v>
      </c>
      <c r="B45" s="107">
        <v>0</v>
      </c>
      <c r="C45" s="111">
        <v>0</v>
      </c>
      <c r="D45" s="111">
        <v>0</v>
      </c>
      <c r="E45" s="111">
        <v>0</v>
      </c>
      <c r="F45" s="111">
        <f t="shared" ref="F45:BJ45" si="89">+F38+(F49*F38/SUM(F35:F39))</f>
        <v>42324.55</v>
      </c>
      <c r="G45" s="111">
        <f t="shared" si="89"/>
        <v>402228.87</v>
      </c>
      <c r="H45" s="111">
        <f t="shared" si="89"/>
        <v>504543.46</v>
      </c>
      <c r="I45" s="111">
        <f t="shared" si="89"/>
        <v>492134.64</v>
      </c>
      <c r="J45" s="111">
        <f t="shared" si="89"/>
        <v>534160.06000000006</v>
      </c>
      <c r="K45" s="111">
        <f t="shared" si="89"/>
        <v>453189.31</v>
      </c>
      <c r="L45" s="111">
        <f t="shared" si="89"/>
        <v>435008.89</v>
      </c>
      <c r="M45" s="111">
        <f t="shared" si="89"/>
        <v>436137.77</v>
      </c>
      <c r="N45" s="111">
        <f t="shared" si="89"/>
        <v>457765.57</v>
      </c>
      <c r="O45" s="111">
        <f t="shared" si="89"/>
        <v>318136.18</v>
      </c>
      <c r="P45" s="111">
        <f t="shared" si="89"/>
        <v>262787.62</v>
      </c>
      <c r="Q45" s="111">
        <f t="shared" si="89"/>
        <v>277550.94566468237</v>
      </c>
      <c r="R45" s="111">
        <f t="shared" si="89"/>
        <v>281894.56648872508</v>
      </c>
      <c r="S45" s="111">
        <f t="shared" si="89"/>
        <v>324142.6746664003</v>
      </c>
      <c r="T45" s="111">
        <f t="shared" si="89"/>
        <v>317162.4484876045</v>
      </c>
      <c r="U45" s="111">
        <f t="shared" si="89"/>
        <v>334552.33100757014</v>
      </c>
      <c r="V45" s="111">
        <f t="shared" si="89"/>
        <v>322040.25785923278</v>
      </c>
      <c r="W45" s="108">
        <f t="shared" si="89"/>
        <v>315288.55507372593</v>
      </c>
      <c r="X45" s="108">
        <f t="shared" ref="X45:AH45" si="90">+X38+(X49*X38/SUM(X35:X39))</f>
        <v>283068.74488357187</v>
      </c>
      <c r="Y45" s="108">
        <f t="shared" si="90"/>
        <v>295799.54340895155</v>
      </c>
      <c r="Z45" s="108">
        <f t="shared" si="90"/>
        <v>385016.16833762458</v>
      </c>
      <c r="AA45" s="108">
        <f t="shared" si="90"/>
        <v>786186.34874770639</v>
      </c>
      <c r="AB45" s="108">
        <f t="shared" si="90"/>
        <v>850177.70547582896</v>
      </c>
      <c r="AC45" s="108">
        <f t="shared" si="90"/>
        <v>786638.48225478327</v>
      </c>
      <c r="AD45" s="108">
        <f t="shared" si="90"/>
        <v>907811.23664667946</v>
      </c>
      <c r="AE45" s="108">
        <f t="shared" si="90"/>
        <v>984599.08818343212</v>
      </c>
      <c r="AF45" s="108">
        <f t="shared" si="90"/>
        <v>1018898.693418121</v>
      </c>
      <c r="AG45" s="108">
        <f t="shared" si="90"/>
        <v>1002227.218164189</v>
      </c>
      <c r="AH45" s="108">
        <f t="shared" si="90"/>
        <v>975666.05383344879</v>
      </c>
      <c r="AI45" s="108">
        <f t="shared" ref="AI45:AU45" si="91">+AI38+(AI49*AI38/SUM(AI35:AI39))</f>
        <v>914855.68288313353</v>
      </c>
      <c r="AJ45" s="108">
        <f t="shared" si="91"/>
        <v>849505.37238120288</v>
      </c>
      <c r="AK45" s="108">
        <f t="shared" si="91"/>
        <v>911073.54198400478</v>
      </c>
      <c r="AL45" s="108">
        <f t="shared" si="91"/>
        <v>740411.00366982073</v>
      </c>
      <c r="AM45" s="108">
        <f t="shared" si="91"/>
        <v>281634.8452920281</v>
      </c>
      <c r="AN45" s="108">
        <f t="shared" si="91"/>
        <v>22764.052897174421</v>
      </c>
      <c r="AO45" s="108">
        <f t="shared" si="91"/>
        <v>156906.4899465054</v>
      </c>
      <c r="AP45" s="108">
        <f t="shared" si="91"/>
        <v>146565.8576476262</v>
      </c>
      <c r="AQ45" s="108">
        <f t="shared" si="91"/>
        <v>176182.39044146682</v>
      </c>
      <c r="AR45" s="108">
        <f t="shared" si="91"/>
        <v>225474.65577170154</v>
      </c>
      <c r="AS45" s="108">
        <f t="shared" si="91"/>
        <v>261229.56186591295</v>
      </c>
      <c r="AT45" s="108">
        <f t="shared" si="91"/>
        <v>201776.74232449854</v>
      </c>
      <c r="AU45" s="108">
        <f t="shared" si="91"/>
        <v>171553.55291163421</v>
      </c>
      <c r="AV45" s="108">
        <f t="shared" ref="AV45:BF45" si="92">+AV38+(AV49*AV38/SUM(AV35:AV39))</f>
        <v>162322.54716498483</v>
      </c>
      <c r="AW45" s="108">
        <f t="shared" si="92"/>
        <v>591780.31039841566</v>
      </c>
      <c r="AX45" s="108">
        <f t="shared" si="92"/>
        <v>24964.060301371239</v>
      </c>
      <c r="AY45" s="108">
        <f t="shared" si="92"/>
        <v>108861.64700746725</v>
      </c>
      <c r="AZ45" s="108">
        <f t="shared" si="92"/>
        <v>-272.37665127750694</v>
      </c>
      <c r="BA45" s="108">
        <f t="shared" si="92"/>
        <v>-1282.1685571647117</v>
      </c>
      <c r="BB45" s="108">
        <f t="shared" si="92"/>
        <v>-1209.0667804684431</v>
      </c>
      <c r="BC45" s="108">
        <f t="shared" si="92"/>
        <v>-1407.8046881476669</v>
      </c>
      <c r="BD45" s="108">
        <f t="shared" si="92"/>
        <v>-1489.7728123805637</v>
      </c>
      <c r="BE45" s="108">
        <f t="shared" si="92"/>
        <v>-1562.4260404283302</v>
      </c>
      <c r="BF45" s="108">
        <f t="shared" si="92"/>
        <v>-1562.5103700011937</v>
      </c>
      <c r="BG45" s="108">
        <f t="shared" ref="BG45" si="93">+BG38+(BG49*BG38/SUM(BG35:BG39))</f>
        <v>-1386.5611391254774</v>
      </c>
      <c r="BH45" s="107">
        <f t="shared" si="89"/>
        <v>-1273.304406540484</v>
      </c>
      <c r="BI45" s="111">
        <f t="shared" si="89"/>
        <v>-1286.2182860314265</v>
      </c>
      <c r="BJ45" s="112">
        <f t="shared" si="89"/>
        <v>-1481.4135494429788</v>
      </c>
    </row>
    <row r="46" spans="1:64" s="162" customFormat="1" x14ac:dyDescent="0.25">
      <c r="A46" s="162" t="s">
        <v>7</v>
      </c>
      <c r="B46" s="107">
        <v>0</v>
      </c>
      <c r="C46" s="111">
        <v>0</v>
      </c>
      <c r="D46" s="111">
        <v>0</v>
      </c>
      <c r="E46" s="111">
        <v>0</v>
      </c>
      <c r="F46" s="111">
        <f t="shared" ref="F46:BJ46" si="94">+F39+(F49*F39/SUM(F35:F39))</f>
        <v>0</v>
      </c>
      <c r="G46" s="111">
        <f t="shared" si="94"/>
        <v>131268.19</v>
      </c>
      <c r="H46" s="111">
        <f t="shared" si="94"/>
        <v>256958.42</v>
      </c>
      <c r="I46" s="111">
        <f t="shared" si="94"/>
        <v>259475.03</v>
      </c>
      <c r="J46" s="111">
        <f t="shared" si="94"/>
        <v>285082.46999999997</v>
      </c>
      <c r="K46" s="111">
        <f t="shared" si="94"/>
        <v>250150.11</v>
      </c>
      <c r="L46" s="111">
        <f t="shared" si="94"/>
        <v>230623.71</v>
      </c>
      <c r="M46" s="111">
        <f t="shared" si="94"/>
        <v>216819.48</v>
      </c>
      <c r="N46" s="111">
        <f t="shared" si="94"/>
        <v>214621.26</v>
      </c>
      <c r="O46" s="111">
        <f t="shared" si="94"/>
        <v>172271.18</v>
      </c>
      <c r="P46" s="111">
        <f t="shared" si="94"/>
        <v>122366.39999999999</v>
      </c>
      <c r="Q46" s="111">
        <f t="shared" si="94"/>
        <v>133103.25472005364</v>
      </c>
      <c r="R46" s="111">
        <f t="shared" si="94"/>
        <v>135731.20638073841</v>
      </c>
      <c r="S46" s="111">
        <f t="shared" si="94"/>
        <v>162157.75795058615</v>
      </c>
      <c r="T46" s="111">
        <f t="shared" si="94"/>
        <v>153203.70881900616</v>
      </c>
      <c r="U46" s="111">
        <f t="shared" si="94"/>
        <v>169773.80633548702</v>
      </c>
      <c r="V46" s="111">
        <f t="shared" si="94"/>
        <v>161844.56851345385</v>
      </c>
      <c r="W46" s="108">
        <f t="shared" si="94"/>
        <v>154346.85004205842</v>
      </c>
      <c r="X46" s="108">
        <f t="shared" ref="X46:AH46" si="95">+X39+(X49*X39/SUM(X35:X39))</f>
        <v>146651.7377716878</v>
      </c>
      <c r="Y46" s="108">
        <f t="shared" si="95"/>
        <v>134093.50014117642</v>
      </c>
      <c r="Z46" s="108">
        <f t="shared" si="95"/>
        <v>152079.36738831084</v>
      </c>
      <c r="AA46" s="108">
        <f t="shared" si="95"/>
        <v>258832.95156324055</v>
      </c>
      <c r="AB46" s="108">
        <f t="shared" si="95"/>
        <v>399519.51481531939</v>
      </c>
      <c r="AC46" s="108">
        <f t="shared" si="95"/>
        <v>380319.84316656803</v>
      </c>
      <c r="AD46" s="108">
        <f t="shared" si="95"/>
        <v>436565.10749849904</v>
      </c>
      <c r="AE46" s="108">
        <f t="shared" si="95"/>
        <v>483173.79843124037</v>
      </c>
      <c r="AF46" s="108">
        <f t="shared" si="95"/>
        <v>421359.16619137116</v>
      </c>
      <c r="AG46" s="108">
        <f t="shared" si="95"/>
        <v>497590.5437160838</v>
      </c>
      <c r="AH46" s="108">
        <f t="shared" si="95"/>
        <v>467469.80520837824</v>
      </c>
      <c r="AI46" s="108">
        <f t="shared" ref="AI46:AU46" si="96">+AI39+(AI49*AI39/SUM(AI35:AI39))</f>
        <v>461536.03993682319</v>
      </c>
      <c r="AJ46" s="108">
        <f t="shared" si="96"/>
        <v>432759.69283504901</v>
      </c>
      <c r="AK46" s="108">
        <f t="shared" si="96"/>
        <v>420325.1283502648</v>
      </c>
      <c r="AL46" s="108">
        <f t="shared" si="96"/>
        <v>352935.39213898772</v>
      </c>
      <c r="AM46" s="108">
        <f t="shared" si="96"/>
        <v>218642.8051454844</v>
      </c>
      <c r="AN46" s="108">
        <f t="shared" si="96"/>
        <v>11072.917813751024</v>
      </c>
      <c r="AO46" s="108">
        <f t="shared" si="96"/>
        <v>78751.959987850729</v>
      </c>
      <c r="AP46" s="108">
        <f t="shared" si="96"/>
        <v>70870.782828593452</v>
      </c>
      <c r="AQ46" s="108">
        <f t="shared" si="96"/>
        <v>92349.934190496278</v>
      </c>
      <c r="AR46" s="108">
        <f t="shared" si="96"/>
        <v>109471.32041072448</v>
      </c>
      <c r="AS46" s="108">
        <f t="shared" si="96"/>
        <v>133778.99591618252</v>
      </c>
      <c r="AT46" s="108">
        <f t="shared" si="96"/>
        <v>105358.03981351505</v>
      </c>
      <c r="AU46" s="108">
        <f t="shared" si="96"/>
        <v>91193.096339843207</v>
      </c>
      <c r="AV46" s="108">
        <f t="shared" ref="AV46:BF46" si="97">+AV39+(AV49*AV39/SUM(AV35:AV39))</f>
        <v>82862.960380006494</v>
      </c>
      <c r="AW46" s="108">
        <f t="shared" si="97"/>
        <v>282311.17261315987</v>
      </c>
      <c r="AX46" s="108">
        <f t="shared" si="97"/>
        <v>12251.518163536683</v>
      </c>
      <c r="AY46" s="108">
        <f t="shared" si="97"/>
        <v>60925.017116799572</v>
      </c>
      <c r="AZ46" s="108">
        <f t="shared" si="97"/>
        <v>-17294.660889896477</v>
      </c>
      <c r="BA46" s="108">
        <f t="shared" si="97"/>
        <v>-16284.211988775885</v>
      </c>
      <c r="BB46" s="108">
        <f t="shared" si="97"/>
        <v>-16565.158099417156</v>
      </c>
      <c r="BC46" s="108">
        <f t="shared" si="97"/>
        <v>-43372.623806357893</v>
      </c>
      <c r="BD46" s="108">
        <f t="shared" si="97"/>
        <v>-18713.471650979292</v>
      </c>
      <c r="BE46" s="108">
        <f t="shared" si="97"/>
        <v>-19283.096656708654</v>
      </c>
      <c r="BF46" s="108">
        <f t="shared" si="97"/>
        <v>-19556.259428463974</v>
      </c>
      <c r="BG46" s="108">
        <f t="shared" ref="BG46" si="98">+BG39+(BG49*BG39/SUM(BG35:BG39))</f>
        <v>-17197.959642129874</v>
      </c>
      <c r="BH46" s="107">
        <f t="shared" si="94"/>
        <v>-16963.428851751956</v>
      </c>
      <c r="BI46" s="111">
        <f t="shared" si="94"/>
        <v>-16558.410150799944</v>
      </c>
      <c r="BJ46" s="112">
        <f t="shared" si="94"/>
        <v>-18006.068882208834</v>
      </c>
    </row>
    <row r="47" spans="1:64" s="47" customFormat="1" x14ac:dyDescent="0.25">
      <c r="B47" s="203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97"/>
      <c r="BI47" s="96"/>
      <c r="BJ47" s="99"/>
    </row>
    <row r="48" spans="1:64" s="162" customFormat="1" x14ac:dyDescent="0.25">
      <c r="A48" s="47" t="s">
        <v>103</v>
      </c>
      <c r="B48" s="202"/>
      <c r="C48" s="199"/>
      <c r="D48" s="100" t="s">
        <v>86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5"/>
      <c r="BI48" s="96"/>
      <c r="BJ48" s="99"/>
      <c r="BK48" s="189"/>
      <c r="BL48" s="47"/>
    </row>
    <row r="49" spans="1:64" s="162" customFormat="1" x14ac:dyDescent="0.25">
      <c r="A49" s="47" t="str">
        <f>A35</f>
        <v>RES</v>
      </c>
      <c r="B49" s="91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-51439.089999999989</v>
      </c>
      <c r="R49" s="92">
        <v>-43497.94</v>
      </c>
      <c r="S49" s="92">
        <v>-52672.520000000004</v>
      </c>
      <c r="T49" s="92">
        <v>-68515.819999999992</v>
      </c>
      <c r="U49" s="92">
        <v>-70412.339999999982</v>
      </c>
      <c r="V49" s="92">
        <v>-58123.959999999992</v>
      </c>
      <c r="W49" s="101">
        <v>-52279.729999999974</v>
      </c>
      <c r="X49" s="101">
        <v>-54277.110000000008</v>
      </c>
      <c r="Y49" s="101">
        <v>-73395.800000000017</v>
      </c>
      <c r="Z49" s="101">
        <f>-118236.63-OAR!D36</f>
        <v>-118658.30887468031</v>
      </c>
      <c r="AA49" s="101">
        <f>-97741.56-OAR!E36</f>
        <v>-101438.60037851662</v>
      </c>
      <c r="AB49" s="101">
        <f>-81845.59-OAR!F36</f>
        <v>-84826.87</v>
      </c>
      <c r="AC49" s="101">
        <v>-80285.62</v>
      </c>
      <c r="AD49" s="101">
        <v>-54904.540000000008</v>
      </c>
      <c r="AE49" s="101">
        <v>-68515.219999999987</v>
      </c>
      <c r="AF49" s="101">
        <v>-80021.319999999992</v>
      </c>
      <c r="AG49" s="101">
        <v>-70550.76999999999</v>
      </c>
      <c r="AH49" s="101">
        <v>-67136.84</v>
      </c>
      <c r="AI49" s="101">
        <v>-58632.55999999999</v>
      </c>
      <c r="AJ49" s="101">
        <v>-66014.22</v>
      </c>
      <c r="AK49" s="101">
        <v>-95891</v>
      </c>
      <c r="AL49" s="101">
        <v>-91211.940000000017</v>
      </c>
      <c r="AM49" s="101">
        <v>33287.65</v>
      </c>
      <c r="AN49" s="101">
        <v>30460.530000000002</v>
      </c>
      <c r="AO49" s="101">
        <v>19911.22</v>
      </c>
      <c r="AP49" s="101">
        <v>14963.609999999999</v>
      </c>
      <c r="AQ49" s="101">
        <v>17463.560000000001</v>
      </c>
      <c r="AR49" s="101">
        <v>21416.949999999997</v>
      </c>
      <c r="AS49" s="101">
        <v>22810.43</v>
      </c>
      <c r="AT49" s="101">
        <v>20764.27</v>
      </c>
      <c r="AU49" s="101">
        <v>17575.28</v>
      </c>
      <c r="AV49" s="101">
        <f>'[1]PCR.4 (M2)'!AG5</f>
        <v>19314.519999999997</v>
      </c>
      <c r="AW49" s="101">
        <f>'[1]PCR.4 (M2)'!AH5</f>
        <v>26627.68</v>
      </c>
      <c r="AX49" s="101">
        <f>'[1]PCR.4 (M2)'!AI5</f>
        <v>29414.23</v>
      </c>
      <c r="AY49" s="101">
        <f>'[1]PCR.4 (M2)'!AJ5</f>
        <v>14059.880000000001</v>
      </c>
      <c r="AZ49" s="101">
        <f>'[1]PCR.4 (M2)'!AK5</f>
        <v>-5100.9799999999996</v>
      </c>
      <c r="BA49" s="101">
        <f>'[1]PCR.4 (M2)'!AL5</f>
        <v>-3797.75</v>
      </c>
      <c r="BB49" s="101">
        <f>'[1]PCR.4 (M2)'!AM5</f>
        <v>-3131.7799999999993</v>
      </c>
      <c r="BC49" s="101">
        <f>'[1]PCR.4 (M2)'!AN5</f>
        <v>-3541.15</v>
      </c>
      <c r="BD49" s="101">
        <f>'[1]PCR.4 (M2)'!AO5</f>
        <v>-4569.05</v>
      </c>
      <c r="BE49" s="101">
        <f>'[1]PCR.4 (M2)'!AP5</f>
        <v>-4228.7</v>
      </c>
      <c r="BF49" s="101">
        <f>'[1]PCR.4 (M2)'!AQ5</f>
        <v>-3858.94</v>
      </c>
      <c r="BG49" s="101">
        <f>'[1]PCR.4 (M2)'!AR5</f>
        <v>-2893.48</v>
      </c>
      <c r="BH49" s="107">
        <f>-(BH28*$BK$35*PPC!$B$14)</f>
        <v>-3344.4507826465615</v>
      </c>
      <c r="BI49" s="111">
        <f>-(BI28*$BK$35*PPC!$B$14)</f>
        <v>-4826.9022453207626</v>
      </c>
      <c r="BJ49" s="112">
        <f>-(BJ28*$BK$35*PPC!$B$14)</f>
        <v>-6008.3097353245194</v>
      </c>
      <c r="BK49" s="201"/>
      <c r="BL49" s="47"/>
    </row>
    <row r="50" spans="1:64" s="162" customFormat="1" x14ac:dyDescent="0.25">
      <c r="A50" s="47"/>
      <c r="B50" s="97"/>
      <c r="C50" s="105"/>
      <c r="D50" s="100" t="s">
        <v>68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4"/>
      <c r="BI50" s="105"/>
      <c r="BJ50" s="99"/>
    </row>
    <row r="51" spans="1:64" ht="15.75" thickBot="1" x14ac:dyDescent="0.3">
      <c r="A51" s="47" t="s">
        <v>92</v>
      </c>
      <c r="B51" s="114">
        <v>0</v>
      </c>
      <c r="C51" s="115">
        <v>0</v>
      </c>
      <c r="D51" s="115">
        <v>298.63</v>
      </c>
      <c r="E51" s="115">
        <v>674.69</v>
      </c>
      <c r="F51" s="115">
        <v>1475.36</v>
      </c>
      <c r="G51" s="115">
        <v>108.97</v>
      </c>
      <c r="H51" s="115">
        <v>-1399.24</v>
      </c>
      <c r="I51" s="115">
        <v>-2443.31</v>
      </c>
      <c r="J51" s="115">
        <v>-4160.29</v>
      </c>
      <c r="K51" s="115">
        <v>-4437.1276130225706</v>
      </c>
      <c r="L51" s="115">
        <v>-4089.8726909078409</v>
      </c>
      <c r="M51" s="115">
        <v>-5732.3796823568009</v>
      </c>
      <c r="N51" s="115">
        <v>-6387.1229241163428</v>
      </c>
      <c r="O51" s="115">
        <v>-3749.9100388094298</v>
      </c>
      <c r="P51" s="115">
        <v>-4794.8657862936871</v>
      </c>
      <c r="Q51" s="115">
        <v>-4983.609733505551</v>
      </c>
      <c r="R51" s="115">
        <v>-3142.1778395001616</v>
      </c>
      <c r="S51" s="115">
        <v>-2033.7917610442216</v>
      </c>
      <c r="T51" s="115">
        <v>-2950.032033167759</v>
      </c>
      <c r="U51" s="115">
        <v>-1520.1017399300081</v>
      </c>
      <c r="V51" s="115">
        <v>-600.37464592803713</v>
      </c>
      <c r="W51" s="116">
        <v>1065.6199999999999</v>
      </c>
      <c r="X51" s="116">
        <v>-1332.09</v>
      </c>
      <c r="Y51" s="116">
        <v>5237.09</v>
      </c>
      <c r="Z51" s="116">
        <v>3012.78</v>
      </c>
      <c r="AA51" s="116">
        <v>-1819.91</v>
      </c>
      <c r="AB51" s="116">
        <v>-5067.18</v>
      </c>
      <c r="AC51" s="116">
        <v>-9142.32</v>
      </c>
      <c r="AD51" s="116">
        <v>-10293.290000000001</v>
      </c>
      <c r="AE51" s="116">
        <v>-14356.41</v>
      </c>
      <c r="AF51" s="116">
        <v>-17932.63</v>
      </c>
      <c r="AG51" s="116">
        <v>-19194.27</v>
      </c>
      <c r="AH51" s="116">
        <v>-23187.84</v>
      </c>
      <c r="AI51" s="116">
        <v>-27364.65</v>
      </c>
      <c r="AJ51" s="116">
        <v>-26465.99</v>
      </c>
      <c r="AK51" s="116">
        <v>-25904.16</v>
      </c>
      <c r="AL51" s="116">
        <v>-38312.04</v>
      </c>
      <c r="AM51" s="116">
        <v>-15634.39</v>
      </c>
      <c r="AN51" s="116">
        <v>975.69</v>
      </c>
      <c r="AO51" s="116">
        <v>1094.57</v>
      </c>
      <c r="AP51" s="116">
        <v>1194.4000000000001</v>
      </c>
      <c r="AQ51" s="116">
        <v>1288.42</v>
      </c>
      <c r="AR51" s="116">
        <v>3704.41</v>
      </c>
      <c r="AS51" s="116">
        <v>637.09</v>
      </c>
      <c r="AT51" s="116">
        <v>575.71</v>
      </c>
      <c r="AU51" s="116">
        <v>1073.23</v>
      </c>
      <c r="AV51" s="116">
        <f>-'[1]PCR.5 (M2)'!$W$53</f>
        <v>767.77</v>
      </c>
      <c r="AW51" s="116">
        <f>-'[1]PCR.5 (M2)'!$W$54</f>
        <v>1051.07</v>
      </c>
      <c r="AX51" s="116">
        <f>-'[1]PCR.5 (M2)'!$W$55</f>
        <v>1224.92</v>
      </c>
      <c r="AY51" s="116">
        <f>-'[1]PCR.5 (M2)'!$W$56</f>
        <v>1203.73</v>
      </c>
      <c r="AZ51" s="116">
        <f>-'[1]PCR.5 (M2)'!$W$57</f>
        <v>1322.97</v>
      </c>
      <c r="BA51" s="116">
        <f>-'[1]PCR.5 (M2)'!$W$58</f>
        <v>553.16999999999996</v>
      </c>
      <c r="BB51" s="116">
        <f>-'[1]PCR.5 (M2)'!$W$59</f>
        <v>65.02</v>
      </c>
      <c r="BC51" s="116">
        <f>-'[1]PCR.5 (M2)'!$W$60</f>
        <v>76.2</v>
      </c>
      <c r="BD51" s="116">
        <f>-'[1]PCR.5 (M2)'!$W$61</f>
        <v>93.44</v>
      </c>
      <c r="BE51" s="116">
        <f>-'[1]PCR.5 (M2)'!$W$62</f>
        <v>123.12</v>
      </c>
      <c r="BF51" s="116">
        <f>-'[1]PCR.5 (M2)'!$W$63</f>
        <v>106.2</v>
      </c>
      <c r="BG51" s="116">
        <f>-'[1]PCR.5 (M2)'!$W$64</f>
        <v>154.12</v>
      </c>
      <c r="BH51" s="93">
        <f>'[2]MEEIA 2 calcs'!$BI$10</f>
        <v>132.53104568073149</v>
      </c>
      <c r="BI51" s="94">
        <f>'[2]MEEIA 2 calcs'!$BJ$10</f>
        <v>178.96711423317711</v>
      </c>
      <c r="BJ51" s="149">
        <f>'[2]MEEIA 2 calcs'!$BK$10</f>
        <v>164.29950613884097</v>
      </c>
      <c r="BK51" s="47"/>
    </row>
    <row r="52" spans="1:64" x14ac:dyDescent="0.25"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3"/>
      <c r="BI52" s="144"/>
      <c r="BJ52" s="145"/>
    </row>
    <row r="53" spans="1:64" x14ac:dyDescent="0.25">
      <c r="A53" s="69" t="s">
        <v>69</v>
      </c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5"/>
      <c r="BI53" s="96"/>
      <c r="BJ53" s="99"/>
    </row>
    <row r="54" spans="1:64" x14ac:dyDescent="0.25">
      <c r="A54" s="69" t="s">
        <v>0</v>
      </c>
      <c r="B54" s="107">
        <f t="shared" ref="B54:BJ54" si="99">B21-B42</f>
        <v>0</v>
      </c>
      <c r="C54" s="111">
        <f t="shared" si="99"/>
        <v>0</v>
      </c>
      <c r="D54" s="111">
        <f>D21-D42</f>
        <v>109165.05951390543</v>
      </c>
      <c r="E54" s="111">
        <f t="shared" si="99"/>
        <v>480741.41032421798</v>
      </c>
      <c r="F54" s="111">
        <f t="shared" si="99"/>
        <v>1035558.9875673528</v>
      </c>
      <c r="G54" s="111">
        <f t="shared" si="99"/>
        <v>-796014.29677120619</v>
      </c>
      <c r="H54" s="111">
        <f t="shared" si="99"/>
        <v>-960426.68598167389</v>
      </c>
      <c r="I54" s="111">
        <f t="shared" si="99"/>
        <v>119508.3173276647</v>
      </c>
      <c r="J54" s="111">
        <f t="shared" si="99"/>
        <v>-650781.14802932926</v>
      </c>
      <c r="K54" s="111">
        <f t="shared" si="99"/>
        <v>283633.757875429</v>
      </c>
      <c r="L54" s="111">
        <f t="shared" si="99"/>
        <v>758391.50758311059</v>
      </c>
      <c r="M54" s="111">
        <f t="shared" si="99"/>
        <v>-97704.226593116764</v>
      </c>
      <c r="N54" s="111">
        <f t="shared" si="99"/>
        <v>-862665.63054309995</v>
      </c>
      <c r="O54" s="111">
        <f t="shared" si="99"/>
        <v>-119200.60126053984</v>
      </c>
      <c r="P54" s="111">
        <f t="shared" si="99"/>
        <v>-159533.62003397848</v>
      </c>
      <c r="Q54" s="111">
        <f t="shared" si="99"/>
        <v>-864420.67600424855</v>
      </c>
      <c r="R54" s="111">
        <f t="shared" si="99"/>
        <v>844188.85099213431</v>
      </c>
      <c r="S54" s="111">
        <f t="shared" si="99"/>
        <v>520030.96328711743</v>
      </c>
      <c r="T54" s="111">
        <f t="shared" si="99"/>
        <v>-1055149.5793604027</v>
      </c>
      <c r="U54" s="111">
        <f t="shared" si="99"/>
        <v>-67022.342312908731</v>
      </c>
      <c r="V54" s="111">
        <f t="shared" si="99"/>
        <v>-132471.96672626049</v>
      </c>
      <c r="W54" s="108">
        <f t="shared" si="99"/>
        <v>-29300.709057155997</v>
      </c>
      <c r="X54" s="108">
        <f t="shared" ref="X54:AH54" si="100">X21-X42</f>
        <v>-141089.5657424212</v>
      </c>
      <c r="Y54" s="108">
        <f t="shared" si="100"/>
        <v>-96637.005920365918</v>
      </c>
      <c r="Z54" s="108">
        <f t="shared" si="100"/>
        <v>-1813406.9128263511</v>
      </c>
      <c r="AA54" s="108">
        <f t="shared" si="100"/>
        <v>-1568830.10050225</v>
      </c>
      <c r="AB54" s="108">
        <f t="shared" si="100"/>
        <v>-1064539.8070336694</v>
      </c>
      <c r="AC54" s="108">
        <f t="shared" si="100"/>
        <v>-711712.41645144811</v>
      </c>
      <c r="AD54" s="108">
        <f t="shared" si="100"/>
        <v>-481640.43160215323</v>
      </c>
      <c r="AE54" s="108">
        <f t="shared" si="100"/>
        <v>-556459.27604299667</v>
      </c>
      <c r="AF54" s="108">
        <f t="shared" si="100"/>
        <v>-805512.04048896022</v>
      </c>
      <c r="AG54" s="108">
        <f>AG21-AG42</f>
        <v>-661140.78495057859</v>
      </c>
      <c r="AH54" s="108">
        <f t="shared" si="100"/>
        <v>-1099338.2931797178</v>
      </c>
      <c r="AI54" s="108">
        <f t="shared" ref="AI54:AT54" si="101">AI21-AI42</f>
        <v>-502423.59165475797</v>
      </c>
      <c r="AJ54" s="108">
        <f t="shared" si="101"/>
        <v>-17929.994693517452</v>
      </c>
      <c r="AK54" s="108">
        <f t="shared" si="101"/>
        <v>-213612.27375866659</v>
      </c>
      <c r="AL54" s="108">
        <f t="shared" si="101"/>
        <v>-2726340.6083985036</v>
      </c>
      <c r="AM54" s="108">
        <f t="shared" si="101"/>
        <v>3838165.4960362883</v>
      </c>
      <c r="AN54" s="108">
        <f t="shared" si="101"/>
        <v>1942733.4716532761</v>
      </c>
      <c r="AO54" s="108">
        <f t="shared" si="101"/>
        <v>620571.07088957168</v>
      </c>
      <c r="AP54" s="108">
        <f t="shared" si="101"/>
        <v>505998.50074041326</v>
      </c>
      <c r="AQ54" s="108">
        <f t="shared" si="101"/>
        <v>724833.03703407827</v>
      </c>
      <c r="AR54" s="108">
        <f t="shared" si="101"/>
        <v>2127815.7453005174</v>
      </c>
      <c r="AS54" s="108">
        <f t="shared" si="101"/>
        <v>-138746.12425577547</v>
      </c>
      <c r="AT54" s="108">
        <f t="shared" si="101"/>
        <v>914667.02106354828</v>
      </c>
      <c r="AU54" s="108">
        <f>AU21-AU42</f>
        <v>688228.38960263599</v>
      </c>
      <c r="AV54" s="108">
        <f t="shared" ref="AV54:BE54" si="102">AV21-AV42</f>
        <v>619930.75291309308</v>
      </c>
      <c r="AW54" s="108">
        <f t="shared" si="102"/>
        <v>2960531.0123340879</v>
      </c>
      <c r="AX54" s="108">
        <f t="shared" si="102"/>
        <v>112824.11313890081</v>
      </c>
      <c r="AY54" s="108">
        <f t="shared" si="102"/>
        <v>469377.73378306738</v>
      </c>
      <c r="AZ54" s="108">
        <f t="shared" si="102"/>
        <v>-128993.7425140946</v>
      </c>
      <c r="BA54" s="108">
        <f t="shared" si="102"/>
        <v>-110273.41104942473</v>
      </c>
      <c r="BB54" s="108">
        <f t="shared" si="102"/>
        <v>-93118.275166976877</v>
      </c>
      <c r="BC54" s="108">
        <f t="shared" si="102"/>
        <v>-125430.26148161263</v>
      </c>
      <c r="BD54" s="108">
        <f t="shared" si="102"/>
        <v>-169946.18752863031</v>
      </c>
      <c r="BE54" s="108">
        <f t="shared" si="102"/>
        <v>-161553.63436877905</v>
      </c>
      <c r="BF54" s="108">
        <f>BF21-BF42</f>
        <v>-145573.39038811633</v>
      </c>
      <c r="BG54" s="108">
        <f>BG21-BG42</f>
        <v>-98120.945656796248</v>
      </c>
      <c r="BH54" s="107">
        <f>BH21-BH42</f>
        <v>-103570.85492059516</v>
      </c>
      <c r="BI54" s="111">
        <f t="shared" si="99"/>
        <v>-149343.60952414162</v>
      </c>
      <c r="BJ54" s="112">
        <f t="shared" si="99"/>
        <v>-185886.98814054488</v>
      </c>
    </row>
    <row r="55" spans="1:64" x14ac:dyDescent="0.25">
      <c r="A55" s="69" t="s">
        <v>4</v>
      </c>
      <c r="B55" s="107">
        <f t="shared" ref="B55:BJ55" si="103">B22-B43</f>
        <v>0</v>
      </c>
      <c r="C55" s="111">
        <f t="shared" si="103"/>
        <v>0</v>
      </c>
      <c r="D55" s="111">
        <f t="shared" si="103"/>
        <v>80396.905524086716</v>
      </c>
      <c r="E55" s="111">
        <f t="shared" si="103"/>
        <v>22367.506099326867</v>
      </c>
      <c r="F55" s="111">
        <f t="shared" si="103"/>
        <v>35649.148293223669</v>
      </c>
      <c r="G55" s="111">
        <f t="shared" si="103"/>
        <v>-305595.24885977083</v>
      </c>
      <c r="H55" s="111">
        <f t="shared" si="103"/>
        <v>-408166.96200675756</v>
      </c>
      <c r="I55" s="111">
        <f t="shared" si="103"/>
        <v>-273673.78639455995</v>
      </c>
      <c r="J55" s="111">
        <f t="shared" si="103"/>
        <v>-425864.98574106238</v>
      </c>
      <c r="K55" s="111">
        <f t="shared" si="103"/>
        <v>-133153.04532952601</v>
      </c>
      <c r="L55" s="111">
        <f t="shared" si="103"/>
        <v>-32452.752257377142</v>
      </c>
      <c r="M55" s="111">
        <f t="shared" si="103"/>
        <v>-132305.03521318134</v>
      </c>
      <c r="N55" s="111">
        <f t="shared" si="103"/>
        <v>-110319.16126958677</v>
      </c>
      <c r="O55" s="111">
        <f t="shared" si="103"/>
        <v>211751.84688851453</v>
      </c>
      <c r="P55" s="111">
        <f t="shared" si="103"/>
        <v>35929.320019657316</v>
      </c>
      <c r="Q55" s="111">
        <f t="shared" si="103"/>
        <v>133416.23187539689</v>
      </c>
      <c r="R55" s="111">
        <f t="shared" si="103"/>
        <v>207756.1758795252</v>
      </c>
      <c r="S55" s="111">
        <f t="shared" si="103"/>
        <v>204160.02694802557</v>
      </c>
      <c r="T55" s="111">
        <f t="shared" si="103"/>
        <v>55539.995071532729</v>
      </c>
      <c r="U55" s="111">
        <f t="shared" si="103"/>
        <v>288464.61794483243</v>
      </c>
      <c r="V55" s="111">
        <f t="shared" si="103"/>
        <v>177754.05025938922</v>
      </c>
      <c r="W55" s="108">
        <f t="shared" si="103"/>
        <v>278495.55990872293</v>
      </c>
      <c r="X55" s="108">
        <f t="shared" ref="X55:AH55" si="104">X22-X43</f>
        <v>157807.94374413323</v>
      </c>
      <c r="Y55" s="108">
        <f t="shared" si="104"/>
        <v>431904.47897833918</v>
      </c>
      <c r="Z55" s="108">
        <f t="shared" si="104"/>
        <v>81552.355561456061</v>
      </c>
      <c r="AA55" s="108">
        <f t="shared" si="104"/>
        <v>-426653.29207006359</v>
      </c>
      <c r="AB55" s="108">
        <f t="shared" si="104"/>
        <v>-146085.43641560117</v>
      </c>
      <c r="AC55" s="108">
        <f t="shared" si="104"/>
        <v>-221060.2411139108</v>
      </c>
      <c r="AD55" s="108">
        <f t="shared" si="104"/>
        <v>-65055.934862794238</v>
      </c>
      <c r="AE55" s="108">
        <f t="shared" si="104"/>
        <v>-271876.9917904397</v>
      </c>
      <c r="AF55" s="108">
        <f t="shared" si="104"/>
        <v>-175502.33644051582</v>
      </c>
      <c r="AG55" s="108">
        <f t="shared" si="104"/>
        <v>-6034.8734516518889</v>
      </c>
      <c r="AH55" s="108">
        <f t="shared" si="104"/>
        <v>-183146.60975405248</v>
      </c>
      <c r="AI55" s="108">
        <f t="shared" ref="AI55:AU55" si="105">AI22-AI43</f>
        <v>-168992.48946161557</v>
      </c>
      <c r="AJ55" s="108">
        <f t="shared" si="105"/>
        <v>168841.20040651376</v>
      </c>
      <c r="AK55" s="108">
        <f t="shared" si="105"/>
        <v>333546.1687376186</v>
      </c>
      <c r="AL55" s="108">
        <f t="shared" si="105"/>
        <v>-440552.50613722991</v>
      </c>
      <c r="AM55" s="108">
        <f t="shared" si="105"/>
        <v>1415522.7918677698</v>
      </c>
      <c r="AN55" s="108">
        <f t="shared" si="105"/>
        <v>1200927.3179176338</v>
      </c>
      <c r="AO55" s="108">
        <f t="shared" si="105"/>
        <v>-116670.84540074882</v>
      </c>
      <c r="AP55" s="108">
        <f t="shared" si="105"/>
        <v>-90568.795880392106</v>
      </c>
      <c r="AQ55" s="108">
        <f t="shared" si="105"/>
        <v>-135323.36293381421</v>
      </c>
      <c r="AR55" s="108">
        <f t="shared" si="105"/>
        <v>-215721.75181290164</v>
      </c>
      <c r="AS55" s="108">
        <f t="shared" si="105"/>
        <v>-268307.54751392885</v>
      </c>
      <c r="AT55" s="108">
        <f t="shared" si="105"/>
        <v>-192130.18672020314</v>
      </c>
      <c r="AU55" s="108">
        <f t="shared" si="105"/>
        <v>-77747.850836594254</v>
      </c>
      <c r="AV55" s="108">
        <f t="shared" ref="AV55:BF55" si="106">AV22-AV43</f>
        <v>-147218.27725489979</v>
      </c>
      <c r="AW55" s="108">
        <f t="shared" si="106"/>
        <v>-626815.50495936314</v>
      </c>
      <c r="AX55" s="108">
        <f t="shared" si="106"/>
        <v>2071.0265048065557</v>
      </c>
      <c r="AY55" s="108">
        <f t="shared" si="106"/>
        <v>-102637.18991875669</v>
      </c>
      <c r="AZ55" s="108">
        <f t="shared" si="106"/>
        <v>18299.944185347187</v>
      </c>
      <c r="BA55" s="108">
        <f t="shared" si="106"/>
        <v>-22004.37672731734</v>
      </c>
      <c r="BB55" s="108">
        <f t="shared" si="106"/>
        <v>-18040.92897784969</v>
      </c>
      <c r="BC55" s="108">
        <f t="shared" si="106"/>
        <v>27776.279216970059</v>
      </c>
      <c r="BD55" s="108">
        <f t="shared" si="106"/>
        <v>-18254.915123630901</v>
      </c>
      <c r="BE55" s="108">
        <f t="shared" si="106"/>
        <v>122864.62465644571</v>
      </c>
      <c r="BF55" s="108">
        <f t="shared" si="106"/>
        <v>-2526.0165006621064</v>
      </c>
      <c r="BG55" s="108">
        <f t="shared" ref="BG55" si="107">BG22-BG43</f>
        <v>-19481.526653785157</v>
      </c>
      <c r="BH55" s="107">
        <f t="shared" si="103"/>
        <v>-23187.007133901363</v>
      </c>
      <c r="BI55" s="111">
        <f t="shared" si="103"/>
        <v>76853.981730771644</v>
      </c>
      <c r="BJ55" s="112">
        <f t="shared" si="103"/>
        <v>-477.11072919116123</v>
      </c>
    </row>
    <row r="56" spans="1:64" x14ac:dyDescent="0.25">
      <c r="A56" s="69" t="s">
        <v>5</v>
      </c>
      <c r="B56" s="107">
        <f t="shared" ref="B56:BJ56" si="108">B23-B44</f>
        <v>0</v>
      </c>
      <c r="C56" s="111">
        <f t="shared" si="108"/>
        <v>0</v>
      </c>
      <c r="D56" s="111">
        <f t="shared" si="108"/>
        <v>184247.82933918544</v>
      </c>
      <c r="E56" s="111">
        <f t="shared" si="108"/>
        <v>55385.846863700259</v>
      </c>
      <c r="F56" s="111">
        <f t="shared" si="108"/>
        <v>107328.74773943188</v>
      </c>
      <c r="G56" s="111">
        <f t="shared" si="108"/>
        <v>-721309.05281867995</v>
      </c>
      <c r="H56" s="111">
        <f t="shared" si="108"/>
        <v>-924707.02921066992</v>
      </c>
      <c r="I56" s="111">
        <f t="shared" si="108"/>
        <v>-622107.22711593262</v>
      </c>
      <c r="J56" s="111">
        <f t="shared" si="108"/>
        <v>-1010830.4703996622</v>
      </c>
      <c r="K56" s="111">
        <f t="shared" si="108"/>
        <v>-326649.49814118026</v>
      </c>
      <c r="L56" s="111">
        <f t="shared" si="108"/>
        <v>-83293.358918056474</v>
      </c>
      <c r="M56" s="111">
        <f t="shared" si="108"/>
        <v>-298940.94318697951</v>
      </c>
      <c r="N56" s="111">
        <f t="shared" si="108"/>
        <v>-237410.13066418737</v>
      </c>
      <c r="O56" s="111">
        <f t="shared" si="108"/>
        <v>454164.41792280087</v>
      </c>
      <c r="P56" s="111">
        <f t="shared" si="108"/>
        <v>72620.549294193159</v>
      </c>
      <c r="Q56" s="111">
        <f t="shared" si="108"/>
        <v>313888.46612891997</v>
      </c>
      <c r="R56" s="111">
        <f t="shared" si="108"/>
        <v>513993.56122851558</v>
      </c>
      <c r="S56" s="111">
        <f t="shared" si="108"/>
        <v>479962.63902338257</v>
      </c>
      <c r="T56" s="111">
        <f t="shared" si="108"/>
        <v>111975.11007318588</v>
      </c>
      <c r="U56" s="111">
        <f t="shared" si="108"/>
        <v>645962.20875550294</v>
      </c>
      <c r="V56" s="111">
        <f t="shared" si="108"/>
        <v>415247.59182569128</v>
      </c>
      <c r="W56" s="108">
        <f t="shared" si="108"/>
        <v>668310.70842069539</v>
      </c>
      <c r="X56" s="108">
        <f t="shared" ref="X56:AH56" si="109">X23-X44</f>
        <v>376261.39586610894</v>
      </c>
      <c r="Y56" s="108">
        <f t="shared" si="109"/>
        <v>990900.08577033645</v>
      </c>
      <c r="Z56" s="108">
        <f t="shared" si="109"/>
        <v>168651.64440161514</v>
      </c>
      <c r="AA56" s="108">
        <f t="shared" si="109"/>
        <v>-888524.12267667358</v>
      </c>
      <c r="AB56" s="108">
        <f t="shared" si="109"/>
        <v>-331899.75322859408</v>
      </c>
      <c r="AC56" s="108">
        <f t="shared" si="109"/>
        <v>-510337.8222499867</v>
      </c>
      <c r="AD56" s="108">
        <f t="shared" si="109"/>
        <v>-171184.72250201041</v>
      </c>
      <c r="AE56" s="108">
        <f t="shared" si="109"/>
        <v>-649542.64703121991</v>
      </c>
      <c r="AF56" s="108">
        <f t="shared" si="109"/>
        <v>-406287.08692043973</v>
      </c>
      <c r="AG56" s="108">
        <f t="shared" si="109"/>
        <v>-25116.995257765986</v>
      </c>
      <c r="AH56" s="108">
        <f t="shared" si="109"/>
        <v>-446333.55042853369</v>
      </c>
      <c r="AI56" s="108">
        <f t="shared" ref="AI56:AU56" si="110">AI23-AI44</f>
        <v>-422542.84724162449</v>
      </c>
      <c r="AJ56" s="108">
        <f t="shared" si="110"/>
        <v>399011.66419091867</v>
      </c>
      <c r="AK56" s="108">
        <f t="shared" si="110"/>
        <v>715415.6809491599</v>
      </c>
      <c r="AL56" s="108">
        <f t="shared" si="110"/>
        <v>-956633.05814597942</v>
      </c>
      <c r="AM56" s="108">
        <f t="shared" si="110"/>
        <v>2856053.6686236672</v>
      </c>
      <c r="AN56" s="108">
        <f t="shared" si="110"/>
        <v>2484179.6826776476</v>
      </c>
      <c r="AO56" s="108">
        <f t="shared" si="110"/>
        <v>-253211.48669338896</v>
      </c>
      <c r="AP56" s="108">
        <f t="shared" si="110"/>
        <v>-226247.91099921553</v>
      </c>
      <c r="AQ56" s="108">
        <f t="shared" si="110"/>
        <v>-319868.33179412188</v>
      </c>
      <c r="AR56" s="108">
        <f t="shared" si="110"/>
        <v>-482478.4162492592</v>
      </c>
      <c r="AS56" s="108">
        <f t="shared" si="110"/>
        <v>-597045.63605933799</v>
      </c>
      <c r="AT56" s="108">
        <f t="shared" si="110"/>
        <v>-447898.47728046699</v>
      </c>
      <c r="AU56" s="108">
        <f t="shared" si="110"/>
        <v>-183530.61847738817</v>
      </c>
      <c r="AV56" s="108">
        <f t="shared" ref="AV56:BF56" si="111">AV23-AV44</f>
        <v>-343202.49251168809</v>
      </c>
      <c r="AW56" s="108">
        <f t="shared" si="111"/>
        <v>-1353268.0424769113</v>
      </c>
      <c r="AX56" s="108">
        <f t="shared" si="111"/>
        <v>3825.9383704345091</v>
      </c>
      <c r="AY56" s="108">
        <f t="shared" si="111"/>
        <v>-200653.56304138468</v>
      </c>
      <c r="AZ56" s="108">
        <f t="shared" si="111"/>
        <v>75396.496061497499</v>
      </c>
      <c r="BA56" s="108">
        <f t="shared" si="111"/>
        <v>-20019.091356096666</v>
      </c>
      <c r="BB56" s="108">
        <f t="shared" si="111"/>
        <v>-13369.548712620512</v>
      </c>
      <c r="BC56" s="108">
        <f t="shared" si="111"/>
        <v>99930.102617907731</v>
      </c>
      <c r="BD56" s="108">
        <f t="shared" si="111"/>
        <v>2518.2424772812847</v>
      </c>
      <c r="BE56" s="108">
        <f t="shared" si="111"/>
        <v>315257.27472452191</v>
      </c>
      <c r="BF56" s="108">
        <f t="shared" si="111"/>
        <v>35921.948959678673</v>
      </c>
      <c r="BG56" s="108">
        <f t="shared" ref="BG56" si="112">BG23-BG44</f>
        <v>-11503.73676295529</v>
      </c>
      <c r="BH56" s="107">
        <f t="shared" si="108"/>
        <v>-21172.040730909415</v>
      </c>
      <c r="BI56" s="111">
        <f t="shared" si="108"/>
        <v>201445.28908995696</v>
      </c>
      <c r="BJ56" s="112">
        <f t="shared" si="108"/>
        <v>40530.076451129644</v>
      </c>
    </row>
    <row r="57" spans="1:64" x14ac:dyDescent="0.25">
      <c r="A57" s="69" t="s">
        <v>6</v>
      </c>
      <c r="B57" s="107">
        <f t="shared" ref="B57:BJ57" si="113">B24-B45</f>
        <v>0</v>
      </c>
      <c r="C57" s="111">
        <f t="shared" si="113"/>
        <v>0</v>
      </c>
      <c r="D57" s="111">
        <f t="shared" si="113"/>
        <v>76446.845496259717</v>
      </c>
      <c r="E57" s="111">
        <f t="shared" si="113"/>
        <v>24925.441552928634</v>
      </c>
      <c r="F57" s="111">
        <f t="shared" si="113"/>
        <v>38048.606654482297</v>
      </c>
      <c r="G57" s="111">
        <f t="shared" si="113"/>
        <v>-258416.37577544444</v>
      </c>
      <c r="H57" s="111">
        <f t="shared" si="113"/>
        <v>-387453.90191009501</v>
      </c>
      <c r="I57" s="111">
        <f t="shared" si="113"/>
        <v>-253978.04832345201</v>
      </c>
      <c r="J57" s="111">
        <f t="shared" si="113"/>
        <v>-445728.66763809219</v>
      </c>
      <c r="K57" s="111">
        <f t="shared" si="113"/>
        <v>-139007.91718968638</v>
      </c>
      <c r="L57" s="111">
        <f t="shared" si="113"/>
        <v>-36890.856533018057</v>
      </c>
      <c r="M57" s="111">
        <f t="shared" si="113"/>
        <v>-129151.0816384597</v>
      </c>
      <c r="N57" s="111">
        <f t="shared" si="113"/>
        <v>-100977.52958177513</v>
      </c>
      <c r="O57" s="111">
        <f t="shared" si="113"/>
        <v>201907.90722166945</v>
      </c>
      <c r="P57" s="111">
        <f t="shared" si="113"/>
        <v>31290.893116822233</v>
      </c>
      <c r="Q57" s="111">
        <f t="shared" si="113"/>
        <v>146609.69208863127</v>
      </c>
      <c r="R57" s="111">
        <f t="shared" si="113"/>
        <v>236697.60336530575</v>
      </c>
      <c r="S57" s="111">
        <f t="shared" si="113"/>
        <v>223996.57620818634</v>
      </c>
      <c r="T57" s="111">
        <f t="shared" si="113"/>
        <v>47327.370643315255</v>
      </c>
      <c r="U57" s="111">
        <f t="shared" si="113"/>
        <v>280702.30776770622</v>
      </c>
      <c r="V57" s="111">
        <f t="shared" si="113"/>
        <v>184307.67623669398</v>
      </c>
      <c r="W57" s="108">
        <f t="shared" si="113"/>
        <v>302095.12968430069</v>
      </c>
      <c r="X57" s="108">
        <f t="shared" ref="X57:AH57" si="114">X24-X45</f>
        <v>170866.56722860155</v>
      </c>
      <c r="Y57" s="108">
        <f t="shared" si="114"/>
        <v>450699.31547003827</v>
      </c>
      <c r="Z57" s="108">
        <f t="shared" si="114"/>
        <v>58024.878791236028</v>
      </c>
      <c r="AA57" s="108">
        <f t="shared" si="114"/>
        <v>-328224.00123522163</v>
      </c>
      <c r="AB57" s="108">
        <f t="shared" si="114"/>
        <v>-161389.21758456051</v>
      </c>
      <c r="AC57" s="108">
        <f t="shared" si="114"/>
        <v>-224368.64453837438</v>
      </c>
      <c r="AD57" s="108">
        <f t="shared" si="114"/>
        <v>-92352.482614646549</v>
      </c>
      <c r="AE57" s="108">
        <f t="shared" si="114"/>
        <v>-298828.16464478907</v>
      </c>
      <c r="AF57" s="108">
        <f t="shared" si="114"/>
        <v>-186717.53926353704</v>
      </c>
      <c r="AG57" s="108">
        <f t="shared" si="114"/>
        <v>-20798.890421728021</v>
      </c>
      <c r="AH57" s="108">
        <f t="shared" si="114"/>
        <v>-201654.02364436549</v>
      </c>
      <c r="AI57" s="108">
        <f t="shared" ref="AI57:AU57" si="115">AI24-AI45</f>
        <v>-202155.18310460856</v>
      </c>
      <c r="AJ57" s="108">
        <f t="shared" si="115"/>
        <v>177374.67864981398</v>
      </c>
      <c r="AK57" s="108">
        <f t="shared" si="115"/>
        <v>320392.12222233333</v>
      </c>
      <c r="AL57" s="108">
        <f t="shared" si="115"/>
        <v>-379092.8258037169</v>
      </c>
      <c r="AM57" s="108">
        <f t="shared" si="115"/>
        <v>1048784.747343895</v>
      </c>
      <c r="AN57" s="108">
        <f t="shared" si="115"/>
        <v>1003667.451188039</v>
      </c>
      <c r="AO57" s="108">
        <f t="shared" si="115"/>
        <v>-116642.91328992342</v>
      </c>
      <c r="AP57" s="108">
        <f t="shared" si="115"/>
        <v>-97918.304780132137</v>
      </c>
      <c r="AQ57" s="108">
        <f t="shared" si="115"/>
        <v>-144739.14071658696</v>
      </c>
      <c r="AR57" s="108">
        <f t="shared" si="115"/>
        <v>-201768.78819196261</v>
      </c>
      <c r="AS57" s="108">
        <f t="shared" si="115"/>
        <v>-256075.28549101407</v>
      </c>
      <c r="AT57" s="108">
        <f t="shared" si="115"/>
        <v>-189170.79020625362</v>
      </c>
      <c r="AU57" s="108">
        <f t="shared" si="115"/>
        <v>-80749.725351799396</v>
      </c>
      <c r="AV57" s="108">
        <f t="shared" ref="AV57:BF57" si="116">AV24-AV45</f>
        <v>-153522.21438819938</v>
      </c>
      <c r="AW57" s="108">
        <f t="shared" si="116"/>
        <v>-560614.99516493932</v>
      </c>
      <c r="AX57" s="108">
        <f t="shared" si="116"/>
        <v>951.26145523844752</v>
      </c>
      <c r="AY57" s="108">
        <f t="shared" si="116"/>
        <v>-91266.24450718677</v>
      </c>
      <c r="AZ57" s="108">
        <f t="shared" si="116"/>
        <v>40877.708249407508</v>
      </c>
      <c r="BA57" s="108">
        <f t="shared" si="116"/>
        <v>1376.2679049902449</v>
      </c>
      <c r="BB57" s="108">
        <f t="shared" si="116"/>
        <v>3520.0485998301588</v>
      </c>
      <c r="BC57" s="108">
        <f t="shared" si="116"/>
        <v>56579.231075455398</v>
      </c>
      <c r="BD57" s="108">
        <f t="shared" si="116"/>
        <v>13190.372241835812</v>
      </c>
      <c r="BE57" s="108">
        <f t="shared" si="116"/>
        <v>147411.65411394587</v>
      </c>
      <c r="BF57" s="108">
        <f t="shared" si="116"/>
        <v>28197.765957581003</v>
      </c>
      <c r="BG57" s="108">
        <f t="shared" ref="BG57" si="117">BG24-BG45</f>
        <v>6174.2754607025508</v>
      </c>
      <c r="BH57" s="107">
        <f t="shared" si="113"/>
        <v>1273.304406540484</v>
      </c>
      <c r="BI57" s="111">
        <f t="shared" si="113"/>
        <v>93734.145650084567</v>
      </c>
      <c r="BJ57" s="112">
        <f t="shared" si="113"/>
        <v>28726.252567330361</v>
      </c>
    </row>
    <row r="58" spans="1:64" x14ac:dyDescent="0.25">
      <c r="A58" s="69" t="s">
        <v>7</v>
      </c>
      <c r="B58" s="107">
        <f t="shared" ref="B58:BJ58" si="118">B25-B46</f>
        <v>0</v>
      </c>
      <c r="C58" s="111">
        <f t="shared" si="118"/>
        <v>0</v>
      </c>
      <c r="D58" s="111">
        <f t="shared" si="118"/>
        <v>39321.070126562699</v>
      </c>
      <c r="E58" s="111">
        <f t="shared" si="118"/>
        <v>12619.135159826228</v>
      </c>
      <c r="F58" s="111">
        <f t="shared" si="118"/>
        <v>39310.379745509235</v>
      </c>
      <c r="G58" s="111">
        <f t="shared" si="118"/>
        <v>-53851.695774898544</v>
      </c>
      <c r="H58" s="111">
        <f t="shared" si="118"/>
        <v>-197393.83089080374</v>
      </c>
      <c r="I58" s="111">
        <f t="shared" si="118"/>
        <v>-133908.38549372059</v>
      </c>
      <c r="J58" s="111">
        <f t="shared" si="118"/>
        <v>-237887.45819185395</v>
      </c>
      <c r="K58" s="111">
        <f t="shared" si="118"/>
        <v>-76729.147215036035</v>
      </c>
      <c r="L58" s="111">
        <f t="shared" si="118"/>
        <v>-19558.069874658773</v>
      </c>
      <c r="M58" s="111">
        <f t="shared" si="118"/>
        <v>-64205.543368262704</v>
      </c>
      <c r="N58" s="111">
        <f t="shared" si="118"/>
        <v>-49997.51794135099</v>
      </c>
      <c r="O58" s="111">
        <f t="shared" si="118"/>
        <v>77321.659227554861</v>
      </c>
      <c r="P58" s="111">
        <f t="shared" si="118"/>
        <v>19984.607603305602</v>
      </c>
      <c r="Q58" s="111">
        <f t="shared" si="118"/>
        <v>78350.945911300631</v>
      </c>
      <c r="R58" s="111">
        <f t="shared" si="118"/>
        <v>123841.56853451955</v>
      </c>
      <c r="S58" s="111">
        <f t="shared" si="118"/>
        <v>122899.63453328802</v>
      </c>
      <c r="T58" s="111">
        <f t="shared" si="118"/>
        <v>29822.363572369242</v>
      </c>
      <c r="U58" s="111">
        <f t="shared" si="118"/>
        <v>154791.02784486694</v>
      </c>
      <c r="V58" s="111">
        <f t="shared" si="118"/>
        <v>102686.8684044863</v>
      </c>
      <c r="W58" s="108">
        <f t="shared" si="118"/>
        <v>159837.53104343769</v>
      </c>
      <c r="X58" s="108">
        <f t="shared" ref="X58:AH58" si="119">X25-X46</f>
        <v>103957.24890357757</v>
      </c>
      <c r="Y58" s="108">
        <f t="shared" si="119"/>
        <v>217693.13570165282</v>
      </c>
      <c r="Z58" s="108">
        <f t="shared" si="119"/>
        <v>41181.104072043643</v>
      </c>
      <c r="AA58" s="108">
        <f t="shared" si="119"/>
        <v>-48979.683515790559</v>
      </c>
      <c r="AB58" s="108">
        <f t="shared" si="119"/>
        <v>-81244.015737575595</v>
      </c>
      <c r="AC58" s="108">
        <f t="shared" si="119"/>
        <v>-113798.17564627936</v>
      </c>
      <c r="AD58" s="108">
        <f t="shared" si="119"/>
        <v>-51423.618418395577</v>
      </c>
      <c r="AE58" s="108">
        <f t="shared" si="119"/>
        <v>-152862.8004905546</v>
      </c>
      <c r="AF58" s="108">
        <f t="shared" si="119"/>
        <v>-22294.196886547899</v>
      </c>
      <c r="AG58" s="108">
        <f t="shared" si="119"/>
        <v>-5665.0359182761749</v>
      </c>
      <c r="AH58" s="108">
        <f t="shared" si="119"/>
        <v>-93070.602993329812</v>
      </c>
      <c r="AI58" s="108">
        <f t="shared" ref="AI58:AU58" si="120">AI25-AI46</f>
        <v>-95802.008537393413</v>
      </c>
      <c r="AJ58" s="108">
        <f t="shared" si="120"/>
        <v>95363.631446271669</v>
      </c>
      <c r="AK58" s="108">
        <f t="shared" si="120"/>
        <v>153248.24184955488</v>
      </c>
      <c r="AL58" s="108">
        <f t="shared" si="120"/>
        <v>-207311.34151456892</v>
      </c>
      <c r="AM58" s="108">
        <f t="shared" si="120"/>
        <v>295289.18612838024</v>
      </c>
      <c r="AN58" s="108">
        <f t="shared" si="120"/>
        <v>409277.38656340429</v>
      </c>
      <c r="AO58" s="108">
        <f t="shared" si="120"/>
        <v>-61631.735505510602</v>
      </c>
      <c r="AP58" s="108">
        <f t="shared" si="120"/>
        <v>-50395.039080673545</v>
      </c>
      <c r="AQ58" s="108">
        <f t="shared" si="120"/>
        <v>-78003.441589555092</v>
      </c>
      <c r="AR58" s="108">
        <f t="shared" si="120"/>
        <v>-99452.819046394507</v>
      </c>
      <c r="AS58" s="108">
        <f t="shared" si="120"/>
        <v>-131481.37667994321</v>
      </c>
      <c r="AT58" s="108">
        <f t="shared" si="120"/>
        <v>-99628.536856624531</v>
      </c>
      <c r="AU58" s="108">
        <f t="shared" si="120"/>
        <v>-49177.454936854156</v>
      </c>
      <c r="AV58" s="108">
        <f t="shared" ref="AV58:BF58" si="121">AV25-AV46</f>
        <v>-78952.518758305814</v>
      </c>
      <c r="AW58" s="108">
        <f t="shared" si="121"/>
        <v>-269372.19973287411</v>
      </c>
      <c r="AX58" s="108">
        <f t="shared" si="121"/>
        <v>-1180.7594693804513</v>
      </c>
      <c r="AY58" s="108">
        <f t="shared" si="121"/>
        <v>-53264.446315739326</v>
      </c>
      <c r="AZ58" s="108">
        <f t="shared" si="121"/>
        <v>32932.694017842434</v>
      </c>
      <c r="BA58" s="108">
        <f t="shared" si="121"/>
        <v>16323.611227848474</v>
      </c>
      <c r="BB58" s="108">
        <f t="shared" si="121"/>
        <v>17608.704257616911</v>
      </c>
      <c r="BC58" s="108">
        <f t="shared" si="121"/>
        <v>64451.458571279458</v>
      </c>
      <c r="BD58" s="108">
        <f t="shared" si="121"/>
        <v>23558.607933144107</v>
      </c>
      <c r="BE58" s="108">
        <f t="shared" si="121"/>
        <v>78632.770873865491</v>
      </c>
      <c r="BF58" s="108">
        <f t="shared" si="121"/>
        <v>30546.231971518719</v>
      </c>
      <c r="BG58" s="108">
        <f t="shared" ref="BG58" si="122">BG25-BG46</f>
        <v>19154.61361283415</v>
      </c>
      <c r="BH58" s="107">
        <f t="shared" si="118"/>
        <v>16963.428851751956</v>
      </c>
      <c r="BI58" s="111">
        <f t="shared" si="118"/>
        <v>55794.07332232155</v>
      </c>
      <c r="BJ58" s="112">
        <f t="shared" si="118"/>
        <v>28923.154171025868</v>
      </c>
    </row>
    <row r="59" spans="1:64" x14ac:dyDescent="0.25">
      <c r="B59" s="97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5"/>
      <c r="BI59" s="96"/>
      <c r="BJ59" s="99"/>
    </row>
    <row r="60" spans="1:64" x14ac:dyDescent="0.25">
      <c r="A60" s="69" t="s">
        <v>70</v>
      </c>
      <c r="B60" s="97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5"/>
      <c r="BI60" s="96"/>
      <c r="BJ60" s="99"/>
    </row>
    <row r="61" spans="1:64" x14ac:dyDescent="0.25">
      <c r="A61" s="69" t="s">
        <v>0</v>
      </c>
      <c r="B61" s="107">
        <f>B54</f>
        <v>0</v>
      </c>
      <c r="C61" s="111">
        <f t="shared" ref="C61:BJ61" si="123">B61+C54+B68</f>
        <v>0</v>
      </c>
      <c r="D61" s="111">
        <f t="shared" si="123"/>
        <v>109165.05951390543</v>
      </c>
      <c r="E61" s="111">
        <f t="shared" si="123"/>
        <v>589973.05797724216</v>
      </c>
      <c r="F61" s="111">
        <f t="shared" si="123"/>
        <v>1625898.6002303143</v>
      </c>
      <c r="G61" s="111">
        <f t="shared" si="123"/>
        <v>830908.3404646602</v>
      </c>
      <c r="H61" s="111">
        <f t="shared" si="123"/>
        <v>-129084.66537233327</v>
      </c>
      <c r="I61" s="111">
        <f t="shared" si="123"/>
        <v>-9644.0145489684128</v>
      </c>
      <c r="J61" s="111">
        <f t="shared" si="123"/>
        <v>-660431.30714965402</v>
      </c>
      <c r="K61" s="111">
        <f t="shared" si="123"/>
        <v>-377213.32380364108</v>
      </c>
      <c r="L61" s="111">
        <f t="shared" si="123"/>
        <v>380939.22856917302</v>
      </c>
      <c r="M61" s="111">
        <f t="shared" si="123"/>
        <v>283477.57931506872</v>
      </c>
      <c r="N61" s="111">
        <f>M61+N54+M68</f>
        <v>-578960.74851075851</v>
      </c>
      <c r="O61" s="111">
        <f>N61+O54+N68+N78</f>
        <v>1561544.4296673187</v>
      </c>
      <c r="P61" s="111">
        <f>O61+P54+O68</f>
        <v>1403181.9679555907</v>
      </c>
      <c r="Q61" s="111">
        <f t="shared" si="123"/>
        <v>540106.0080039663</v>
      </c>
      <c r="R61" s="111">
        <f t="shared" si="123"/>
        <v>1384812.4605871045</v>
      </c>
      <c r="S61" s="111">
        <f t="shared" si="123"/>
        <v>1906170.535815618</v>
      </c>
      <c r="T61" s="111">
        <f t="shared" si="123"/>
        <v>853260.70683479868</v>
      </c>
      <c r="U61" s="111">
        <f t="shared" si="123"/>
        <v>787228.04028422991</v>
      </c>
      <c r="V61" s="111">
        <f t="shared" si="123"/>
        <v>655718.44409265614</v>
      </c>
      <c r="W61" s="108">
        <f t="shared" si="123"/>
        <v>627209.11943994742</v>
      </c>
      <c r="X61" s="108">
        <f t="shared" ref="X61:X65" si="124">W61+X54+W68</f>
        <v>486877.86520315713</v>
      </c>
      <c r="Y61" s="108">
        <f t="shared" ref="Y61:Y65" si="125">X61+Y54+X68</f>
        <v>389557.29746406822</v>
      </c>
      <c r="Z61" s="108">
        <f t="shared" ref="Z61:Z65" si="126">Y61+Z54+Y68</f>
        <v>-1423273.8688298648</v>
      </c>
      <c r="AA61" s="108">
        <f t="shared" ref="AA61:AA65" si="127">Z61+AA54+Z68</f>
        <v>-2994138.5227227453</v>
      </c>
      <c r="AB61" s="108">
        <f t="shared" ref="AB61:AB65" si="128">AA61+AB54+AA68</f>
        <v>-4063238.3178925966</v>
      </c>
      <c r="AC61" s="108">
        <f t="shared" ref="AC61:AC65" si="129">AB61+AC54+AB68</f>
        <v>-4781905.4610857796</v>
      </c>
      <c r="AD61" s="108">
        <f t="shared" ref="AD61:AD65" si="130">AC61+AD54+AC68</f>
        <v>-5272755.8266662993</v>
      </c>
      <c r="AE61" s="108">
        <f t="shared" ref="AE61:AE65" si="131">AD61+AE54+AD68</f>
        <v>-5838876.5269992081</v>
      </c>
      <c r="AF61" s="108">
        <f t="shared" ref="AF61:AF65" si="132">AE61+AF54+AE68</f>
        <v>-6655480.2968338039</v>
      </c>
      <c r="AG61" s="108">
        <f t="shared" ref="AG61:AG65" si="133">AF61+AG54+AF68</f>
        <v>-7329639.0293117482</v>
      </c>
      <c r="AH61" s="108">
        <f t="shared" ref="AH61:AH65" si="134">AG61+AH54+AG68</f>
        <v>-8443181.2222932652</v>
      </c>
      <c r="AI61" s="108">
        <f t="shared" ref="AI61:AI65" si="135">AH61+AI54+AH68</f>
        <v>-8961991.3541362192</v>
      </c>
      <c r="AJ61" s="108">
        <f>AI61+AJ54+AI68</f>
        <v>-8998274.1105460227</v>
      </c>
      <c r="AK61" s="108">
        <f t="shared" ref="AK61:AK65" si="136">AJ61+AK54+AJ68</f>
        <v>-9230836.1197023112</v>
      </c>
      <c r="AL61" s="108">
        <f t="shared" ref="AL61:AL65" si="137">AK61+AL54+AK68</f>
        <v>-11978365.950873958</v>
      </c>
      <c r="AM61" s="108">
        <f t="shared" ref="AM61:AM65" si="138">AL61+AM54+AL68</f>
        <v>-8168845.6689021643</v>
      </c>
      <c r="AN61" s="108">
        <f t="shared" ref="AN61:AN65" si="139">AM61+AN54+AM68</f>
        <v>-6245447.7936808374</v>
      </c>
      <c r="AO61" s="108">
        <f t="shared" ref="AO61:AO65" si="140">AN61+AO54+AN68</f>
        <v>-5639386.0169920493</v>
      </c>
      <c r="AP61" s="108">
        <f t="shared" ref="AP61:AP65" si="141">AO61+AP54+AO68</f>
        <v>-5145898.8418924706</v>
      </c>
      <c r="AQ61" s="108">
        <f t="shared" ref="AQ61:AQ65" si="142">AP61+AQ54+AP68</f>
        <v>-4432546.9955827491</v>
      </c>
      <c r="AR61" s="108">
        <f t="shared" ref="AR61:AR65" si="143">AQ61+AR54+AQ68</f>
        <v>-2314520.002110126</v>
      </c>
      <c r="AS61" s="108">
        <f t="shared" ref="AS61:AS65" si="144">AR61+AS54+AR68</f>
        <v>-2458271.0232020309</v>
      </c>
      <c r="AT61" s="108">
        <f t="shared" ref="AT61:AT65" si="145">AS61+AT54+AS68</f>
        <v>-1548420.554011018</v>
      </c>
      <c r="AU61" s="108">
        <f t="shared" ref="AU61:AU65" si="146">AT61+AU54+AT68</f>
        <v>-863052.70363635733</v>
      </c>
      <c r="AV61" s="108">
        <f t="shared" ref="AV61:AV65" si="147">AU61+AV54+AU68</f>
        <v>-244642.31299651708</v>
      </c>
      <c r="AW61" s="108">
        <f t="shared" ref="AW61:AW65" si="148">AV61+AW54+AV68</f>
        <v>2715518.4762131241</v>
      </c>
      <c r="AX61" s="108">
        <f t="shared" ref="AX61:AX65" si="149">AW61+AX54+AW68</f>
        <v>2832676.554577129</v>
      </c>
      <c r="AY61" s="108">
        <f t="shared" ref="AY61:AY65" si="150">AX61+AY54+AX68</f>
        <v>3306513.5774938357</v>
      </c>
      <c r="AZ61" s="108">
        <f t="shared" ref="AZ61:AZ65" si="151">AY61+AZ54+AY68</f>
        <v>3182489.4780444386</v>
      </c>
      <c r="BA61" s="108">
        <f t="shared" ref="BA61:BA65" si="152">AZ61+BA54+AZ68</f>
        <v>3077224.7538019465</v>
      </c>
      <c r="BB61" s="108">
        <f t="shared" ref="BB61:BB65" si="153">BA61+BB54+BA68</f>
        <v>2986513.0222536805</v>
      </c>
      <c r="BC61" s="108">
        <f t="shared" ref="BC61:BC65" si="154">BB61+BC54+BB68</f>
        <v>2861403.9776689373</v>
      </c>
      <c r="BD61" s="108">
        <f t="shared" ref="BD61:BD65" si="155">BC61+BD54+BC68</f>
        <v>2691757.3576762392</v>
      </c>
      <c r="BE61" s="108">
        <f t="shared" ref="BE61:BE65" si="156">BD61+BE54+BD68</f>
        <v>2530638.1348117599</v>
      </c>
      <c r="BF61" s="108">
        <f t="shared" ref="BF61:BG65" si="157">BE61+BF54+BE68</f>
        <v>2385352.7837650129</v>
      </c>
      <c r="BG61" s="108">
        <f t="shared" si="157"/>
        <v>2287478.1575878439</v>
      </c>
      <c r="BH61" s="107">
        <f>BG61+BH54+BG68</f>
        <v>2184288.5490268469</v>
      </c>
      <c r="BI61" s="111">
        <f>BH61+BI54+BH68+BH78</f>
        <v>2035308.9875942098</v>
      </c>
      <c r="BJ61" s="112">
        <f t="shared" si="123"/>
        <v>1849761.217618264</v>
      </c>
    </row>
    <row r="62" spans="1:64" x14ac:dyDescent="0.25">
      <c r="A62" s="69" t="s">
        <v>4</v>
      </c>
      <c r="B62" s="107">
        <f>B55</f>
        <v>0</v>
      </c>
      <c r="C62" s="111">
        <f t="shared" ref="C62:J65" si="158">B62+C55+B69</f>
        <v>0</v>
      </c>
      <c r="D62" s="111">
        <f t="shared" si="158"/>
        <v>80396.905524086716</v>
      </c>
      <c r="E62" s="111">
        <f t="shared" si="158"/>
        <v>102813.45185985549</v>
      </c>
      <c r="F62" s="111">
        <f t="shared" si="158"/>
        <v>138526.47892182056</v>
      </c>
      <c r="G62" s="111">
        <f t="shared" si="158"/>
        <v>-166981.5220366084</v>
      </c>
      <c r="H62" s="111">
        <f t="shared" si="158"/>
        <v>-575235.63754407014</v>
      </c>
      <c r="I62" s="111">
        <f t="shared" si="158"/>
        <v>-849210.96389791986</v>
      </c>
      <c r="J62" s="111">
        <f t="shared" si="158"/>
        <v>-1275617.0144971686</v>
      </c>
      <c r="K62" s="111">
        <f t="shared" ref="K62:BJ62" si="159">J62+K55+J69</f>
        <v>-1409573.1245181714</v>
      </c>
      <c r="L62" s="111">
        <f t="shared" si="159"/>
        <v>-1442918.8061106028</v>
      </c>
      <c r="M62" s="111">
        <f t="shared" si="159"/>
        <v>-1576142.6739830303</v>
      </c>
      <c r="N62" s="111">
        <f t="shared" si="159"/>
        <v>-1687725.6442405146</v>
      </c>
      <c r="O62" s="111">
        <f>N62+O55+N69+N79</f>
        <v>-1378496.5915851805</v>
      </c>
      <c r="P62" s="111">
        <f t="shared" si="159"/>
        <v>-1343601.144009212</v>
      </c>
      <c r="Q62" s="111">
        <f t="shared" si="159"/>
        <v>-1211472.5298968242</v>
      </c>
      <c r="R62" s="111">
        <f t="shared" si="159"/>
        <v>-1004877.3485251167</v>
      </c>
      <c r="S62" s="111">
        <f t="shared" si="159"/>
        <v>-801680.32903609436</v>
      </c>
      <c r="T62" s="111">
        <f t="shared" si="159"/>
        <v>-747082.308351179</v>
      </c>
      <c r="U62" s="111">
        <f t="shared" si="159"/>
        <v>-459484.21249874542</v>
      </c>
      <c r="V62" s="111">
        <f t="shared" si="159"/>
        <v>-282291.87249945168</v>
      </c>
      <c r="W62" s="108">
        <f t="shared" si="159"/>
        <v>-4137.0097106754265</v>
      </c>
      <c r="X62" s="108">
        <f t="shared" si="124"/>
        <v>153665.93228529237</v>
      </c>
      <c r="Y62" s="108">
        <f t="shared" si="125"/>
        <v>585383.48561580118</v>
      </c>
      <c r="Z62" s="108">
        <f t="shared" si="126"/>
        <v>667801.00918764272</v>
      </c>
      <c r="AA62" s="108">
        <f t="shared" si="127"/>
        <v>242102.33086920111</v>
      </c>
      <c r="AB62" s="108">
        <f t="shared" si="128"/>
        <v>96385.609443947687</v>
      </c>
      <c r="AC62" s="108">
        <f t="shared" si="129"/>
        <v>-124509.65597248398</v>
      </c>
      <c r="AD62" s="108">
        <f t="shared" si="130"/>
        <v>-189805.39601764904</v>
      </c>
      <c r="AE62" s="108">
        <f t="shared" si="131"/>
        <v>-462030.17377120256</v>
      </c>
      <c r="AF62" s="108">
        <f t="shared" si="132"/>
        <v>-638410.19851584511</v>
      </c>
      <c r="AG62" s="108">
        <f t="shared" si="133"/>
        <v>-645693.78582353052</v>
      </c>
      <c r="AH62" s="108">
        <f t="shared" si="134"/>
        <v>-830091.6672704732</v>
      </c>
      <c r="AI62" s="108">
        <f t="shared" si="135"/>
        <v>-1000695.2000234134</v>
      </c>
      <c r="AJ62" s="108">
        <f t="shared" ref="AJ62:AJ65" si="160">AI62+AJ55+AI69</f>
        <v>-833903.26744487893</v>
      </c>
      <c r="AK62" s="108">
        <f t="shared" si="136"/>
        <v>-502113.24061527051</v>
      </c>
      <c r="AL62" s="108">
        <f t="shared" si="137"/>
        <v>-943818.33890935103</v>
      </c>
      <c r="AM62" s="108">
        <f t="shared" si="138"/>
        <v>469447.39398502168</v>
      </c>
      <c r="AN62" s="108">
        <f t="shared" si="139"/>
        <v>1671485.8903633626</v>
      </c>
      <c r="AO62" s="108">
        <f t="shared" si="140"/>
        <v>1558698.2061604832</v>
      </c>
      <c r="AP62" s="108">
        <f t="shared" si="141"/>
        <v>1471587.4783701808</v>
      </c>
      <c r="AQ62" s="108">
        <f t="shared" si="142"/>
        <v>1339547.424538597</v>
      </c>
      <c r="AR62" s="108">
        <f t="shared" si="143"/>
        <v>1126783.9035833874</v>
      </c>
      <c r="AS62" s="108">
        <f t="shared" si="144"/>
        <v>860912.90325371479</v>
      </c>
      <c r="AT62" s="108">
        <f t="shared" si="145"/>
        <v>670469.52470767917</v>
      </c>
      <c r="AU62" s="108">
        <f t="shared" si="146"/>
        <v>593960.29368378385</v>
      </c>
      <c r="AV62" s="108">
        <f t="shared" si="147"/>
        <v>447788.34282184037</v>
      </c>
      <c r="AW62" s="108">
        <f t="shared" si="148"/>
        <v>-178349.51321677887</v>
      </c>
      <c r="AX62" s="108">
        <f t="shared" si="149"/>
        <v>-176563.13238644169</v>
      </c>
      <c r="AY62" s="108">
        <f t="shared" si="150"/>
        <v>-279478.27357936703</v>
      </c>
      <c r="AZ62" s="108">
        <f t="shared" si="151"/>
        <v>-261598.38127993408</v>
      </c>
      <c r="BA62" s="108">
        <f t="shared" si="152"/>
        <v>-284014.46851566661</v>
      </c>
      <c r="BB62" s="108">
        <f t="shared" si="153"/>
        <v>-302277.51100861898</v>
      </c>
      <c r="BC62" s="108">
        <f t="shared" si="154"/>
        <v>-274533.74350124336</v>
      </c>
      <c r="BD62" s="108">
        <f t="shared" si="155"/>
        <v>-292817.40024881577</v>
      </c>
      <c r="BE62" s="108">
        <f t="shared" si="156"/>
        <v>-170000.03217252373</v>
      </c>
      <c r="BF62" s="108">
        <f t="shared" si="157"/>
        <v>-172545.3982185144</v>
      </c>
      <c r="BG62" s="108">
        <f t="shared" si="157"/>
        <v>-192044.74248527092</v>
      </c>
      <c r="BH62" s="107">
        <f t="shared" ref="BH62:BH65" si="161">BG62+BH55+BG69</f>
        <v>-215263.75707625315</v>
      </c>
      <c r="BI62" s="111">
        <f t="shared" si="159"/>
        <v>-138445.65263832756</v>
      </c>
      <c r="BJ62" s="112">
        <f t="shared" si="159"/>
        <v>-138945.83764295845</v>
      </c>
    </row>
    <row r="63" spans="1:64" x14ac:dyDescent="0.25">
      <c r="A63" s="69" t="s">
        <v>5</v>
      </c>
      <c r="B63" s="107">
        <f>B56</f>
        <v>0</v>
      </c>
      <c r="C63" s="111">
        <f t="shared" si="158"/>
        <v>0</v>
      </c>
      <c r="D63" s="111">
        <f t="shared" si="158"/>
        <v>184247.82933918544</v>
      </c>
      <c r="E63" s="111">
        <f t="shared" si="158"/>
        <v>239746.06307966658</v>
      </c>
      <c r="F63" s="111">
        <f t="shared" si="158"/>
        <v>347223.76684618538</v>
      </c>
      <c r="G63" s="111">
        <f t="shared" si="158"/>
        <v>-373866.59460612811</v>
      </c>
      <c r="H63" s="111">
        <f t="shared" si="158"/>
        <v>-1298768.7578778537</v>
      </c>
      <c r="I63" s="111">
        <f t="shared" si="158"/>
        <v>-1921556.8028235878</v>
      </c>
      <c r="J63" s="111">
        <f t="shared" si="158"/>
        <v>-2933611.5707220067</v>
      </c>
      <c r="K63" s="111">
        <f t="shared" ref="K63:BJ63" si="162">J63+K56+J70</f>
        <v>-3262107.9240275351</v>
      </c>
      <c r="L63" s="111">
        <f t="shared" si="162"/>
        <v>-3347467.7467627646</v>
      </c>
      <c r="M63" s="111">
        <f t="shared" si="162"/>
        <v>-3648540.3155675363</v>
      </c>
      <c r="N63" s="111">
        <f>M63+N56+M70</f>
        <v>-3888875.9796365574</v>
      </c>
      <c r="O63" s="111">
        <f>N63+O56+N70+N80</f>
        <v>-3083427.2186984839</v>
      </c>
      <c r="P63" s="111">
        <f t="shared" si="162"/>
        <v>-3013119.2398183146</v>
      </c>
      <c r="Q63" s="111">
        <f t="shared" si="162"/>
        <v>-2702118.3462942205</v>
      </c>
      <c r="R63" s="111">
        <f t="shared" si="162"/>
        <v>-2190714.3151475703</v>
      </c>
      <c r="S63" s="111">
        <f t="shared" si="162"/>
        <v>-1712851.1106762041</v>
      </c>
      <c r="T63" s="111">
        <f t="shared" si="162"/>
        <v>-1602888.6006580628</v>
      </c>
      <c r="U63" s="111">
        <f t="shared" si="162"/>
        <v>-958785.54231824819</v>
      </c>
      <c r="V63" s="111">
        <f t="shared" si="162"/>
        <v>-544710.04664233013</v>
      </c>
      <c r="W63" s="108">
        <f t="shared" si="162"/>
        <v>122943.25303877279</v>
      </c>
      <c r="X63" s="108">
        <f t="shared" si="124"/>
        <v>499353.29037138692</v>
      </c>
      <c r="Y63" s="108">
        <f t="shared" si="125"/>
        <v>1489940.4573800988</v>
      </c>
      <c r="Z63" s="108">
        <f t="shared" si="126"/>
        <v>1660794.1605223157</v>
      </c>
      <c r="AA63" s="108">
        <f t="shared" si="127"/>
        <v>774644.12372217688</v>
      </c>
      <c r="AB63" s="108">
        <f t="shared" si="128"/>
        <v>443924.13154576148</v>
      </c>
      <c r="AC63" s="108">
        <f t="shared" si="129"/>
        <v>-65653.860542315306</v>
      </c>
      <c r="AD63" s="108">
        <f t="shared" si="130"/>
        <v>-236965.032160884</v>
      </c>
      <c r="AE63" s="108">
        <f t="shared" si="131"/>
        <v>-886941.87713201239</v>
      </c>
      <c r="AF63" s="108">
        <f t="shared" si="132"/>
        <v>-1294913.8291460997</v>
      </c>
      <c r="AG63" s="108">
        <f t="shared" si="133"/>
        <v>-1322563.6424017348</v>
      </c>
      <c r="AH63" s="108">
        <f t="shared" si="134"/>
        <v>-1771460.1514402423</v>
      </c>
      <c r="AI63" s="108">
        <f t="shared" si="135"/>
        <v>-2197441.0514962152</v>
      </c>
      <c r="AJ63" s="108">
        <f t="shared" si="160"/>
        <v>-1802929.4041441968</v>
      </c>
      <c r="AK63" s="108">
        <f t="shared" si="136"/>
        <v>-1091310.5663151063</v>
      </c>
      <c r="AL63" s="108">
        <f t="shared" si="137"/>
        <v>-2050448.7087681273</v>
      </c>
      <c r="AM63" s="108">
        <f t="shared" si="138"/>
        <v>800701.49118278304</v>
      </c>
      <c r="AN63" s="108">
        <f t="shared" si="139"/>
        <v>3286776.4282847992</v>
      </c>
      <c r="AO63" s="108">
        <f t="shared" si="140"/>
        <v>3041200.7121150927</v>
      </c>
      <c r="AP63" s="108">
        <f t="shared" si="141"/>
        <v>2821699.892436415</v>
      </c>
      <c r="AQ63" s="108">
        <f t="shared" si="142"/>
        <v>2508127.1516803876</v>
      </c>
      <c r="AR63" s="108">
        <f t="shared" si="143"/>
        <v>2031187.6353604624</v>
      </c>
      <c r="AS63" s="108">
        <f t="shared" si="144"/>
        <v>1438534.2208246079</v>
      </c>
      <c r="AT63" s="108">
        <f t="shared" si="145"/>
        <v>993454.29960635805</v>
      </c>
      <c r="AU63" s="108">
        <f t="shared" si="146"/>
        <v>811758.98032327683</v>
      </c>
      <c r="AV63" s="108">
        <f t="shared" si="147"/>
        <v>469986.49054891604</v>
      </c>
      <c r="AW63" s="108">
        <f t="shared" si="148"/>
        <v>-882570.31001384079</v>
      </c>
      <c r="AX63" s="108">
        <f t="shared" si="149"/>
        <v>-880152.95312271314</v>
      </c>
      <c r="AY63" s="108">
        <f t="shared" si="150"/>
        <v>-1082192.080814414</v>
      </c>
      <c r="AZ63" s="108">
        <f t="shared" si="151"/>
        <v>-1008422.1041193261</v>
      </c>
      <c r="BA63" s="108">
        <f t="shared" si="152"/>
        <v>-1030028.2770741419</v>
      </c>
      <c r="BB63" s="108">
        <f t="shared" si="153"/>
        <v>-1044203.3594008483</v>
      </c>
      <c r="BC63" s="108">
        <f t="shared" si="154"/>
        <v>-944385.56694543036</v>
      </c>
      <c r="BD63" s="108">
        <f t="shared" si="155"/>
        <v>-941966.19455411658</v>
      </c>
      <c r="BE63" s="108">
        <f t="shared" si="156"/>
        <v>-626860.93982887466</v>
      </c>
      <c r="BF63" s="108">
        <f t="shared" si="157"/>
        <v>-591010.34070375143</v>
      </c>
      <c r="BG63" s="108">
        <f t="shared" si="157"/>
        <v>-602575.10716452228</v>
      </c>
      <c r="BH63" s="107">
        <f t="shared" si="161"/>
        <v>-623847.5770799591</v>
      </c>
      <c r="BI63" s="111">
        <f t="shared" si="162"/>
        <v>-422506.26258618216</v>
      </c>
      <c r="BJ63" s="112">
        <f t="shared" si="162"/>
        <v>-382046.60384548357</v>
      </c>
    </row>
    <row r="64" spans="1:64" x14ac:dyDescent="0.25">
      <c r="A64" s="69" t="s">
        <v>6</v>
      </c>
      <c r="B64" s="107">
        <f>B57</f>
        <v>0</v>
      </c>
      <c r="C64" s="111">
        <f t="shared" si="158"/>
        <v>0</v>
      </c>
      <c r="D64" s="111">
        <f t="shared" si="158"/>
        <v>76446.845496259717</v>
      </c>
      <c r="E64" s="111">
        <f t="shared" si="158"/>
        <v>101418.91784118135</v>
      </c>
      <c r="F64" s="111">
        <f t="shared" si="158"/>
        <v>139530.53682996024</v>
      </c>
      <c r="G64" s="111">
        <f t="shared" si="158"/>
        <v>-118797.95866002348</v>
      </c>
      <c r="H64" s="111">
        <f t="shared" si="158"/>
        <v>-506313.86538267171</v>
      </c>
      <c r="I64" s="111">
        <f t="shared" si="158"/>
        <v>-760557.32470014202</v>
      </c>
      <c r="J64" s="111">
        <f t="shared" si="158"/>
        <v>-1206770.5725644981</v>
      </c>
      <c r="K64" s="111">
        <f t="shared" ref="K64:BJ64" si="163">J64+K57+J71</f>
        <v>-1346538.2121681424</v>
      </c>
      <c r="L64" s="111">
        <f t="shared" si="163"/>
        <v>-1384282.0669951139</v>
      </c>
      <c r="M64" s="111">
        <f t="shared" si="163"/>
        <v>-1514314.6421503103</v>
      </c>
      <c r="N64" s="111">
        <f>M64+N57+M71</f>
        <v>-1616506.4047370318</v>
      </c>
      <c r="O64" s="111">
        <f>N64+O57+N71+N81</f>
        <v>-1309206.877318915</v>
      </c>
      <c r="P64" s="111">
        <f t="shared" si="163"/>
        <v>-1278897.8893600819</v>
      </c>
      <c r="Q64" s="111">
        <f t="shared" si="163"/>
        <v>-1133513.807748754</v>
      </c>
      <c r="R64" s="111">
        <f t="shared" si="163"/>
        <v>-897902.48844920751</v>
      </c>
      <c r="S64" s="111">
        <f t="shared" si="163"/>
        <v>-674766.40212578501</v>
      </c>
      <c r="T64" s="111">
        <f t="shared" si="163"/>
        <v>-628231.88200496754</v>
      </c>
      <c r="U64" s="111">
        <f t="shared" si="163"/>
        <v>-348258.24469140184</v>
      </c>
      <c r="V64" s="111">
        <f t="shared" si="163"/>
        <v>-164376.30719367819</v>
      </c>
      <c r="W64" s="108">
        <f t="shared" si="163"/>
        <v>137520.43727339146</v>
      </c>
      <c r="X64" s="108">
        <f t="shared" si="124"/>
        <v>308553.27014866745</v>
      </c>
      <c r="Y64" s="108">
        <f t="shared" si="125"/>
        <v>759209.95408458391</v>
      </c>
      <c r="Z64" s="108">
        <f t="shared" si="126"/>
        <v>818356.90786013415</v>
      </c>
      <c r="AA64" s="108">
        <f t="shared" si="127"/>
        <v>491302.73827720131</v>
      </c>
      <c r="AB64" s="108">
        <f t="shared" si="128"/>
        <v>330661.76084279275</v>
      </c>
      <c r="AC64" s="108">
        <f t="shared" si="129"/>
        <v>106859.08413861504</v>
      </c>
      <c r="AD64" s="108">
        <f t="shared" si="130"/>
        <v>14712.411763822518</v>
      </c>
      <c r="AE64" s="108">
        <f t="shared" si="131"/>
        <v>-284088.79489977966</v>
      </c>
      <c r="AF64" s="108">
        <f t="shared" si="132"/>
        <v>-471345.99894447549</v>
      </c>
      <c r="AG64" s="108">
        <f t="shared" si="133"/>
        <v>-493066.82996370061</v>
      </c>
      <c r="AH64" s="108">
        <f t="shared" si="134"/>
        <v>-695676.3538476259</v>
      </c>
      <c r="AI64" s="108">
        <f t="shared" si="135"/>
        <v>-899181.70677924249</v>
      </c>
      <c r="AJ64" s="108">
        <f t="shared" si="160"/>
        <v>-723648.41214242973</v>
      </c>
      <c r="AK64" s="108">
        <f t="shared" si="136"/>
        <v>-404780.2428206795</v>
      </c>
      <c r="AL64" s="108">
        <f t="shared" si="137"/>
        <v>-784802.23458813701</v>
      </c>
      <c r="AM64" s="108">
        <f t="shared" si="138"/>
        <v>262105.72688193602</v>
      </c>
      <c r="AN64" s="108">
        <f t="shared" si="139"/>
        <v>1266393.5803597115</v>
      </c>
      <c r="AO64" s="108">
        <f t="shared" si="140"/>
        <v>1152692.7262524802</v>
      </c>
      <c r="AP64" s="108">
        <f t="shared" si="141"/>
        <v>1057331.7413682572</v>
      </c>
      <c r="AQ64" s="108">
        <f t="shared" si="142"/>
        <v>914951.64962533815</v>
      </c>
      <c r="AR64" s="108">
        <f t="shared" si="143"/>
        <v>715203.42311983486</v>
      </c>
      <c r="AS64" s="108">
        <f t="shared" si="144"/>
        <v>460674.68695494375</v>
      </c>
      <c r="AT64" s="108">
        <f t="shared" si="145"/>
        <v>272406.50817970815</v>
      </c>
      <c r="AU64" s="108">
        <f t="shared" si="146"/>
        <v>192160.02434106573</v>
      </c>
      <c r="AV64" s="108">
        <f t="shared" si="147"/>
        <v>38976.320973345806</v>
      </c>
      <c r="AW64" s="108">
        <f t="shared" si="148"/>
        <v>-521579.6903831368</v>
      </c>
      <c r="AX64" s="108">
        <f t="shared" si="149"/>
        <v>-521460.86967910011</v>
      </c>
      <c r="AY64" s="108">
        <f t="shared" si="150"/>
        <v>-613548.01440026332</v>
      </c>
      <c r="AZ64" s="108">
        <f t="shared" si="151"/>
        <v>-573592.46012456925</v>
      </c>
      <c r="BA64" s="108">
        <f t="shared" si="152"/>
        <v>-573118.92732912197</v>
      </c>
      <c r="BB64" s="108">
        <f t="shared" si="153"/>
        <v>-570047.08638640959</v>
      </c>
      <c r="BC64" s="108">
        <f t="shared" si="154"/>
        <v>-513529.16720036976</v>
      </c>
      <c r="BD64" s="108">
        <f t="shared" si="155"/>
        <v>-500392.5576108711</v>
      </c>
      <c r="BE64" s="108">
        <f t="shared" si="156"/>
        <v>-353061.65976682911</v>
      </c>
      <c r="BF64" s="108">
        <f t="shared" si="157"/>
        <v>-324904.07958158082</v>
      </c>
      <c r="BG64" s="108">
        <f t="shared" si="157"/>
        <v>-318763.3547991495</v>
      </c>
      <c r="BH64" s="107">
        <f t="shared" si="161"/>
        <v>-317543.17761840887</v>
      </c>
      <c r="BI64" s="111">
        <f t="shared" si="163"/>
        <v>-223861.95583126071</v>
      </c>
      <c r="BJ64" s="112">
        <f t="shared" si="163"/>
        <v>-195173.0135899022</v>
      </c>
    </row>
    <row r="65" spans="1:62" x14ac:dyDescent="0.25">
      <c r="A65" s="69" t="s">
        <v>7</v>
      </c>
      <c r="B65" s="107">
        <f>B58</f>
        <v>0</v>
      </c>
      <c r="C65" s="111">
        <f t="shared" si="158"/>
        <v>0</v>
      </c>
      <c r="D65" s="111">
        <f t="shared" si="158"/>
        <v>39321.070126562699</v>
      </c>
      <c r="E65" s="111">
        <f t="shared" si="158"/>
        <v>51964.190221674493</v>
      </c>
      <c r="F65" s="111">
        <f t="shared" si="158"/>
        <v>91306.855708299874</v>
      </c>
      <c r="G65" s="111">
        <f t="shared" si="158"/>
        <v>37512.667578153996</v>
      </c>
      <c r="H65" s="111">
        <f t="shared" si="158"/>
        <v>-159861.58413849736</v>
      </c>
      <c r="I65" s="111">
        <f t="shared" si="158"/>
        <v>-293853.76947427733</v>
      </c>
      <c r="J65" s="111">
        <f t="shared" si="158"/>
        <v>-531928.45316705783</v>
      </c>
      <c r="K65" s="111">
        <f t="shared" ref="K65:BJ65" si="164">J65+K58+J72</f>
        <v>-608992.47593978513</v>
      </c>
      <c r="L65" s="111">
        <f t="shared" si="164"/>
        <v>-628936.32732313976</v>
      </c>
      <c r="M65" s="111">
        <f t="shared" si="164"/>
        <v>-693542.36948293773</v>
      </c>
      <c r="N65" s="111">
        <f t="shared" si="164"/>
        <v>-744095.99512602703</v>
      </c>
      <c r="O65" s="111">
        <f>N65+O58+N72+N82</f>
        <v>-790294.40789481672</v>
      </c>
      <c r="P65" s="111">
        <f t="shared" si="164"/>
        <v>-770902.52109743224</v>
      </c>
      <c r="Q65" s="111">
        <f t="shared" si="164"/>
        <v>-693290.35676885</v>
      </c>
      <c r="R65" s="111">
        <f t="shared" si="164"/>
        <v>-570113.1914929006</v>
      </c>
      <c r="S65" s="111">
        <f t="shared" si="164"/>
        <v>-447759.91543479328</v>
      </c>
      <c r="T65" s="111">
        <f t="shared" si="164"/>
        <v>-418463.66976305988</v>
      </c>
      <c r="U65" s="111">
        <f t="shared" si="164"/>
        <v>-264158.00746715942</v>
      </c>
      <c r="V65" s="111">
        <f t="shared" si="164"/>
        <v>-161794.06694364158</v>
      </c>
      <c r="W65" s="108">
        <f t="shared" si="164"/>
        <v>-2151.804620284614</v>
      </c>
      <c r="X65" s="108">
        <f t="shared" si="124"/>
        <v>101802.84269771191</v>
      </c>
      <c r="Y65" s="108">
        <f t="shared" si="125"/>
        <v>319390.02627035143</v>
      </c>
      <c r="Z65" s="108">
        <f t="shared" si="126"/>
        <v>361043.17309787968</v>
      </c>
      <c r="AA65" s="108">
        <f t="shared" si="127"/>
        <v>312579.59658586216</v>
      </c>
      <c r="AB65" s="108">
        <f t="shared" si="128"/>
        <v>231811.63071746493</v>
      </c>
      <c r="AC65" s="108">
        <f t="shared" si="129"/>
        <v>118410.22888090691</v>
      </c>
      <c r="AD65" s="108">
        <f t="shared" si="130"/>
        <v>67214.668168635195</v>
      </c>
      <c r="AE65" s="108">
        <f t="shared" si="131"/>
        <v>-85524.972925006194</v>
      </c>
      <c r="AF65" s="108">
        <f t="shared" si="132"/>
        <v>-107981.63597222567</v>
      </c>
      <c r="AG65" s="108">
        <f t="shared" si="133"/>
        <v>-113857.88118093793</v>
      </c>
      <c r="AH65" s="108">
        <f t="shared" si="134"/>
        <v>-207149.12613623499</v>
      </c>
      <c r="AI65" s="108">
        <f t="shared" si="135"/>
        <v>-303353.17004288215</v>
      </c>
      <c r="AJ65" s="108">
        <f t="shared" si="160"/>
        <v>-208610.75861632265</v>
      </c>
      <c r="AK65" s="108">
        <f t="shared" si="136"/>
        <v>-55801.83642166065</v>
      </c>
      <c r="AL65" s="108">
        <f t="shared" si="137"/>
        <v>-263241.27007520333</v>
      </c>
      <c r="AM65" s="108">
        <f t="shared" si="138"/>
        <v>31418.397589403197</v>
      </c>
      <c r="AN65" s="108">
        <f t="shared" si="139"/>
        <v>440770.15126426361</v>
      </c>
      <c r="AO65" s="108">
        <f t="shared" si="140"/>
        <v>380162.4037914587</v>
      </c>
      <c r="AP65" s="108">
        <f t="shared" si="141"/>
        <v>330610.77844694472</v>
      </c>
      <c r="AQ65" s="108">
        <f t="shared" si="142"/>
        <v>253344.97386105088</v>
      </c>
      <c r="AR65" s="108">
        <f t="shared" si="143"/>
        <v>154451.63699915243</v>
      </c>
      <c r="AS65" s="108">
        <f t="shared" si="144"/>
        <v>23304.245123249515</v>
      </c>
      <c r="AT65" s="108">
        <f t="shared" si="145"/>
        <v>-76278.631143298917</v>
      </c>
      <c r="AU65" s="108">
        <f t="shared" si="146"/>
        <v>-125597.00258767193</v>
      </c>
      <c r="AV65" s="108">
        <f t="shared" si="147"/>
        <v>-204770.7742817062</v>
      </c>
      <c r="AW65" s="108">
        <f t="shared" si="148"/>
        <v>-474452.85857592785</v>
      </c>
      <c r="AX65" s="108">
        <f t="shared" si="149"/>
        <v>-476390.84441221808</v>
      </c>
      <c r="AY65" s="108">
        <f t="shared" si="150"/>
        <v>-530405.24028094113</v>
      </c>
      <c r="AZ65" s="108">
        <f t="shared" si="151"/>
        <v>-498269.73782516673</v>
      </c>
      <c r="BA65" s="108">
        <f t="shared" si="152"/>
        <v>-482730.31679790054</v>
      </c>
      <c r="BB65" s="108">
        <f t="shared" si="153"/>
        <v>-465499.13178453542</v>
      </c>
      <c r="BC65" s="108">
        <f t="shared" si="154"/>
        <v>-401097.74036029098</v>
      </c>
      <c r="BD65" s="108">
        <f t="shared" si="155"/>
        <v>-377581.12435232959</v>
      </c>
      <c r="BE65" s="108">
        <f t="shared" si="156"/>
        <v>-299009.28972286859</v>
      </c>
      <c r="BF65" s="108">
        <f t="shared" si="157"/>
        <v>-268497.09123788052</v>
      </c>
      <c r="BG65" s="108">
        <f t="shared" si="157"/>
        <v>-249370.20352967788</v>
      </c>
      <c r="BH65" s="107">
        <f t="shared" si="161"/>
        <v>-232448.33637851418</v>
      </c>
      <c r="BI65" s="111">
        <f t="shared" si="164"/>
        <v>-176693.00444558906</v>
      </c>
      <c r="BJ65" s="112">
        <f t="shared" si="164"/>
        <v>-147799.29910863744</v>
      </c>
    </row>
    <row r="66" spans="1:62" x14ac:dyDescent="0.25">
      <c r="B66" s="97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5"/>
      <c r="BI66" s="96"/>
      <c r="BJ66" s="99"/>
    </row>
    <row r="67" spans="1:62" x14ac:dyDescent="0.25">
      <c r="A67" s="69" t="s">
        <v>65</v>
      </c>
      <c r="B67" s="120">
        <v>0</v>
      </c>
      <c r="C67" s="121">
        <v>0</v>
      </c>
      <c r="D67" s="121">
        <f>0.731972%/12</f>
        <v>6.0997666666666656E-4</v>
      </c>
      <c r="E67" s="121">
        <f>0.745569%/12</f>
        <v>6.2130750000000004E-4</v>
      </c>
      <c r="F67" s="121">
        <f>0.755794%/12</f>
        <v>6.2982833333333329E-4</v>
      </c>
      <c r="G67" s="121">
        <f>0.626322%/12</f>
        <v>5.2193500000000006E-4</v>
      </c>
      <c r="H67" s="121">
        <f>0.629043%/12</f>
        <v>5.2420250000000004E-4</v>
      </c>
      <c r="I67" s="121">
        <f>0.764566%/12</f>
        <v>6.3713833333333325E-4</v>
      </c>
      <c r="J67" s="121">
        <f>0.75546%/12</f>
        <v>6.2954999999999999E-4</v>
      </c>
      <c r="K67" s="183">
        <f>0.76017%/12</f>
        <v>6.3347499999999999E-4</v>
      </c>
      <c r="L67" s="183">
        <f>0.764145%/12</f>
        <v>6.3678749999999994E-4</v>
      </c>
      <c r="M67" s="183">
        <f>0.962204%/12</f>
        <v>8.0183666666666664E-4</v>
      </c>
      <c r="N67" s="183">
        <f>0.9%/12</f>
        <v>7.5000000000000012E-4</v>
      </c>
      <c r="O67" s="183">
        <f>0.9%/12</f>
        <v>7.5000000000000012E-4</v>
      </c>
      <c r="P67" s="183">
        <f>1.15%/12</f>
        <v>9.5833333333333328E-4</v>
      </c>
      <c r="Q67" s="183">
        <f>1.15%/12</f>
        <v>9.5833333333333328E-4</v>
      </c>
      <c r="R67" s="183">
        <f>1.15%/12</f>
        <v>9.5833333333333328E-4</v>
      </c>
      <c r="S67" s="183">
        <f>1.41%/12</f>
        <v>1.175E-3</v>
      </c>
      <c r="T67" s="183">
        <f>1.39185%/12</f>
        <v>1.1598750000000001E-3</v>
      </c>
      <c r="U67" s="183">
        <f>1.466976%/12</f>
        <v>1.22248E-3</v>
      </c>
      <c r="V67" s="183">
        <f>1.448276%/12</f>
        <v>1.2068966666666666E-3</v>
      </c>
      <c r="W67" s="183">
        <f>1.45083%/12</f>
        <v>1.2090250000000001E-3</v>
      </c>
      <c r="X67" s="183">
        <f>1.4428689%/12</f>
        <v>1.2023907500000001E-3</v>
      </c>
      <c r="Y67" s="183">
        <f>1.773541%/12</f>
        <v>1.4779508333333333E-3</v>
      </c>
      <c r="Z67" s="183">
        <f>1.715386%/12</f>
        <v>1.4294883333333334E-3</v>
      </c>
      <c r="AA67" s="183">
        <f>1.827566%/12</f>
        <v>1.5229716666666667E-3</v>
      </c>
      <c r="AB67" s="183">
        <f>2.053946%/12</f>
        <v>1.7116216666666665E-3</v>
      </c>
      <c r="AC67" s="183">
        <f>2.311196%/12</f>
        <v>1.9259966666666664E-3</v>
      </c>
      <c r="AD67" s="183">
        <f>2.198795%/12</f>
        <v>1.8323291666666665E-3</v>
      </c>
      <c r="AE67" s="183">
        <f>2.279561%/12</f>
        <v>1.8996341666666667E-3</v>
      </c>
      <c r="AF67" s="183">
        <f>2.347169%/12</f>
        <v>1.9559741666666667E-3</v>
      </c>
      <c r="AG67" s="183">
        <f>2.325446%/12</f>
        <v>1.9378716666666664E-3</v>
      </c>
      <c r="AH67" s="183">
        <f>2.328962%/12</f>
        <v>1.9408016666666668E-3</v>
      </c>
      <c r="AI67" s="183">
        <f>2.457413%/12</f>
        <v>2.0478441666666666E-3</v>
      </c>
      <c r="AJ67" s="183">
        <f>2.527116%/12</f>
        <v>2.1059300000000002E-3</v>
      </c>
      <c r="AK67" s="183">
        <f>2.754579%/12</f>
        <v>2.2954824999999999E-3</v>
      </c>
      <c r="AL67" s="183">
        <f>2.869695%/12</f>
        <v>2.3914125E-3</v>
      </c>
      <c r="AM67" s="183">
        <f>2.840391%/12</f>
        <v>2.3669924999999998E-3</v>
      </c>
      <c r="AN67" s="183">
        <f>2.787815%/12</f>
        <v>2.3231791666666669E-3</v>
      </c>
      <c r="AO67" s="183">
        <f>2.662274%/12</f>
        <v>2.2185616666666667E-3</v>
      </c>
      <c r="AP67" s="183">
        <f>2.677361%/12</f>
        <v>2.2311341666666666E-3</v>
      </c>
      <c r="AQ67" s="183">
        <f>2.650057%/12</f>
        <v>2.2083808333333331E-3</v>
      </c>
      <c r="AR67" s="183">
        <f>2.594869%/12</f>
        <v>2.1623908333333335E-3</v>
      </c>
      <c r="AS67" s="183">
        <f>2.35119%/12</f>
        <v>1.959325E-3</v>
      </c>
      <c r="AT67" s="183">
        <f>2.21687%/12</f>
        <v>1.8473916666666666E-3</v>
      </c>
      <c r="AU67" s="183">
        <f>2.113932%/12</f>
        <v>1.7616100000000003E-3</v>
      </c>
      <c r="AV67" s="183">
        <f>'[3]MEEIA 2 calcs'!$AW$9/12</f>
        <v>1.5133241666666667E-3</v>
      </c>
      <c r="AW67" s="183">
        <f>'[3]MEEIA 2 calcs'!$AX$9/12</f>
        <v>1.5959991666666667E-3</v>
      </c>
      <c r="AX67" s="183">
        <f>'[3]MEEIA 2 calcs'!$AY$9/12</f>
        <v>1.5742316666666667E-3</v>
      </c>
      <c r="AY67" s="183">
        <f>'[3]MEEIA 2 calcs'!$AZ$9/12</f>
        <v>1.5029858333333332E-3</v>
      </c>
      <c r="AZ67" s="183">
        <f>'[3]MEEIA 2 calcs'!$BA$9/12</f>
        <v>1.5738266666666667E-3</v>
      </c>
      <c r="BA67" s="183">
        <f>'[3]MEEIA 2 calcs'!$BB$9/12</f>
        <v>7.8204999999999995E-4</v>
      </c>
      <c r="BB67" s="183">
        <f>'[3]MEEIA 2 calcs'!$BC$9/12</f>
        <v>1.0755583333333334E-4</v>
      </c>
      <c r="BC67" s="183">
        <f>'[3]MEEIA 2 calcs'!$BD$9/12</f>
        <v>1.046925E-4</v>
      </c>
      <c r="BD67" s="183">
        <f>'[3]MEEIA 2 calcs'!$BE$9/12</f>
        <v>1.6138583333333333E-4</v>
      </c>
      <c r="BE67" s="183">
        <f>'[3]MEEIA 2 calcs'!$BF$9/12</f>
        <v>1.1382083333333333E-4</v>
      </c>
      <c r="BF67" s="183">
        <f>'[3]MEEIA 2 calcs'!$BG$9/12</f>
        <v>1.0326333333333334E-4</v>
      </c>
      <c r="BG67" s="183">
        <f>'[4]MEEIA 2 calcs'!$BH$9/12</f>
        <v>1.6666666666666666E-4</v>
      </c>
      <c r="BH67" s="311">
        <f>+BG67</f>
        <v>1.6666666666666666E-4</v>
      </c>
      <c r="BI67" s="183">
        <f>+BH67</f>
        <v>1.6666666666666666E-4</v>
      </c>
      <c r="BJ67" s="249">
        <f>+BI67</f>
        <v>1.6666666666666666E-4</v>
      </c>
    </row>
    <row r="68" spans="1:62" x14ac:dyDescent="0.25">
      <c r="A68" s="69" t="s">
        <v>0</v>
      </c>
      <c r="B68" s="107">
        <f t="shared" ref="B68:U68" si="165">B61*B$67</f>
        <v>0</v>
      </c>
      <c r="C68" s="111">
        <f t="shared" si="165"/>
        <v>0</v>
      </c>
      <c r="D68" s="111">
        <f t="shared" si="165"/>
        <v>66.58813911876031</v>
      </c>
      <c r="E68" s="111">
        <f>E61*E$67</f>
        <v>366.55468571919539</v>
      </c>
      <c r="F68" s="111">
        <f t="shared" si="165"/>
        <v>1024.0370055520584</v>
      </c>
      <c r="G68" s="111">
        <f t="shared" si="165"/>
        <v>433.68014468042247</v>
      </c>
      <c r="H68" s="111">
        <f t="shared" si="165"/>
        <v>-67.66650429984054</v>
      </c>
      <c r="I68" s="111">
        <f t="shared" si="165"/>
        <v>-6.1445713563721522</v>
      </c>
      <c r="J68" s="111">
        <f t="shared" si="165"/>
        <v>-415.77452941606469</v>
      </c>
      <c r="K68" s="111">
        <f>K61*K$67</f>
        <v>-238.95521029651152</v>
      </c>
      <c r="L68" s="111">
        <f t="shared" si="165"/>
        <v>242.57733901249225</v>
      </c>
      <c r="M68" s="111">
        <f t="shared" si="165"/>
        <v>227.30271727273032</v>
      </c>
      <c r="N68" s="111">
        <f>N61*N$67</f>
        <v>-434.22056138306897</v>
      </c>
      <c r="O68" s="111">
        <f>O61*O$67</f>
        <v>1171.1583222504892</v>
      </c>
      <c r="P68" s="111">
        <f t="shared" si="165"/>
        <v>1344.7160526241078</v>
      </c>
      <c r="Q68" s="111">
        <f t="shared" si="165"/>
        <v>517.60159100380099</v>
      </c>
      <c r="R68" s="111">
        <f t="shared" si="165"/>
        <v>1327.111941395975</v>
      </c>
      <c r="S68" s="111">
        <f t="shared" si="165"/>
        <v>2239.7503795833513</v>
      </c>
      <c r="T68" s="111">
        <f t="shared" si="165"/>
        <v>989.67576234001217</v>
      </c>
      <c r="U68" s="111">
        <f t="shared" si="165"/>
        <v>962.37053468666534</v>
      </c>
      <c r="V68" s="111">
        <f t="shared" ref="V68:W72" si="166">V61*V$67</f>
        <v>791.38440444727962</v>
      </c>
      <c r="W68" s="108">
        <f t="shared" si="166"/>
        <v>758.31150563088249</v>
      </c>
      <c r="X68" s="108">
        <f>X61*X$67-3196*(X28/SUM($X$28:$X$32))</f>
        <v>-683.56181872300442</v>
      </c>
      <c r="Y68" s="108">
        <f t="shared" ref="Y68:AH68" si="167">Y61*Y$67</f>
        <v>575.74653241810086</v>
      </c>
      <c r="Z68" s="108">
        <f t="shared" si="167"/>
        <v>-2034.5533906304888</v>
      </c>
      <c r="AA68" s="108">
        <f t="shared" si="167"/>
        <v>-4559.9881361819307</v>
      </c>
      <c r="AB68" s="108">
        <f t="shared" si="167"/>
        <v>-6954.7267417351886</v>
      </c>
      <c r="AC68" s="108">
        <f t="shared" si="167"/>
        <v>-9209.9339783663399</v>
      </c>
      <c r="AD68" s="108">
        <f t="shared" si="167"/>
        <v>-9661.424289912271</v>
      </c>
      <c r="AE68" s="108">
        <f t="shared" si="167"/>
        <v>-11091.729345635702</v>
      </c>
      <c r="AF68" s="108">
        <f t="shared" si="167"/>
        <v>-13017.947527365919</v>
      </c>
      <c r="AG68" s="108">
        <f t="shared" si="167"/>
        <v>-14203.899801797405</v>
      </c>
      <c r="AH68" s="108">
        <f t="shared" si="167"/>
        <v>-16386.540188195475</v>
      </c>
      <c r="AI68" s="108">
        <f t="shared" ref="AI68:AU68" si="168">AI61*AI$67</f>
        <v>-18352.761716284956</v>
      </c>
      <c r="AJ68" s="108">
        <f>AJ61*AJ$67</f>
        <v>-18949.735397622186</v>
      </c>
      <c r="AK68" s="108">
        <f t="shared" si="168"/>
        <v>-21189.22277314456</v>
      </c>
      <c r="AL68" s="108">
        <f t="shared" si="168"/>
        <v>-28645.214064494368</v>
      </c>
      <c r="AM68" s="108">
        <f t="shared" si="168"/>
        <v>-19335.596431948903</v>
      </c>
      <c r="AN68" s="108">
        <f t="shared" si="168"/>
        <v>-14509.294200783621</v>
      </c>
      <c r="AO68" s="108">
        <f t="shared" si="168"/>
        <v>-12511.325640834577</v>
      </c>
      <c r="AP68" s="108">
        <f t="shared" si="168"/>
        <v>-11481.190724356722</v>
      </c>
      <c r="AQ68" s="108">
        <f t="shared" si="168"/>
        <v>-9788.7518278941934</v>
      </c>
      <c r="AR68" s="108">
        <f t="shared" si="168"/>
        <v>-5004.8968361295838</v>
      </c>
      <c r="AS68" s="272">
        <f t="shared" si="168"/>
        <v>-4816.5518725353195</v>
      </c>
      <c r="AT68" s="108">
        <f t="shared" si="168"/>
        <v>-2860.5392279753378</v>
      </c>
      <c r="AU68" s="108">
        <f t="shared" si="168"/>
        <v>-1520.3622732528436</v>
      </c>
      <c r="AV68" s="108">
        <f t="shared" ref="AV68:BF68" si="169">AV61*AV$67</f>
        <v>-370.22312444686008</v>
      </c>
      <c r="AW68" s="108">
        <f t="shared" si="169"/>
        <v>4333.9652251040825</v>
      </c>
      <c r="AX68" s="108">
        <f t="shared" si="169"/>
        <v>4459.2891336395451</v>
      </c>
      <c r="AY68" s="108">
        <f t="shared" si="169"/>
        <v>4969.6430646975532</v>
      </c>
      <c r="AZ68" s="108">
        <f t="shared" si="169"/>
        <v>5008.6868069324191</v>
      </c>
      <c r="BA68" s="108">
        <f t="shared" si="169"/>
        <v>2406.5436187108121</v>
      </c>
      <c r="BB68" s="108">
        <f t="shared" si="169"/>
        <v>321.2168968693465</v>
      </c>
      <c r="BC68" s="108">
        <f t="shared" si="169"/>
        <v>299.56753593210522</v>
      </c>
      <c r="BD68" s="108">
        <f t="shared" si="169"/>
        <v>434.41150429971123</v>
      </c>
      <c r="BE68" s="108">
        <f t="shared" si="169"/>
        <v>288.03934136938688</v>
      </c>
      <c r="BF68" s="108">
        <f t="shared" si="169"/>
        <v>246.31947962752113</v>
      </c>
      <c r="BG68" s="108">
        <f t="shared" ref="BG68" si="170">BG61*BG$67</f>
        <v>381.24635959797399</v>
      </c>
      <c r="BH68" s="107">
        <f>BH61*BH$67</f>
        <v>364.04809150447448</v>
      </c>
      <c r="BI68" s="111">
        <f t="shared" ref="BH68:BJ72" si="171">BI61*BI$67</f>
        <v>339.21816459903494</v>
      </c>
      <c r="BJ68" s="112">
        <f t="shared" si="171"/>
        <v>308.29353626971067</v>
      </c>
    </row>
    <row r="69" spans="1:62" x14ac:dyDescent="0.25">
      <c r="A69" s="69" t="s">
        <v>4</v>
      </c>
      <c r="B69" s="107">
        <f t="shared" ref="B69:J72" si="172">B62*B$67</f>
        <v>0</v>
      </c>
      <c r="C69" s="111">
        <f t="shared" si="172"/>
        <v>0</v>
      </c>
      <c r="D69" s="111">
        <f t="shared" si="172"/>
        <v>49.040236441897328</v>
      </c>
      <c r="E69" s="111">
        <f t="shared" si="172"/>
        <v>63.878768741417169</v>
      </c>
      <c r="F69" s="111">
        <f t="shared" si="172"/>
        <v>87.247901341865372</v>
      </c>
      <c r="G69" s="111">
        <f t="shared" si="172"/>
        <v>-87.153500704177219</v>
      </c>
      <c r="H69" s="111">
        <f t="shared" si="172"/>
        <v>-301.53995928969545</v>
      </c>
      <c r="I69" s="111">
        <f t="shared" si="172"/>
        <v>-541.06485818631404</v>
      </c>
      <c r="J69" s="111">
        <f t="shared" si="172"/>
        <v>-803.06469147669247</v>
      </c>
      <c r="K69" s="111">
        <f>K62*K$67</f>
        <v>-892.92933505414862</v>
      </c>
      <c r="L69" s="111">
        <f t="shared" ref="L69:U69" si="173">L62*L$67</f>
        <v>-918.83265924615534</v>
      </c>
      <c r="M69" s="111">
        <f t="shared" si="173"/>
        <v>-1263.8089878976396</v>
      </c>
      <c r="N69" s="111">
        <f t="shared" si="173"/>
        <v>-1265.7942331803861</v>
      </c>
      <c r="O69" s="111">
        <f t="shared" si="173"/>
        <v>-1033.8724436888856</v>
      </c>
      <c r="P69" s="111">
        <f t="shared" si="173"/>
        <v>-1287.6177630088282</v>
      </c>
      <c r="Q69" s="111">
        <f t="shared" si="173"/>
        <v>-1160.9945078177898</v>
      </c>
      <c r="R69" s="111">
        <f t="shared" si="173"/>
        <v>-963.00745900323682</v>
      </c>
      <c r="S69" s="111">
        <f t="shared" si="173"/>
        <v>-941.97438661741091</v>
      </c>
      <c r="T69" s="111">
        <f t="shared" si="173"/>
        <v>-866.52209239882382</v>
      </c>
      <c r="U69" s="111">
        <f t="shared" si="173"/>
        <v>-561.71026009546631</v>
      </c>
      <c r="V69" s="111">
        <f t="shared" si="166"/>
        <v>-340.69711994667989</v>
      </c>
      <c r="W69" s="108">
        <f t="shared" si="166"/>
        <v>-5.0017481654493574</v>
      </c>
      <c r="X69" s="108">
        <f>X62*X$67-3196*(X29/SUM($X$28:$X$32))</f>
        <v>-186.92564783031244</v>
      </c>
      <c r="Y69" s="108">
        <f t="shared" ref="Y69:AH69" si="174">Y62*Y$67</f>
        <v>865.16801038544475</v>
      </c>
      <c r="Z69" s="108">
        <f t="shared" si="174"/>
        <v>954.61375162196146</v>
      </c>
      <c r="AA69" s="108">
        <f t="shared" si="174"/>
        <v>368.71499034775201</v>
      </c>
      <c r="AB69" s="108">
        <f t="shared" si="174"/>
        <v>164.97569747913212</v>
      </c>
      <c r="AC69" s="108">
        <f t="shared" si="174"/>
        <v>-239.80518237081753</v>
      </c>
      <c r="AD69" s="108">
        <f t="shared" si="174"/>
        <v>-347.78596311385547</v>
      </c>
      <c r="AE69" s="108">
        <f t="shared" si="174"/>
        <v>-877.68830412671355</v>
      </c>
      <c r="AF69" s="108">
        <f t="shared" si="174"/>
        <v>-1248.7138560335313</v>
      </c>
      <c r="AG69" s="108">
        <f t="shared" si="174"/>
        <v>-1251.2716928901546</v>
      </c>
      <c r="AH69" s="108">
        <f t="shared" si="174"/>
        <v>-1611.0432913246466</v>
      </c>
      <c r="AI69" s="108">
        <f t="shared" ref="AI69:AU69" si="175">AI62*AI$67</f>
        <v>-2049.2678279792804</v>
      </c>
      <c r="AJ69" s="108">
        <f t="shared" si="175"/>
        <v>-1756.1419080101941</v>
      </c>
      <c r="AK69" s="108">
        <f t="shared" si="175"/>
        <v>-1152.5921568506426</v>
      </c>
      <c r="AL69" s="108">
        <f t="shared" si="175"/>
        <v>-2257.0589733970583</v>
      </c>
      <c r="AM69" s="108">
        <f t="shared" si="175"/>
        <v>1111.1784607070913</v>
      </c>
      <c r="AN69" s="108">
        <f t="shared" si="175"/>
        <v>3883.1611978694486</v>
      </c>
      <c r="AO69" s="108">
        <f t="shared" si="175"/>
        <v>3458.0680900897451</v>
      </c>
      <c r="AP69" s="108">
        <f t="shared" si="175"/>
        <v>3283.3091022305548</v>
      </c>
      <c r="AQ69" s="108">
        <f t="shared" si="175"/>
        <v>2958.2308576920668</v>
      </c>
      <c r="AR69" s="108">
        <f t="shared" si="175"/>
        <v>2436.5471842562674</v>
      </c>
      <c r="AS69" s="272">
        <f t="shared" si="175"/>
        <v>1686.8081741675849</v>
      </c>
      <c r="AT69" s="108">
        <f t="shared" si="175"/>
        <v>1238.6198126989273</v>
      </c>
      <c r="AU69" s="108">
        <f t="shared" si="175"/>
        <v>1046.3263929562906</v>
      </c>
      <c r="AV69" s="108">
        <f t="shared" ref="AV69:BF69" si="176">AV62*AV$67</f>
        <v>677.64892074390923</v>
      </c>
      <c r="AW69" s="108">
        <f t="shared" si="176"/>
        <v>-284.64567446938474</v>
      </c>
      <c r="AX69" s="108">
        <f t="shared" si="176"/>
        <v>-277.95127416859543</v>
      </c>
      <c r="AY69" s="108">
        <f t="shared" si="176"/>
        <v>-420.05188591424621</v>
      </c>
      <c r="AZ69" s="108">
        <f t="shared" si="176"/>
        <v>-411.7105084151944</v>
      </c>
      <c r="BA69" s="108">
        <f t="shared" si="176"/>
        <v>-222.11351510267707</v>
      </c>
      <c r="BB69" s="108">
        <f t="shared" si="176"/>
        <v>-32.511709594457855</v>
      </c>
      <c r="BC69" s="108">
        <f t="shared" si="176"/>
        <v>-28.741623941503921</v>
      </c>
      <c r="BD69" s="108">
        <f t="shared" si="176"/>
        <v>-47.256580153655342</v>
      </c>
      <c r="BE69" s="108">
        <f t="shared" si="176"/>
        <v>-19.349545328570127</v>
      </c>
      <c r="BF69" s="108">
        <f t="shared" si="176"/>
        <v>-17.817612971371194</v>
      </c>
      <c r="BG69" s="108">
        <f t="shared" ref="BG69" si="177">BG62*BG$67</f>
        <v>-32.007457080878488</v>
      </c>
      <c r="BH69" s="107">
        <f t="shared" si="171"/>
        <v>-35.877292846042188</v>
      </c>
      <c r="BI69" s="111">
        <f t="shared" si="171"/>
        <v>-23.074275439721259</v>
      </c>
      <c r="BJ69" s="112">
        <f t="shared" si="171"/>
        <v>-23.157639607159741</v>
      </c>
    </row>
    <row r="70" spans="1:62" x14ac:dyDescent="0.25">
      <c r="A70" s="69" t="s">
        <v>5</v>
      </c>
      <c r="B70" s="107">
        <f t="shared" si="172"/>
        <v>0</v>
      </c>
      <c r="C70" s="111">
        <f t="shared" si="172"/>
        <v>0</v>
      </c>
      <c r="D70" s="111">
        <f t="shared" si="172"/>
        <v>112.38687678088519</v>
      </c>
      <c r="E70" s="111">
        <f t="shared" si="172"/>
        <v>148.95602708686997</v>
      </c>
      <c r="F70" s="111">
        <f t="shared" si="172"/>
        <v>218.69136636645484</v>
      </c>
      <c r="G70" s="111">
        <f t="shared" si="172"/>
        <v>-195.1340610557495</v>
      </c>
      <c r="H70" s="111">
        <f t="shared" si="172"/>
        <v>-680.81782980146568</v>
      </c>
      <c r="I70" s="111">
        <f t="shared" si="172"/>
        <v>-1224.2974987563491</v>
      </c>
      <c r="J70" s="111">
        <f t="shared" si="172"/>
        <v>-1846.8551643480394</v>
      </c>
      <c r="K70" s="111">
        <f>K63*K$67</f>
        <v>-2066.4638171733427</v>
      </c>
      <c r="L70" s="111">
        <f t="shared" ref="L70:U70" si="178">L63*L$67</f>
        <v>-2131.6256177916939</v>
      </c>
      <c r="M70" s="111">
        <f>M63*M$67</f>
        <v>-2925.5334048336213</v>
      </c>
      <c r="N70" s="111">
        <f>N63*N$67</f>
        <v>-2916.6569847274186</v>
      </c>
      <c r="O70" s="111">
        <f t="shared" si="178"/>
        <v>-2312.5704140238631</v>
      </c>
      <c r="P70" s="111">
        <f t="shared" si="178"/>
        <v>-2887.5726048258848</v>
      </c>
      <c r="Q70" s="111">
        <f t="shared" si="178"/>
        <v>-2589.5300818652945</v>
      </c>
      <c r="R70" s="111">
        <f t="shared" si="178"/>
        <v>-2099.4345520164215</v>
      </c>
      <c r="S70" s="111">
        <f t="shared" si="178"/>
        <v>-2012.6000550445399</v>
      </c>
      <c r="T70" s="111">
        <f t="shared" si="178"/>
        <v>-1859.1504156882709</v>
      </c>
      <c r="U70" s="111">
        <f t="shared" si="178"/>
        <v>-1172.0961497732121</v>
      </c>
      <c r="V70" s="111">
        <f t="shared" si="166"/>
        <v>-657.40873959247267</v>
      </c>
      <c r="W70" s="108">
        <f t="shared" si="166"/>
        <v>148.64146650520229</v>
      </c>
      <c r="X70" s="108">
        <f>X63*X$67-3196*(X30/SUM($X$28:$X$32))</f>
        <v>-312.91876162445351</v>
      </c>
      <c r="Y70" s="108">
        <f t="shared" ref="Y70:AH70" si="179">Y63*Y$67</f>
        <v>2202.0587406019649</v>
      </c>
      <c r="Z70" s="108">
        <f t="shared" si="179"/>
        <v>2374.0858765347775</v>
      </c>
      <c r="AA70" s="108">
        <f t="shared" si="179"/>
        <v>1179.7610521787033</v>
      </c>
      <c r="AB70" s="108">
        <f t="shared" si="179"/>
        <v>759.83016190990872</v>
      </c>
      <c r="AC70" s="108">
        <f t="shared" si="179"/>
        <v>-126.44911655829746</v>
      </c>
      <c r="AD70" s="108">
        <f t="shared" si="179"/>
        <v>-434.1979399084924</v>
      </c>
      <c r="AE70" s="108">
        <f t="shared" si="179"/>
        <v>-1684.8650936474394</v>
      </c>
      <c r="AF70" s="108">
        <f t="shared" si="179"/>
        <v>-2532.8179978691846</v>
      </c>
      <c r="AG70" s="108">
        <f t="shared" si="179"/>
        <v>-2562.9586099737867</v>
      </c>
      <c r="AH70" s="108">
        <f t="shared" si="179"/>
        <v>-3438.0528143488082</v>
      </c>
      <c r="AI70" s="108">
        <f t="shared" ref="AI70:AU70" si="180">AI63*AI$67</f>
        <v>-4500.0168389003902</v>
      </c>
      <c r="AJ70" s="108">
        <f t="shared" si="180"/>
        <v>-3796.8431200693885</v>
      </c>
      <c r="AK70" s="108">
        <f t="shared" si="180"/>
        <v>-2505.0843070414162</v>
      </c>
      <c r="AL70" s="108">
        <f t="shared" si="180"/>
        <v>-4903.4686727569588</v>
      </c>
      <c r="AM70" s="108">
        <f t="shared" si="180"/>
        <v>1895.2544243684633</v>
      </c>
      <c r="AN70" s="108">
        <f t="shared" si="180"/>
        <v>7635.770523682324</v>
      </c>
      <c r="AO70" s="108">
        <f t="shared" si="180"/>
        <v>6747.0913205379138</v>
      </c>
      <c r="AP70" s="108">
        <f t="shared" si="180"/>
        <v>6295.5910380945434</v>
      </c>
      <c r="AQ70" s="108">
        <f t="shared" si="180"/>
        <v>5538.8999293338939</v>
      </c>
      <c r="AR70" s="108">
        <f t="shared" si="180"/>
        <v>4392.221523483473</v>
      </c>
      <c r="AS70" s="272">
        <f t="shared" si="180"/>
        <v>2818.5560622171747</v>
      </c>
      <c r="AT70" s="108">
        <f t="shared" si="180"/>
        <v>1835.2991943069558</v>
      </c>
      <c r="AU70" s="108">
        <f t="shared" si="180"/>
        <v>1430.0027373272878</v>
      </c>
      <c r="AV70" s="108">
        <f t="shared" ref="AV70:BF70" si="181">AV63*AV$67</f>
        <v>711.24191415452958</v>
      </c>
      <c r="AW70" s="108">
        <f t="shared" si="181"/>
        <v>-1408.5814793068316</v>
      </c>
      <c r="AX70" s="108">
        <f t="shared" si="181"/>
        <v>-1385.5646503159574</v>
      </c>
      <c r="AY70" s="108">
        <f t="shared" si="181"/>
        <v>-1626.5193664095859</v>
      </c>
      <c r="AZ70" s="108">
        <f t="shared" si="181"/>
        <v>-1587.0815987191054</v>
      </c>
      <c r="BA70" s="108">
        <f t="shared" si="181"/>
        <v>-805.5336140858326</v>
      </c>
      <c r="BB70" s="108">
        <f t="shared" si="181"/>
        <v>-112.31016248982441</v>
      </c>
      <c r="BC70" s="108">
        <f t="shared" si="181"/>
        <v>-98.870085967434463</v>
      </c>
      <c r="BD70" s="108">
        <f t="shared" si="181"/>
        <v>-152.0199992799449</v>
      </c>
      <c r="BE70" s="108">
        <f t="shared" si="181"/>
        <v>-71.349834555439031</v>
      </c>
      <c r="BF70" s="108">
        <f t="shared" si="181"/>
        <v>-61.029697815538384</v>
      </c>
      <c r="BG70" s="108">
        <f t="shared" ref="BG70" si="182">BG63*BG$67</f>
        <v>-100.42918452742038</v>
      </c>
      <c r="BH70" s="107">
        <f t="shared" si="171"/>
        <v>-103.97459617999318</v>
      </c>
      <c r="BI70" s="111">
        <f t="shared" si="171"/>
        <v>-70.417710431030358</v>
      </c>
      <c r="BJ70" s="112">
        <f t="shared" si="171"/>
        <v>-63.674433974247258</v>
      </c>
    </row>
    <row r="71" spans="1:62" x14ac:dyDescent="0.25">
      <c r="A71" s="69" t="s">
        <v>6</v>
      </c>
      <c r="B71" s="107">
        <f t="shared" si="172"/>
        <v>0</v>
      </c>
      <c r="C71" s="111">
        <f t="shared" si="172"/>
        <v>0</v>
      </c>
      <c r="D71" s="111">
        <f t="shared" si="172"/>
        <v>46.630791992990176</v>
      </c>
      <c r="E71" s="111">
        <f t="shared" si="172"/>
        <v>63.012334296609787</v>
      </c>
      <c r="F71" s="111">
        <f t="shared" si="172"/>
        <v>87.880285460719136</v>
      </c>
      <c r="G71" s="111">
        <f t="shared" si="172"/>
        <v>-62.004812553219359</v>
      </c>
      <c r="H71" s="111">
        <f t="shared" si="172"/>
        <v>-265.41099401826</v>
      </c>
      <c r="I71" s="111">
        <f t="shared" si="172"/>
        <v>-484.58022626390726</v>
      </c>
      <c r="J71" s="111">
        <f t="shared" si="172"/>
        <v>-759.72241395797971</v>
      </c>
      <c r="K71" s="111">
        <f>K64*K$67</f>
        <v>-852.99829395321399</v>
      </c>
      <c r="L71" s="111">
        <f t="shared" ref="L71:U71" si="183">L64*L$67</f>
        <v>-881.49351673665103</v>
      </c>
      <c r="M71" s="111">
        <f t="shared" si="183"/>
        <v>-1214.233004946331</v>
      </c>
      <c r="N71" s="111">
        <f t="shared" si="183"/>
        <v>-1212.3798035527741</v>
      </c>
      <c r="O71" s="111">
        <f t="shared" si="183"/>
        <v>-981.90515798918636</v>
      </c>
      <c r="P71" s="111">
        <f t="shared" si="183"/>
        <v>-1225.6104773034117</v>
      </c>
      <c r="Q71" s="111">
        <f t="shared" si="183"/>
        <v>-1086.2840657592226</v>
      </c>
      <c r="R71" s="111">
        <f t="shared" si="183"/>
        <v>-860.48988476382385</v>
      </c>
      <c r="S71" s="111">
        <f t="shared" si="183"/>
        <v>-792.85052249779744</v>
      </c>
      <c r="T71" s="111">
        <f t="shared" si="183"/>
        <v>-728.67045414051177</v>
      </c>
      <c r="U71" s="111">
        <f t="shared" si="183"/>
        <v>-425.73873897034491</v>
      </c>
      <c r="V71" s="111">
        <f t="shared" si="166"/>
        <v>-198.38521723102622</v>
      </c>
      <c r="W71" s="108">
        <f t="shared" si="166"/>
        <v>166.26564667446212</v>
      </c>
      <c r="X71" s="108">
        <f>X64*X$67-3196*(X31/SUM($X$28:$X$32))</f>
        <v>-42.631534121866594</v>
      </c>
      <c r="Y71" s="108">
        <f t="shared" ref="Y71:AH71" si="184">Y64*Y$67</f>
        <v>1122.0749843142726</v>
      </c>
      <c r="Z71" s="108">
        <f t="shared" si="184"/>
        <v>1169.8316522888035</v>
      </c>
      <c r="AA71" s="108">
        <f t="shared" si="184"/>
        <v>748.2401501519264</v>
      </c>
      <c r="AB71" s="108">
        <f t="shared" si="184"/>
        <v>565.96783419667565</v>
      </c>
      <c r="AC71" s="108">
        <f t="shared" si="184"/>
        <v>205.81023985402541</v>
      </c>
      <c r="AD71" s="108">
        <f t="shared" si="184"/>
        <v>26.957981186861776</v>
      </c>
      <c r="AE71" s="108">
        <f t="shared" si="184"/>
        <v>-539.66478115878056</v>
      </c>
      <c r="AF71" s="108">
        <f t="shared" si="184"/>
        <v>-921.94059749708799</v>
      </c>
      <c r="AG71" s="108">
        <f t="shared" si="184"/>
        <v>-955.50023955980635</v>
      </c>
      <c r="AH71" s="108">
        <f t="shared" si="184"/>
        <v>-1350.1698270080622</v>
      </c>
      <c r="AI71" s="108">
        <f t="shared" ref="AI71:AU71" si="185">AI64*AI$67</f>
        <v>-1841.3840130012488</v>
      </c>
      <c r="AJ71" s="108">
        <f t="shared" si="185"/>
        <v>-1523.9529005831073</v>
      </c>
      <c r="AK71" s="108">
        <f t="shared" si="185"/>
        <v>-929.16596374062044</v>
      </c>
      <c r="AL71" s="108">
        <f t="shared" si="185"/>
        <v>-1876.7858738220032</v>
      </c>
      <c r="AM71" s="108">
        <f t="shared" si="185"/>
        <v>620.40228973659089</v>
      </c>
      <c r="AN71" s="108">
        <f t="shared" si="185"/>
        <v>2942.0591826920913</v>
      </c>
      <c r="AO71" s="108">
        <f t="shared" si="185"/>
        <v>2557.319895909246</v>
      </c>
      <c r="AP71" s="108">
        <f t="shared" si="185"/>
        <v>2359.0489736678819</v>
      </c>
      <c r="AQ71" s="108">
        <f t="shared" si="185"/>
        <v>2020.5616864593121</v>
      </c>
      <c r="AR71" s="108">
        <f t="shared" si="185"/>
        <v>1546.5493261229524</v>
      </c>
      <c r="AS71" s="272">
        <f t="shared" si="185"/>
        <v>902.61143101799519</v>
      </c>
      <c r="AT71" s="108">
        <f t="shared" si="185"/>
        <v>503.24151315695798</v>
      </c>
      <c r="AU71" s="108">
        <f t="shared" si="185"/>
        <v>338.51102047946483</v>
      </c>
      <c r="AV71" s="108">
        <f t="shared" ref="AV71:BF71" si="186">AV64*AV$67</f>
        <v>58.983808456721064</v>
      </c>
      <c r="AW71" s="108">
        <f t="shared" si="186"/>
        <v>-832.44075120174432</v>
      </c>
      <c r="AX71" s="108">
        <f t="shared" si="186"/>
        <v>-820.90021397637929</v>
      </c>
      <c r="AY71" s="108">
        <f t="shared" si="186"/>
        <v>-922.15397371339168</v>
      </c>
      <c r="AZ71" s="108">
        <f t="shared" si="186"/>
        <v>-902.73510954298376</v>
      </c>
      <c r="BA71" s="108">
        <f t="shared" si="186"/>
        <v>-448.20765711773981</v>
      </c>
      <c r="BB71" s="108">
        <f t="shared" si="186"/>
        <v>-61.311889415528938</v>
      </c>
      <c r="BC71" s="108">
        <f t="shared" si="186"/>
        <v>-53.762652337124713</v>
      </c>
      <c r="BD71" s="108">
        <f t="shared" si="186"/>
        <v>-80.756269903828439</v>
      </c>
      <c r="BE71" s="108">
        <f t="shared" si="186"/>
        <v>-40.185772332710293</v>
      </c>
      <c r="BF71" s="108">
        <f t="shared" si="186"/>
        <v>-33.550678271192645</v>
      </c>
      <c r="BG71" s="108">
        <f t="shared" ref="BG71" si="187">BG64*BG$67</f>
        <v>-53.127225799858245</v>
      </c>
      <c r="BH71" s="107">
        <f t="shared" si="171"/>
        <v>-52.923862936401477</v>
      </c>
      <c r="BI71" s="111">
        <f t="shared" si="171"/>
        <v>-37.310325971876786</v>
      </c>
      <c r="BJ71" s="112">
        <f t="shared" si="171"/>
        <v>-32.528835598317031</v>
      </c>
    </row>
    <row r="72" spans="1:62" ht="15.75" thickBot="1" x14ac:dyDescent="0.3">
      <c r="A72" s="69" t="s">
        <v>7</v>
      </c>
      <c r="B72" s="107">
        <f t="shared" si="172"/>
        <v>0</v>
      </c>
      <c r="C72" s="111">
        <f t="shared" si="172"/>
        <v>0</v>
      </c>
      <c r="D72" s="111">
        <f t="shared" si="172"/>
        <v>23.984935285566955</v>
      </c>
      <c r="E72" s="111">
        <f t="shared" si="172"/>
        <v>32.285741116153027</v>
      </c>
      <c r="F72" s="111">
        <f t="shared" si="172"/>
        <v>57.507644752665662</v>
      </c>
      <c r="G72" s="111">
        <f t="shared" si="172"/>
        <v>19.579174152403809</v>
      </c>
      <c r="H72" s="111">
        <f t="shared" si="172"/>
        <v>-83.799842059360671</v>
      </c>
      <c r="I72" s="111">
        <f t="shared" si="172"/>
        <v>-187.22550092655857</v>
      </c>
      <c r="J72" s="111">
        <f t="shared" si="172"/>
        <v>-334.87555769132126</v>
      </c>
      <c r="K72" s="111">
        <f>K65*K$67</f>
        <v>-385.78150869595538</v>
      </c>
      <c r="L72" s="111">
        <f t="shared" ref="L72:U72" si="188">L65*L$67</f>
        <v>-400.49879153528383</v>
      </c>
      <c r="M72" s="111">
        <f t="shared" si="188"/>
        <v>-556.10770173830053</v>
      </c>
      <c r="N72" s="111">
        <f t="shared" si="188"/>
        <v>-558.07199634452036</v>
      </c>
      <c r="O72" s="111">
        <f>O65*O$67</f>
        <v>-592.72080592111263</v>
      </c>
      <c r="P72" s="111">
        <f t="shared" si="188"/>
        <v>-738.78158271837253</v>
      </c>
      <c r="Q72" s="111">
        <f t="shared" si="188"/>
        <v>-664.40325857014784</v>
      </c>
      <c r="R72" s="111">
        <f t="shared" si="188"/>
        <v>-546.35847518069636</v>
      </c>
      <c r="S72" s="111">
        <f t="shared" si="188"/>
        <v>-526.11790063588217</v>
      </c>
      <c r="T72" s="111">
        <f t="shared" si="188"/>
        <v>-485.36554896642912</v>
      </c>
      <c r="U72" s="111">
        <f t="shared" si="188"/>
        <v>-322.92788096845305</v>
      </c>
      <c r="V72" s="111">
        <f t="shared" si="166"/>
        <v>-195.26872008072453</v>
      </c>
      <c r="W72" s="108">
        <f t="shared" si="166"/>
        <v>-2.6015855810396054</v>
      </c>
      <c r="X72" s="108">
        <f>X65*X$67-3196*(X32/SUM($X$28:$X$32))</f>
        <v>-105.95212901331553</v>
      </c>
      <c r="Y72" s="108">
        <f t="shared" ref="Y72:AH72" si="189">Y65*Y$67</f>
        <v>472.04275548462113</v>
      </c>
      <c r="Z72" s="108">
        <f t="shared" si="189"/>
        <v>516.10700377306625</v>
      </c>
      <c r="AA72" s="108">
        <f t="shared" si="189"/>
        <v>476.04986917836482</v>
      </c>
      <c r="AB72" s="108">
        <f t="shared" si="189"/>
        <v>396.77380972134512</v>
      </c>
      <c r="AC72" s="108">
        <f t="shared" si="189"/>
        <v>228.05770612386377</v>
      </c>
      <c r="AD72" s="108">
        <f t="shared" si="189"/>
        <v>123.15939691321185</v>
      </c>
      <c r="AE72" s="108">
        <f t="shared" si="189"/>
        <v>-162.46616067158337</v>
      </c>
      <c r="AF72" s="108">
        <f t="shared" si="189"/>
        <v>-211.20929043607748</v>
      </c>
      <c r="AG72" s="108">
        <f t="shared" si="189"/>
        <v>-220.64196196723944</v>
      </c>
      <c r="AH72" s="108">
        <f t="shared" si="189"/>
        <v>-402.03536925374846</v>
      </c>
      <c r="AI72" s="108">
        <f t="shared" ref="AI72:AU72" si="190">AI65*AI$67</f>
        <v>-621.22001971215764</v>
      </c>
      <c r="AJ72" s="108">
        <f t="shared" si="190"/>
        <v>-439.31965489287239</v>
      </c>
      <c r="AK72" s="108">
        <f t="shared" si="190"/>
        <v>-128.09213897378464</v>
      </c>
      <c r="AL72" s="108">
        <f t="shared" si="190"/>
        <v>-629.51846377371714</v>
      </c>
      <c r="AM72" s="108">
        <f t="shared" si="190"/>
        <v>74.367111456135447</v>
      </c>
      <c r="AN72" s="108">
        <f t="shared" si="190"/>
        <v>1023.9880327056526</v>
      </c>
      <c r="AO72" s="108">
        <f t="shared" si="190"/>
        <v>843.41373615958491</v>
      </c>
      <c r="AP72" s="108">
        <f t="shared" si="190"/>
        <v>737.63700366124192</v>
      </c>
      <c r="AQ72" s="108">
        <f t="shared" si="190"/>
        <v>559.48218449607907</v>
      </c>
      <c r="AR72" s="108">
        <f t="shared" si="190"/>
        <v>333.98480404029476</v>
      </c>
      <c r="AS72" s="272">
        <f t="shared" si="190"/>
        <v>45.660590076110857</v>
      </c>
      <c r="AT72" s="108">
        <f t="shared" si="190"/>
        <v>-140.9165075188709</v>
      </c>
      <c r="AU72" s="108">
        <f t="shared" si="190"/>
        <v>-221.25293572846877</v>
      </c>
      <c r="AV72" s="108">
        <f t="shared" ref="AV72:BF72" si="191">AV65*AV$67</f>
        <v>-309.88456134755114</v>
      </c>
      <c r="AW72" s="108">
        <f t="shared" si="191"/>
        <v>-757.22636690979868</v>
      </c>
      <c r="AX72" s="108">
        <f t="shared" si="191"/>
        <v>-749.94955298378682</v>
      </c>
      <c r="AY72" s="108">
        <f t="shared" si="191"/>
        <v>-797.19156206801711</v>
      </c>
      <c r="AZ72" s="108">
        <f t="shared" si="191"/>
        <v>-784.19020058225613</v>
      </c>
      <c r="BA72" s="108">
        <f t="shared" si="191"/>
        <v>-377.51924425179811</v>
      </c>
      <c r="BB72" s="108">
        <f t="shared" si="191"/>
        <v>-50.06714703502886</v>
      </c>
      <c r="BC72" s="108">
        <f t="shared" si="191"/>
        <v>-41.99192518266976</v>
      </c>
      <c r="BD72" s="108">
        <f t="shared" si="191"/>
        <v>-60.936244404537668</v>
      </c>
      <c r="BE72" s="108">
        <f t="shared" si="191"/>
        <v>-34.033486530665009</v>
      </c>
      <c r="BF72" s="108">
        <f t="shared" si="191"/>
        <v>-27.725904631527669</v>
      </c>
      <c r="BG72" s="108">
        <f t="shared" ref="BG72" si="192">BG65*BG$67</f>
        <v>-41.561700588279642</v>
      </c>
      <c r="BH72" s="107">
        <f t="shared" si="171"/>
        <v>-38.741389396419031</v>
      </c>
      <c r="BI72" s="111">
        <f t="shared" si="171"/>
        <v>-29.448834074264841</v>
      </c>
      <c r="BJ72" s="112">
        <f t="shared" si="171"/>
        <v>-24.633216518106238</v>
      </c>
    </row>
    <row r="73" spans="1:62" ht="16.5" thickTop="1" thickBot="1" x14ac:dyDescent="0.3">
      <c r="A73" s="123" t="s">
        <v>71</v>
      </c>
      <c r="B73" s="127">
        <f t="shared" ref="B73:AI73" si="193">SUM(B68:B72)+SUM(B61:B65)-B76</f>
        <v>0</v>
      </c>
      <c r="C73" s="128">
        <f t="shared" si="193"/>
        <v>0</v>
      </c>
      <c r="D73" s="128">
        <f t="shared" si="193"/>
        <v>0</v>
      </c>
      <c r="E73" s="128">
        <f t="shared" si="193"/>
        <v>0</v>
      </c>
      <c r="F73" s="128">
        <f t="shared" si="193"/>
        <v>0</v>
      </c>
      <c r="G73" s="128">
        <f t="shared" si="193"/>
        <v>3.7834979593753815E-10</v>
      </c>
      <c r="H73" s="128">
        <f t="shared" si="193"/>
        <v>0</v>
      </c>
      <c r="I73" s="128">
        <f t="shared" si="193"/>
        <v>0</v>
      </c>
      <c r="J73" s="128">
        <f t="shared" si="193"/>
        <v>0</v>
      </c>
      <c r="K73" s="128">
        <f t="shared" si="193"/>
        <v>0</v>
      </c>
      <c r="L73" s="128">
        <f t="shared" si="193"/>
        <v>0</v>
      </c>
      <c r="M73" s="128">
        <f t="shared" si="193"/>
        <v>0</v>
      </c>
      <c r="N73" s="128">
        <f>SUM(N68:N72)+SUM(N61:N65)-N76</f>
        <v>0</v>
      </c>
      <c r="O73" s="128">
        <f t="shared" si="193"/>
        <v>0</v>
      </c>
      <c r="P73" s="128">
        <f t="shared" si="193"/>
        <v>0</v>
      </c>
      <c r="Q73" s="128">
        <f t="shared" si="193"/>
        <v>0</v>
      </c>
      <c r="R73" s="128">
        <f t="shared" si="193"/>
        <v>0</v>
      </c>
      <c r="S73" s="128">
        <f t="shared" si="193"/>
        <v>2.0954757928848267E-9</v>
      </c>
      <c r="T73" s="128">
        <f t="shared" si="193"/>
        <v>0</v>
      </c>
      <c r="U73" s="128">
        <f t="shared" si="193"/>
        <v>3.7252902984619141E-9</v>
      </c>
      <c r="V73" s="128">
        <f t="shared" si="193"/>
        <v>2.9103830456733704E-9</v>
      </c>
      <c r="W73" s="151">
        <f t="shared" si="193"/>
        <v>3.8417056202888489E-9</v>
      </c>
      <c r="X73" s="151">
        <f t="shared" si="193"/>
        <v>3.9581209421157837E-9</v>
      </c>
      <c r="Y73" s="151">
        <f t="shared" si="193"/>
        <v>0</v>
      </c>
      <c r="Z73" s="151">
        <f t="shared" si="193"/>
        <v>2.7939677238464355E-9</v>
      </c>
      <c r="AA73" s="151">
        <f t="shared" si="193"/>
        <v>0</v>
      </c>
      <c r="AB73" s="151">
        <f t="shared" si="193"/>
        <v>0</v>
      </c>
      <c r="AC73" s="151">
        <f t="shared" si="193"/>
        <v>0</v>
      </c>
      <c r="AD73" s="151">
        <f t="shared" si="193"/>
        <v>0</v>
      </c>
      <c r="AE73" s="151">
        <f t="shared" si="193"/>
        <v>0</v>
      </c>
      <c r="AF73" s="151">
        <f t="shared" si="193"/>
        <v>0</v>
      </c>
      <c r="AG73" s="151">
        <f t="shared" si="193"/>
        <v>0</v>
      </c>
      <c r="AH73" s="151">
        <f t="shared" si="193"/>
        <v>0</v>
      </c>
      <c r="AI73" s="151">
        <f t="shared" si="193"/>
        <v>0</v>
      </c>
      <c r="AJ73" s="151">
        <f t="shared" ref="AJ73:AU73" si="194">SUM(AJ68:AJ72)+SUM(AJ61:AJ65)-AJ76</f>
        <v>0</v>
      </c>
      <c r="AK73" s="151">
        <f t="shared" si="194"/>
        <v>0</v>
      </c>
      <c r="AL73" s="151">
        <f t="shared" si="194"/>
        <v>0</v>
      </c>
      <c r="AM73" s="151">
        <f t="shared" si="194"/>
        <v>7.4505805969238281E-9</v>
      </c>
      <c r="AN73" s="151">
        <f t="shared" si="194"/>
        <v>7.2759576141834259E-9</v>
      </c>
      <c r="AO73" s="151">
        <f t="shared" si="194"/>
        <v>6.8685039877891541E-9</v>
      </c>
      <c r="AP73" s="151">
        <f t="shared" si="194"/>
        <v>6.8685039877891541E-9</v>
      </c>
      <c r="AQ73" s="151">
        <f t="shared" si="194"/>
        <v>6.6356733441352844E-9</v>
      </c>
      <c r="AR73" s="151">
        <f t="shared" si="194"/>
        <v>6.0535967350006104E-9</v>
      </c>
      <c r="AS73" s="151">
        <f t="shared" si="194"/>
        <v>6.577465683221817E-9</v>
      </c>
      <c r="AT73" s="151">
        <f t="shared" si="194"/>
        <v>6.3446350395679474E-9</v>
      </c>
      <c r="AU73" s="151">
        <f t="shared" si="194"/>
        <v>6.4028427004814148E-9</v>
      </c>
      <c r="AV73" s="151">
        <f t="shared" ref="AV73:BF73" si="195">SUM(AV68:AV72)+SUM(AV61:AV65)-AV76</f>
        <v>6.4028427004814148E-9</v>
      </c>
      <c r="AW73" s="151">
        <f t="shared" si="195"/>
        <v>6.4028427004814148E-9</v>
      </c>
      <c r="AX73" s="151">
        <f t="shared" si="195"/>
        <v>6.5192580223083496E-9</v>
      </c>
      <c r="AY73" s="151">
        <f t="shared" si="195"/>
        <v>6.28642737865448E-9</v>
      </c>
      <c r="AZ73" s="151">
        <f t="shared" si="195"/>
        <v>6.0535967350006104E-9</v>
      </c>
      <c r="BA73" s="151">
        <f t="shared" si="195"/>
        <v>6.0535967350006104E-9</v>
      </c>
      <c r="BB73" s="151">
        <f t="shared" si="195"/>
        <v>6.1700120568275452E-9</v>
      </c>
      <c r="BC73" s="151">
        <f t="shared" si="195"/>
        <v>6.5192580223083496E-9</v>
      </c>
      <c r="BD73" s="151">
        <f t="shared" si="195"/>
        <v>6.28642737865448E-9</v>
      </c>
      <c r="BE73" s="151">
        <f t="shared" si="195"/>
        <v>6.0535967350006104E-9</v>
      </c>
      <c r="BF73" s="151">
        <f t="shared" si="195"/>
        <v>6.1700120568275452E-9</v>
      </c>
      <c r="BG73" s="151">
        <f t="shared" ref="BG73" si="196">SUM(BG68:BG72)+SUM(BG61:BG65)-BG76</f>
        <v>6.0535967350006104E-9</v>
      </c>
      <c r="BH73" s="127">
        <f>SUM(BH68:BH72)+SUM(BH61:BH65)-BH76</f>
        <v>5.9371814131736755E-9</v>
      </c>
      <c r="BI73" s="128">
        <f>SUM(BI68:BI72)+SUM(BI61:BI65)-BI76</f>
        <v>6.0535967350006104E-9</v>
      </c>
      <c r="BJ73" s="129">
        <f>SUM(BJ68:BJ72)+SUM(BJ61:BJ65)-BJ76</f>
        <v>6.4028427004814148E-9</v>
      </c>
    </row>
    <row r="74" spans="1:62" ht="16.5" thickTop="1" thickBot="1" x14ac:dyDescent="0.3">
      <c r="A74" s="123" t="s">
        <v>72</v>
      </c>
      <c r="B74" s="127">
        <f t="shared" ref="B74:AH74" si="197">SUM(B68:B72)-B51</f>
        <v>0</v>
      </c>
      <c r="C74" s="125">
        <f t="shared" si="197"/>
        <v>0</v>
      </c>
      <c r="D74" s="128">
        <f>SUM(D68:D72)-D51</f>
        <v>9.7962009999719157E-4</v>
      </c>
      <c r="E74" s="128">
        <f t="shared" si="197"/>
        <v>-2.4430397546666427E-3</v>
      </c>
      <c r="F74" s="128">
        <f t="shared" si="197"/>
        <v>4.2034737632548058E-3</v>
      </c>
      <c r="G74" s="128">
        <f t="shared" si="197"/>
        <v>-3.0554803197588853E-3</v>
      </c>
      <c r="H74" s="128">
        <f t="shared" si="197"/>
        <v>4.8705313777190895E-3</v>
      </c>
      <c r="I74" s="128">
        <f t="shared" si="197"/>
        <v>-2.6554895011940971E-3</v>
      </c>
      <c r="J74" s="128">
        <f t="shared" si="197"/>
        <v>-2.3568900978716556E-3</v>
      </c>
      <c r="K74" s="128">
        <f t="shared" si="197"/>
        <v>-5.5215060183400055E-4</v>
      </c>
      <c r="L74" s="128">
        <f t="shared" si="197"/>
        <v>-5.5538945116495597E-4</v>
      </c>
      <c r="M74" s="128">
        <f t="shared" si="197"/>
        <v>-6.9978636111045489E-4</v>
      </c>
      <c r="N74" s="128">
        <f>SUM(N68:N72)-N51</f>
        <v>-6.5507182534929598E-4</v>
      </c>
      <c r="O74" s="128">
        <f t="shared" si="197"/>
        <v>-4.6056312885411899E-4</v>
      </c>
      <c r="P74" s="128">
        <f t="shared" si="197"/>
        <v>-5.8893870209431043E-4</v>
      </c>
      <c r="Q74" s="128">
        <f t="shared" si="197"/>
        <v>-5.8950310267391615E-4</v>
      </c>
      <c r="R74" s="128">
        <f t="shared" si="197"/>
        <v>-5.9006804212913266E-4</v>
      </c>
      <c r="S74" s="128">
        <f t="shared" si="197"/>
        <v>-7.2416805710417975E-4</v>
      </c>
      <c r="T74" s="128">
        <f t="shared" si="197"/>
        <v>-7.1568626481166575E-4</v>
      </c>
      <c r="U74" s="128">
        <f t="shared" si="197"/>
        <v>-7.551908031473431E-4</v>
      </c>
      <c r="V74" s="128">
        <f t="shared" si="197"/>
        <v>-7.4647558653850865E-4</v>
      </c>
      <c r="W74" s="151">
        <f t="shared" si="197"/>
        <v>-4.7149359420473047E-3</v>
      </c>
      <c r="X74" s="151">
        <f t="shared" si="197"/>
        <v>0.10010868704739551</v>
      </c>
      <c r="Y74" s="151">
        <f t="shared" si="197"/>
        <v>1.0232044041913468E-3</v>
      </c>
      <c r="Z74" s="151">
        <f t="shared" si="197"/>
        <v>-32.695106411880715</v>
      </c>
      <c r="AA74" s="151">
        <f t="shared" si="197"/>
        <v>32.687925674816142</v>
      </c>
      <c r="AB74" s="151">
        <f t="shared" si="197"/>
        <v>7.615718732267851E-4</v>
      </c>
      <c r="AC74" s="151">
        <f t="shared" si="197"/>
        <v>-3.3131756572402082E-4</v>
      </c>
      <c r="AD74" s="151">
        <f t="shared" si="197"/>
        <v>-8.1483454414410517E-4</v>
      </c>
      <c r="AE74" s="151">
        <f t="shared" si="197"/>
        <v>-3.6852402190561406E-3</v>
      </c>
      <c r="AF74" s="151">
        <f t="shared" si="197"/>
        <v>7.3079820140264928E-4</v>
      </c>
      <c r="AG74" s="151">
        <f t="shared" si="197"/>
        <v>-2.306188387592556E-3</v>
      </c>
      <c r="AH74" s="151">
        <f t="shared" si="197"/>
        <v>-1.4901307440595701E-3</v>
      </c>
      <c r="AI74" s="151">
        <f>SUM(AI68:AI72)-AI51</f>
        <v>-4.1587803207221441E-4</v>
      </c>
      <c r="AJ74" s="151">
        <f t="shared" ref="AJ74:AK74" si="198">SUM(AJ68:AJ72)-AJ51</f>
        <v>-2.9811777458235156E-3</v>
      </c>
      <c r="AK74" s="151">
        <f t="shared" si="198"/>
        <v>2.660248977917945E-3</v>
      </c>
      <c r="AL74" s="151">
        <f t="shared" ref="AL74:AT74" si="199">SUM(AL68:AL72)-AL51</f>
        <v>-6.0482441040221602E-3</v>
      </c>
      <c r="AM74" s="151">
        <f t="shared" si="199"/>
        <v>-4.1456806229689391E-3</v>
      </c>
      <c r="AN74" s="151">
        <f t="shared" si="199"/>
        <v>-5.2638341039710212E-3</v>
      </c>
      <c r="AO74" s="151">
        <f t="shared" si="199"/>
        <v>-2.5981380861139769E-3</v>
      </c>
      <c r="AP74" s="151">
        <f t="shared" si="199"/>
        <v>-4.606702500495885E-3</v>
      </c>
      <c r="AQ74" s="151">
        <f t="shared" si="199"/>
        <v>2.8300871583724074E-3</v>
      </c>
      <c r="AR74" s="151">
        <f t="shared" si="199"/>
        <v>-3.998226596195309E-3</v>
      </c>
      <c r="AS74" s="273">
        <f>SUM(AS68:AS72)-AS51</f>
        <v>-5.6150564536210368E-3</v>
      </c>
      <c r="AT74" s="273">
        <f t="shared" si="199"/>
        <v>-5.2153313677081314E-3</v>
      </c>
      <c r="AU74" s="273">
        <f>SUM(AU68:AU72)-AU51</f>
        <v>-5.0582182691414346E-3</v>
      </c>
      <c r="AV74" s="273">
        <f t="shared" ref="AV74:BF74" si="200">SUM(AV68:AV72)-AV51</f>
        <v>-3.0424392514305509E-3</v>
      </c>
      <c r="AW74" s="273">
        <f t="shared" si="200"/>
        <v>9.5321632329614658E-4</v>
      </c>
      <c r="AX74" s="273">
        <f t="shared" si="200"/>
        <v>3.4421948257659096E-3</v>
      </c>
      <c r="AY74" s="273">
        <f t="shared" si="200"/>
        <v>-3.7234076880849898E-3</v>
      </c>
      <c r="AZ74" s="273">
        <f t="shared" si="200"/>
        <v>-6.1032712096675823E-4</v>
      </c>
      <c r="BA74" s="273">
        <f t="shared" si="200"/>
        <v>-4.1184723534115619E-4</v>
      </c>
      <c r="BB74" s="273">
        <f t="shared" si="200"/>
        <v>-4.011665493536043E-3</v>
      </c>
      <c r="BC74" s="273">
        <f t="shared" si="200"/>
        <v>1.248503372352161E-3</v>
      </c>
      <c r="BD74" s="273">
        <f t="shared" si="200"/>
        <v>2.4105577448665372E-3</v>
      </c>
      <c r="BE74" s="273">
        <f t="shared" si="200"/>
        <v>7.0262200242154904E-4</v>
      </c>
      <c r="BF74" s="273">
        <f t="shared" si="200"/>
        <v>-4.4140621087791487E-3</v>
      </c>
      <c r="BG74" s="273">
        <f>SUM(BG68:BG72)-BG51</f>
        <v>7.916015372018137E-4</v>
      </c>
      <c r="BH74" s="127">
        <f>SUM(BH68:BH72)-BH51</f>
        <v>-9.5535112848210701E-5</v>
      </c>
      <c r="BI74" s="128">
        <f>SUM(BI68:BI72)-BI51</f>
        <v>-9.555103540037635E-5</v>
      </c>
      <c r="BJ74" s="129">
        <f>SUM(BJ68:BJ72)-BJ51</f>
        <v>-9.5566960567339265E-5</v>
      </c>
    </row>
    <row r="75" spans="1:62" ht="15.75" thickTop="1" x14ac:dyDescent="0.25">
      <c r="B75" s="97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5"/>
      <c r="BI75" s="96"/>
      <c r="BJ75" s="99"/>
    </row>
    <row r="76" spans="1:62" x14ac:dyDescent="0.25">
      <c r="A76" s="69" t="s">
        <v>73</v>
      </c>
      <c r="B76" s="107">
        <f>(SUM(B15:B18)-SUM(B35:B39))+SUM(B68:B72)</f>
        <v>0</v>
      </c>
      <c r="C76" s="111">
        <f t="shared" ref="C76:M76" si="201">(SUM(C15:C18)-SUM(C35:C39))+SUM(C68:C72)+B76</f>
        <v>0</v>
      </c>
      <c r="D76" s="111">
        <f t="shared" si="201"/>
        <v>489876.34097962017</v>
      </c>
      <c r="E76" s="111">
        <f t="shared" si="201"/>
        <v>1086590.3685365804</v>
      </c>
      <c r="F76" s="111">
        <f t="shared" si="201"/>
        <v>2343961.602740054</v>
      </c>
      <c r="G76" s="111">
        <f t="shared" si="201"/>
        <v>208883.89968457352</v>
      </c>
      <c r="H76" s="111">
        <f t="shared" si="201"/>
        <v>-2670663.7454448952</v>
      </c>
      <c r="I76" s="111">
        <f t="shared" si="201"/>
        <v>-3837266.1881003855</v>
      </c>
      <c r="J76" s="111">
        <f t="shared" si="201"/>
        <v>-6612519.2104572756</v>
      </c>
      <c r="K76" s="111">
        <f t="shared" si="201"/>
        <v>-7008862.1886224486</v>
      </c>
      <c r="L76" s="111">
        <f t="shared" si="201"/>
        <v>-6426755.5918687461</v>
      </c>
      <c r="M76" s="111">
        <f t="shared" si="201"/>
        <v>-7154794.8022508901</v>
      </c>
      <c r="N76" s="111">
        <f>(SUM(N15:N18)-SUM(N35:N39))+SUM(N68:N72)+M76</f>
        <v>-8522551.8958300781</v>
      </c>
      <c r="O76" s="111">
        <f>(SUM(O15:O18)-SUM(O35:O39))+SUM(O68:O72)+N76+N77</f>
        <v>-5003630.5763294511</v>
      </c>
      <c r="P76" s="111">
        <f t="shared" ref="P76:AH76" si="202">(SUM(P15:P18)-SUM(P35:P39))+SUM(P68:P72)+O76</f>
        <v>-5008133.6927046841</v>
      </c>
      <c r="Q76" s="111">
        <f t="shared" si="202"/>
        <v>-5205272.643027693</v>
      </c>
      <c r="R76" s="111">
        <f t="shared" si="202"/>
        <v>-3281937.0614572605</v>
      </c>
      <c r="S76" s="111">
        <f t="shared" si="202"/>
        <v>-1732921.0139424729</v>
      </c>
      <c r="T76" s="111">
        <f t="shared" si="202"/>
        <v>-2546355.7866913271</v>
      </c>
      <c r="U76" s="111">
        <f t="shared" si="202"/>
        <v>-1244978.0691864495</v>
      </c>
      <c r="V76" s="111">
        <f t="shared" si="202"/>
        <v>-498054.22457885195</v>
      </c>
      <c r="W76" s="108">
        <f t="shared" si="202"/>
        <v>882449.61070621188</v>
      </c>
      <c r="X76" s="108">
        <f t="shared" si="202"/>
        <v>1548921.2108148988</v>
      </c>
      <c r="Y76" s="108">
        <f t="shared" si="202"/>
        <v>3548718.3118381049</v>
      </c>
      <c r="Z76" s="108">
        <f t="shared" si="202"/>
        <v>2087701.4667316929</v>
      </c>
      <c r="AA76" s="108">
        <f t="shared" si="202"/>
        <v>-1175296.9553426306</v>
      </c>
      <c r="AB76" s="108">
        <f t="shared" si="202"/>
        <v>-2965522.3645810592</v>
      </c>
      <c r="AC76" s="108">
        <f t="shared" si="202"/>
        <v>-4755941.9849123769</v>
      </c>
      <c r="AD76" s="108">
        <f t="shared" si="202"/>
        <v>-5627892.4657272128</v>
      </c>
      <c r="AE76" s="108">
        <f t="shared" si="202"/>
        <v>-7571818.7594124526</v>
      </c>
      <c r="AF76" s="108">
        <f t="shared" si="202"/>
        <v>-9186064.588681655</v>
      </c>
      <c r="AG76" s="108">
        <f t="shared" si="202"/>
        <v>-9924015.440987844</v>
      </c>
      <c r="AH76" s="108">
        <f t="shared" si="202"/>
        <v>-11970746.362477975</v>
      </c>
      <c r="AI76" s="226">
        <f>(SUM(AI15:AI18)-SUM(AI35:AI39))+SUM(AI68:AI72)+AH76</f>
        <v>-13390027.132893855</v>
      </c>
      <c r="AJ76" s="226">
        <f t="shared" ref="AJ76:AU76" si="203">(SUM(AJ15:AJ18)-SUM(AJ35:AJ39))+SUM(AJ68:AJ72)+AI76</f>
        <v>-12593831.945875032</v>
      </c>
      <c r="AK76" s="226">
        <f t="shared" si="203"/>
        <v>-11310746.163214782</v>
      </c>
      <c r="AL76" s="226">
        <f t="shared" si="203"/>
        <v>-16058988.549263027</v>
      </c>
      <c r="AM76" s="226">
        <f t="shared" si="203"/>
        <v>-6620807.0534087084</v>
      </c>
      <c r="AN76" s="226">
        <f t="shared" si="203"/>
        <v>420953.94132745825</v>
      </c>
      <c r="AO76" s="226">
        <f t="shared" si="203"/>
        <v>494462.59872932022</v>
      </c>
      <c r="AP76" s="226">
        <f t="shared" si="203"/>
        <v>536525.44412261772</v>
      </c>
      <c r="AQ76" s="226">
        <f t="shared" si="203"/>
        <v>584712.62695270497</v>
      </c>
      <c r="AR76" s="226">
        <f t="shared" si="203"/>
        <v>1716811.0029544784</v>
      </c>
      <c r="AS76" s="226">
        <f t="shared" si="203"/>
        <v>325792.11733942199</v>
      </c>
      <c r="AT76" s="226">
        <f t="shared" si="203"/>
        <v>312206.85212409071</v>
      </c>
      <c r="AU76" s="226">
        <f t="shared" si="203"/>
        <v>610302.81706587248</v>
      </c>
      <c r="AV76" s="226">
        <f t="shared" ref="AV76" si="204">(SUM(AV15:AV18)-SUM(AV35:AV39))+SUM(AV68:AV72)+AU76</f>
        <v>508105.83402343321</v>
      </c>
      <c r="AW76" s="226">
        <f t="shared" ref="AW76" si="205">(SUM(AW15:AW18)-SUM(AW35:AW39))+SUM(AW68:AW72)+AV76</f>
        <v>659617.17497664946</v>
      </c>
      <c r="AX76" s="226">
        <f t="shared" ref="AX76" si="206">(SUM(AX15:AX18)-SUM(AX35:AX39))+SUM(AX68:AX72)+AW76</f>
        <v>779333.67841884412</v>
      </c>
      <c r="AY76" s="226">
        <f t="shared" ref="AY76" si="207">(SUM(AY15:AY18)-SUM(AY35:AY39))+SUM(AY68:AY72)+AX76</f>
        <v>802093.6946954364</v>
      </c>
      <c r="AZ76" s="226">
        <f t="shared" ref="AZ76" si="208">(SUM(AZ15:AZ18)-SUM(AZ35:AZ39))+SUM(AZ68:AZ72)+AY76</f>
        <v>841929.76408510935</v>
      </c>
      <c r="BA76" s="226">
        <f t="shared" ref="BA76" si="209">(SUM(BA15:BA18)-SUM(BA35:BA39))+SUM(BA68:BA72)+AZ76</f>
        <v>707885.93367326213</v>
      </c>
      <c r="BB76" s="226">
        <f t="shared" ref="BB76" si="210">(SUM(BB15:BB18)-SUM(BB35:BB39))+SUM(BB68:BB72)+BA76</f>
        <v>604550.94966159656</v>
      </c>
      <c r="BC76" s="226">
        <f t="shared" ref="BC76" si="211">(SUM(BC15:BC18)-SUM(BC35:BC39))+SUM(BC68:BC72)+BB76</f>
        <v>727933.96091009991</v>
      </c>
      <c r="BD76" s="226">
        <f t="shared" ref="BD76" si="212">(SUM(BD15:BD18)-SUM(BD35:BD39))+SUM(BD68:BD72)+BC76</f>
        <v>579093.52332065767</v>
      </c>
      <c r="BE76" s="226">
        <f t="shared" ref="BE76" si="213">(SUM(BE15:BE18)-SUM(BE35:BE39))+SUM(BE68:BE72)+BD76</f>
        <v>1081829.3340232796</v>
      </c>
      <c r="BF76" s="226">
        <f t="shared" ref="BF76:BG76" si="214">(SUM(BF15:BF18)-SUM(BF35:BF39))+SUM(BF68:BF72)+BE76</f>
        <v>1028502.0696092175</v>
      </c>
      <c r="BG76" s="226">
        <f t="shared" si="214"/>
        <v>924878.870400819</v>
      </c>
      <c r="BH76" s="107">
        <f>(SUM(BH15:BH18)-SUM(BH35:BH39))+SUM(BH68:BH72)+BG76</f>
        <v>795318.23182385112</v>
      </c>
      <c r="BI76" s="111">
        <f>(SUM(BI15:BI18)-SUM(BI35:BI39))+SUM(BI68:BI72)+BH76</f>
        <v>1073981.0791115263</v>
      </c>
      <c r="BJ76" s="112">
        <f>(SUM(BJ15:BJ18)-SUM(BJ35:BJ39))+SUM(BJ68:BJ72)+BI76</f>
        <v>985960.76284184796</v>
      </c>
    </row>
    <row r="77" spans="1:62" x14ac:dyDescent="0.25"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14" t="s">
        <v>105</v>
      </c>
      <c r="N77" s="204">
        <v>2696726</v>
      </c>
      <c r="O77" s="193"/>
      <c r="P77" s="193"/>
      <c r="Q77" s="193"/>
      <c r="R77" s="193"/>
      <c r="S77" s="193"/>
      <c r="T77" s="193"/>
      <c r="U77" s="193"/>
      <c r="V77" s="193"/>
      <c r="W77" s="193"/>
      <c r="X77" s="194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220"/>
      <c r="BI77" s="194"/>
      <c r="BJ77" s="195"/>
    </row>
    <row r="78" spans="1:62" s="162" customFormat="1" x14ac:dyDescent="0.25">
      <c r="A78" s="196" t="s">
        <v>0</v>
      </c>
      <c r="B78" s="97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191">
        <v>2260140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148"/>
      <c r="BI78" s="98"/>
      <c r="BJ78" s="99"/>
    </row>
    <row r="79" spans="1:62" s="162" customFormat="1" x14ac:dyDescent="0.25">
      <c r="A79" s="196" t="s">
        <v>4</v>
      </c>
      <c r="B79" s="97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191">
        <v>98743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7"/>
      <c r="BI79" s="98"/>
      <c r="BJ79" s="99"/>
    </row>
    <row r="80" spans="1:62" s="162" customFormat="1" x14ac:dyDescent="0.25">
      <c r="A80" s="196" t="s">
        <v>5</v>
      </c>
      <c r="B80" s="97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191">
        <v>354201</v>
      </c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7"/>
      <c r="BI80" s="98"/>
      <c r="BJ80" s="99"/>
    </row>
    <row r="81" spans="1:62" s="162" customFormat="1" x14ac:dyDescent="0.25">
      <c r="A81" s="196" t="s">
        <v>6</v>
      </c>
      <c r="B81" s="97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191">
        <v>106604</v>
      </c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7"/>
      <c r="BI81" s="98"/>
      <c r="BJ81" s="99"/>
    </row>
    <row r="82" spans="1:62" ht="15.75" thickBot="1" x14ac:dyDescent="0.3">
      <c r="A82" s="196" t="s">
        <v>7</v>
      </c>
      <c r="B82" s="146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205">
        <v>-122962</v>
      </c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46"/>
      <c r="BI82" s="147"/>
      <c r="BJ82" s="132"/>
    </row>
    <row r="83" spans="1:62" x14ac:dyDescent="0.25">
      <c r="D83" s="54"/>
      <c r="E83" s="50"/>
      <c r="F83" s="50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</row>
    <row r="85" spans="1:6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</row>
    <row r="86" spans="1:62" x14ac:dyDescent="0.25"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3"/>
    </row>
    <row r="87" spans="1:62" x14ac:dyDescent="0.25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</row>
    <row r="89" spans="1:62" x14ac:dyDescent="0.25"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3"/>
    </row>
  </sheetData>
  <mergeCells count="1">
    <mergeCell ref="BH13:BJ13"/>
  </mergeCells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-0.249977111117893"/>
  </sheetPr>
  <dimension ref="A1:AA57"/>
  <sheetViews>
    <sheetView workbookViewId="0">
      <selection activeCell="C6" sqref="C6"/>
    </sheetView>
  </sheetViews>
  <sheetFormatPr defaultRowHeight="15" x14ac:dyDescent="0.25"/>
  <cols>
    <col min="1" max="1" width="17.5703125" customWidth="1"/>
    <col min="2" max="2" width="15.570312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7" t="s">
        <v>163</v>
      </c>
      <c r="D1" s="47"/>
    </row>
    <row r="2" spans="1:10" x14ac:dyDescent="0.25">
      <c r="B2" s="72" t="s">
        <v>60</v>
      </c>
      <c r="C2" s="72"/>
      <c r="E2" s="55" t="s">
        <v>26</v>
      </c>
      <c r="F2" s="47"/>
      <c r="G2" s="47"/>
      <c r="H2" s="47"/>
      <c r="I2" s="47"/>
      <c r="J2" s="47"/>
    </row>
    <row r="3" spans="1:10" x14ac:dyDescent="0.25">
      <c r="B3" s="370" t="s">
        <v>62</v>
      </c>
      <c r="C3" s="370"/>
      <c r="E3" s="55" t="s">
        <v>61</v>
      </c>
      <c r="F3" s="47"/>
    </row>
    <row r="4" spans="1:10" s="162" customFormat="1" x14ac:dyDescent="0.25">
      <c r="B4" s="343" t="s">
        <v>150</v>
      </c>
      <c r="C4" s="343" t="s">
        <v>151</v>
      </c>
      <c r="E4" s="55"/>
      <c r="F4" s="47"/>
    </row>
    <row r="5" spans="1:10" x14ac:dyDescent="0.25">
      <c r="A5" s="21" t="s">
        <v>0</v>
      </c>
      <c r="B5" s="302">
        <f>'[2]M2 Allocations - TD'!BV39</f>
        <v>0</v>
      </c>
      <c r="C5" s="44">
        <f>'[2]M3 Allocations - TD'!AL39</f>
        <v>16282546.653734548</v>
      </c>
      <c r="F5" s="47"/>
      <c r="G5" s="47"/>
      <c r="H5" s="47"/>
      <c r="I5" s="47"/>
      <c r="J5" s="47"/>
    </row>
    <row r="6" spans="1:10" x14ac:dyDescent="0.25">
      <c r="A6" s="21" t="s">
        <v>4</v>
      </c>
      <c r="B6" s="302">
        <f>'[2]M2 Allocations - TD'!BV40</f>
        <v>3588.3899999999921</v>
      </c>
      <c r="C6" s="44">
        <f>'[2]M3 Allocations - TD'!AL40</f>
        <v>3789701.5332512702</v>
      </c>
      <c r="E6" s="2"/>
    </row>
    <row r="7" spans="1:10" x14ac:dyDescent="0.25">
      <c r="A7" s="21" t="s">
        <v>5</v>
      </c>
      <c r="B7" s="302">
        <f>'[2]M2 Allocations - TD'!BV41</f>
        <v>313220.07999999996</v>
      </c>
      <c r="C7" s="44">
        <f>'[2]M3 Allocations - TD'!AL41</f>
        <v>6503105.0890115267</v>
      </c>
      <c r="E7" s="2"/>
    </row>
    <row r="8" spans="1:10" x14ac:dyDescent="0.25">
      <c r="A8" s="21" t="s">
        <v>6</v>
      </c>
      <c r="B8" s="302">
        <f>'[2]M2 Allocations - TD'!BV42</f>
        <v>238115.91999999998</v>
      </c>
      <c r="C8" s="44">
        <f>'[2]M3 Allocations - TD'!AL42</f>
        <v>2467177.910913982</v>
      </c>
    </row>
    <row r="9" spans="1:10" ht="15.75" thickBot="1" x14ac:dyDescent="0.3">
      <c r="A9" s="21" t="s">
        <v>7</v>
      </c>
      <c r="B9" s="302">
        <f>'[2]M2 Allocations - TD'!BV43</f>
        <v>0</v>
      </c>
      <c r="C9" s="44">
        <f>'[2]M3 Allocations - TD'!AL43</f>
        <v>666278.79432071</v>
      </c>
    </row>
    <row r="10" spans="1:10" ht="16.5" thickTop="1" thickBot="1" x14ac:dyDescent="0.3">
      <c r="A10" s="70" t="s">
        <v>9</v>
      </c>
      <c r="B10" s="66">
        <f>SUM(B5:B9)</f>
        <v>554924.3899999999</v>
      </c>
      <c r="C10" s="66">
        <f>SUM(C5:C9)</f>
        <v>29708809.981232036</v>
      </c>
    </row>
    <row r="11" spans="1:10" ht="15.75" thickTop="1" x14ac:dyDescent="0.25">
      <c r="C11" s="3"/>
      <c r="D11" s="53"/>
    </row>
    <row r="12" spans="1:10" x14ac:dyDescent="0.25">
      <c r="C12" s="3"/>
    </row>
    <row r="13" spans="1:10" x14ac:dyDescent="0.25">
      <c r="C13" s="3"/>
      <c r="D13" s="3"/>
    </row>
    <row r="14" spans="1:10" x14ac:dyDescent="0.25">
      <c r="D14" s="3"/>
    </row>
    <row r="18" spans="5:27" x14ac:dyDescent="0.25">
      <c r="R18" s="1"/>
      <c r="S18" s="1"/>
      <c r="T18" s="1"/>
      <c r="U18" s="1"/>
      <c r="V18" s="1"/>
      <c r="W18" s="1"/>
      <c r="X18" s="1"/>
      <c r="Y18" s="1"/>
      <c r="Z18" s="1"/>
      <c r="AA18" s="1"/>
    </row>
    <row r="26" spans="5:27" x14ac:dyDescent="0.25">
      <c r="E26" s="56"/>
    </row>
    <row r="48" spans="2:2" x14ac:dyDescent="0.25">
      <c r="B48" s="6"/>
    </row>
    <row r="52" spans="2:4" x14ac:dyDescent="0.25">
      <c r="B52" s="6"/>
      <c r="D52" s="6"/>
    </row>
    <row r="53" spans="2:4" x14ac:dyDescent="0.25">
      <c r="C53" s="6"/>
    </row>
    <row r="56" spans="2:4" x14ac:dyDescent="0.25">
      <c r="D56" s="6"/>
    </row>
    <row r="57" spans="2:4" x14ac:dyDescent="0.25">
      <c r="C57" s="6"/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7" tint="0.39997558519241921"/>
  </sheetPr>
  <dimension ref="A1:AK75"/>
  <sheetViews>
    <sheetView zoomScaleNormal="100" workbookViewId="0">
      <pane xSplit="1" ySplit="14" topLeftCell="B57" activePane="bottomRight" state="frozen"/>
      <selection activeCell="AC68" sqref="AC68"/>
      <selection pane="topRight" activeCell="AC68" sqref="AC68"/>
      <selection pane="bottomLeft" activeCell="AC68" sqref="AC68"/>
      <selection pane="bottomRight" activeCell="X65" sqref="X65"/>
    </sheetView>
  </sheetViews>
  <sheetFormatPr defaultColWidth="9.140625" defaultRowHeight="15" x14ac:dyDescent="0.25"/>
  <cols>
    <col min="1" max="1" width="17.5703125" style="162" customWidth="1"/>
    <col min="2" max="2" width="16" style="162" customWidth="1"/>
    <col min="3" max="3" width="14.5703125" style="162" customWidth="1"/>
    <col min="4" max="4" width="15.140625" style="162" customWidth="1"/>
    <col min="5" max="5" width="16.140625" style="162" customWidth="1"/>
    <col min="6" max="6" width="14.28515625" style="162" bestFit="1" customWidth="1"/>
    <col min="7" max="7" width="16" style="162" customWidth="1"/>
    <col min="8" max="9" width="14.28515625" style="162" bestFit="1" customWidth="1"/>
    <col min="10" max="10" width="15.5703125" style="162" customWidth="1"/>
    <col min="11" max="23" width="14" style="162" customWidth="1"/>
    <col min="24" max="24" width="19.140625" style="162" bestFit="1" customWidth="1"/>
    <col min="25" max="26" width="15.5703125" style="162" customWidth="1"/>
    <col min="27" max="27" width="17.28515625" style="162" customWidth="1"/>
    <col min="28" max="16384" width="9.140625" style="162"/>
  </cols>
  <sheetData>
    <row r="1" spans="1:37" x14ac:dyDescent="0.25">
      <c r="A1" s="47" t="s">
        <v>169</v>
      </c>
    </row>
    <row r="2" spans="1:37" x14ac:dyDescent="0.25">
      <c r="B2" s="181" t="s">
        <v>100</v>
      </c>
      <c r="I2" s="2" t="s">
        <v>26</v>
      </c>
    </row>
    <row r="3" spans="1:37" x14ac:dyDescent="0.25">
      <c r="B3" s="217" t="s">
        <v>64</v>
      </c>
      <c r="C3" s="217" t="s">
        <v>76</v>
      </c>
      <c r="D3" s="217" t="s">
        <v>91</v>
      </c>
      <c r="E3" s="217" t="s">
        <v>65</v>
      </c>
      <c r="F3" s="217" t="s">
        <v>66</v>
      </c>
      <c r="H3" s="55" t="s">
        <v>90</v>
      </c>
      <c r="I3" s="47"/>
    </row>
    <row r="4" spans="1:37" x14ac:dyDescent="0.25">
      <c r="A4" s="165" t="s">
        <v>0</v>
      </c>
      <c r="B4" s="23">
        <f>SUM(B29:Z29)</f>
        <v>8367537.5692334445</v>
      </c>
      <c r="C4" s="23">
        <f>SUM(B15:Z15)</f>
        <v>11429229.14519888</v>
      </c>
      <c r="D4" s="23">
        <f>-B4+C4</f>
        <v>3061691.5759654352</v>
      </c>
      <c r="E4" s="23">
        <f>SUM(B56:Z56)</f>
        <v>-646.13119908793783</v>
      </c>
      <c r="F4" s="41">
        <f>D4+E4</f>
        <v>3061045.4447663473</v>
      </c>
      <c r="H4" s="2" t="s">
        <v>98</v>
      </c>
      <c r="I4" s="47"/>
    </row>
    <row r="5" spans="1:37" x14ac:dyDescent="0.25">
      <c r="A5" s="165" t="s">
        <v>4</v>
      </c>
      <c r="B5" s="23">
        <f>SUM(B30:Z30)</f>
        <v>1334702.9926651292</v>
      </c>
      <c r="C5" s="23">
        <f>SUM(B16:Z16)</f>
        <v>1799526.0322377055</v>
      </c>
      <c r="D5" s="23">
        <f t="shared" ref="D5:D8" si="0">-B5+C5</f>
        <v>464823.03957257629</v>
      </c>
      <c r="E5" s="23">
        <f>SUM(B57:Z57)</f>
        <v>-327.8112589753523</v>
      </c>
      <c r="F5" s="41">
        <f>D5+E5</f>
        <v>464495.22831360094</v>
      </c>
      <c r="H5" s="55" t="s">
        <v>99</v>
      </c>
      <c r="I5" s="47"/>
    </row>
    <row r="6" spans="1:37" x14ac:dyDescent="0.25">
      <c r="A6" s="165" t="s">
        <v>5</v>
      </c>
      <c r="B6" s="23">
        <f>SUM(B31:Z31)</f>
        <v>2057208.2275985938</v>
      </c>
      <c r="C6" s="23">
        <f>SUM(B17:Z17)</f>
        <v>2641803.5081611415</v>
      </c>
      <c r="D6" s="23">
        <f t="shared" si="0"/>
        <v>584595.28056254773</v>
      </c>
      <c r="E6" s="23">
        <f>SUM(B58:Z58)</f>
        <v>-4525.0790621326996</v>
      </c>
      <c r="F6" s="41">
        <f>D6+E6</f>
        <v>580070.20150041499</v>
      </c>
      <c r="H6" s="55" t="s">
        <v>118</v>
      </c>
      <c r="I6" s="47"/>
    </row>
    <row r="7" spans="1:37" x14ac:dyDescent="0.25">
      <c r="A7" s="165" t="s">
        <v>6</v>
      </c>
      <c r="B7" s="23">
        <f>SUM(B32:Z32)</f>
        <v>841172.7472158554</v>
      </c>
      <c r="C7" s="23">
        <f>SUM(B18:Z18)</f>
        <v>963519.17885832011</v>
      </c>
      <c r="D7" s="23">
        <f t="shared" si="0"/>
        <v>122346.43164246471</v>
      </c>
      <c r="E7" s="23">
        <f>SUM(B59:Z59)</f>
        <v>-2764.8795526128383</v>
      </c>
      <c r="F7" s="41">
        <f>D7+E7</f>
        <v>119581.55208985187</v>
      </c>
      <c r="H7" s="55" t="s">
        <v>82</v>
      </c>
      <c r="I7" s="47"/>
      <c r="O7" s="46"/>
    </row>
    <row r="8" spans="1:37" ht="15.75" thickBot="1" x14ac:dyDescent="0.3">
      <c r="A8" s="165" t="s">
        <v>7</v>
      </c>
      <c r="B8" s="23">
        <f>SUM(B33:Z33)</f>
        <v>306069.64497437922</v>
      </c>
      <c r="C8" s="23">
        <f>SUM(B19:Z19)</f>
        <v>239781.00307303364</v>
      </c>
      <c r="D8" s="23">
        <f t="shared" si="0"/>
        <v>-66288.641901345574</v>
      </c>
      <c r="E8" s="23">
        <f>SUM(B60:Z60)</f>
        <v>-601.8052755096021</v>
      </c>
      <c r="F8" s="41">
        <f>D8+E8</f>
        <v>-66890.447176855174</v>
      </c>
      <c r="H8" s="55" t="s">
        <v>96</v>
      </c>
      <c r="N8" s="46"/>
    </row>
    <row r="9" spans="1:37" ht="16.5" thickTop="1" thickBot="1" x14ac:dyDescent="0.3">
      <c r="B9" s="84">
        <f t="shared" ref="B9:F9" si="1">SUM(B4:B8)</f>
        <v>12906691.181687403</v>
      </c>
      <c r="C9" s="84">
        <f t="shared" si="1"/>
        <v>17073858.867529079</v>
      </c>
      <c r="D9" s="84">
        <f t="shared" si="1"/>
        <v>4167167.6858416782</v>
      </c>
      <c r="E9" s="84">
        <f t="shared" si="1"/>
        <v>-8865.7063483184302</v>
      </c>
      <c r="F9" s="84">
        <f t="shared" si="1"/>
        <v>4158301.97949336</v>
      </c>
      <c r="H9" s="55" t="s">
        <v>117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37" ht="16.5" thickTop="1" thickBot="1" x14ac:dyDescent="0.3">
      <c r="D10" s="356" t="s">
        <v>25</v>
      </c>
      <c r="E10" s="362">
        <f>E9-SUM(B39:Z39)</f>
        <v>-0.14634831842886342</v>
      </c>
      <c r="F10" s="47"/>
      <c r="I10" s="47"/>
      <c r="M10" s="46"/>
    </row>
    <row r="11" spans="1:37" ht="15.75" thickTop="1" x14ac:dyDescent="0.25">
      <c r="E11" s="3"/>
      <c r="F11" s="3"/>
    </row>
    <row r="12" spans="1:37" ht="15.75" thickBot="1" x14ac:dyDescent="0.3"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354"/>
      <c r="Y12" s="354"/>
      <c r="Z12" s="47"/>
    </row>
    <row r="13" spans="1:37" ht="15.75" thickBot="1" x14ac:dyDescent="0.3">
      <c r="B13" s="85"/>
      <c r="C13" s="86"/>
      <c r="D13" s="87" t="s">
        <v>137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367" t="s">
        <v>67</v>
      </c>
      <c r="Y13" s="368"/>
      <c r="Z13" s="369"/>
    </row>
    <row r="14" spans="1:37" x14ac:dyDescent="0.25">
      <c r="A14" s="162" t="s">
        <v>75</v>
      </c>
      <c r="B14" s="88">
        <v>43466</v>
      </c>
      <c r="C14" s="89">
        <f>EDATE(B14,1)</f>
        <v>43497</v>
      </c>
      <c r="D14" s="89">
        <f t="shared" ref="D14:Z14" si="2">EDATE(C14,1)</f>
        <v>43525</v>
      </c>
      <c r="E14" s="89">
        <f t="shared" si="2"/>
        <v>43556</v>
      </c>
      <c r="F14" s="89">
        <f t="shared" si="2"/>
        <v>43586</v>
      </c>
      <c r="G14" s="89">
        <f t="shared" si="2"/>
        <v>43617</v>
      </c>
      <c r="H14" s="89">
        <f t="shared" si="2"/>
        <v>43647</v>
      </c>
      <c r="I14" s="89">
        <f t="shared" si="2"/>
        <v>43678</v>
      </c>
      <c r="J14" s="89">
        <f t="shared" si="2"/>
        <v>43709</v>
      </c>
      <c r="K14" s="89">
        <f t="shared" si="2"/>
        <v>43739</v>
      </c>
      <c r="L14" s="89">
        <f t="shared" ref="L14" si="3">EDATE(K14,1)</f>
        <v>43770</v>
      </c>
      <c r="M14" s="89">
        <f t="shared" ref="M14" si="4">EDATE(L14,1)</f>
        <v>43800</v>
      </c>
      <c r="N14" s="89">
        <f t="shared" ref="N14" si="5">EDATE(M14,1)</f>
        <v>43831</v>
      </c>
      <c r="O14" s="322">
        <f t="shared" ref="O14" si="6">EDATE(N14,1)</f>
        <v>43862</v>
      </c>
      <c r="P14" s="322">
        <f t="shared" ref="P14" si="7">EDATE(O14,1)</f>
        <v>43891</v>
      </c>
      <c r="Q14" s="322">
        <f t="shared" ref="Q14" si="8">EDATE(P14,1)</f>
        <v>43922</v>
      </c>
      <c r="R14" s="322">
        <f t="shared" ref="R14" si="9">EDATE(Q14,1)</f>
        <v>43952</v>
      </c>
      <c r="S14" s="322">
        <f t="shared" ref="S14" si="10">EDATE(R14,1)</f>
        <v>43983</v>
      </c>
      <c r="T14" s="322">
        <f t="shared" ref="T14" si="11">EDATE(S14,1)</f>
        <v>44013</v>
      </c>
      <c r="U14" s="322">
        <f t="shared" ref="U14" si="12">EDATE(T14,1)</f>
        <v>44044</v>
      </c>
      <c r="V14" s="322">
        <f t="shared" ref="V14" si="13">EDATE(U14,1)</f>
        <v>44075</v>
      </c>
      <c r="W14" s="322">
        <f t="shared" ref="W14" si="14">EDATE(V14,1)</f>
        <v>44105</v>
      </c>
      <c r="X14" s="88">
        <f>EDATE(W14,1)</f>
        <v>44136</v>
      </c>
      <c r="Y14" s="89">
        <f t="shared" si="2"/>
        <v>44166</v>
      </c>
      <c r="Z14" s="90">
        <f t="shared" si="2"/>
        <v>44197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162" t="s">
        <v>0</v>
      </c>
      <c r="B15" s="91">
        <v>0</v>
      </c>
      <c r="C15" s="92">
        <v>0</v>
      </c>
      <c r="D15" s="92">
        <v>0</v>
      </c>
      <c r="E15" s="92">
        <v>3542.7066619947968</v>
      </c>
      <c r="F15" s="92">
        <v>26593.748856903429</v>
      </c>
      <c r="G15" s="92">
        <v>243363.92907678595</v>
      </c>
      <c r="H15" s="92">
        <v>441129.8099540461</v>
      </c>
      <c r="I15" s="92">
        <v>538055.00088770315</v>
      </c>
      <c r="J15" s="92">
        <v>375001.00963366695</v>
      </c>
      <c r="K15" s="92">
        <v>137834.38057719183</v>
      </c>
      <c r="L15" s="92">
        <f>'[2]MEEIA 3 calcs'!N$27</f>
        <v>274809.55657286098</v>
      </c>
      <c r="M15" s="92">
        <f>'[2]MEEIA 3 calcs'!O$27</f>
        <v>467843.25553902646</v>
      </c>
      <c r="N15" s="92">
        <f>'[2]MEEIA 3 calcs'!P$27</f>
        <v>544296.07292371744</v>
      </c>
      <c r="O15" s="92">
        <f>'[2]MEEIA 3 calcs'!Q$27</f>
        <v>676189.22029010952</v>
      </c>
      <c r="P15" s="92">
        <f>'[2]MEEIA 3 calcs'!R$27</f>
        <v>463090.51540533279</v>
      </c>
      <c r="Q15" s="92">
        <f>'[2]MEEIA 3 calcs'!S$27</f>
        <v>212999.83668866704</v>
      </c>
      <c r="R15" s="92">
        <f>'[2]MEEIA 3 calcs'!T$27</f>
        <v>239315.41925638349</v>
      </c>
      <c r="S15" s="92">
        <f>'[2]MEEIA 3 calcs'!U$27</f>
        <v>745964.63979628112</v>
      </c>
      <c r="T15" s="92">
        <f>'[2]MEEIA 3 calcs'!V$27</f>
        <v>1021961.1417325244</v>
      </c>
      <c r="U15" s="92">
        <f>'[2]MEEIA 3 calcs'!W$27</f>
        <v>1221140.287913003</v>
      </c>
      <c r="V15" s="92">
        <f>'[2]MEEIA 3 calcs'!X$27</f>
        <v>1038934.5439936385</v>
      </c>
      <c r="W15" s="92">
        <f>'[2]MEEIA 3 calcs'!Y$27</f>
        <v>456853.18990942289</v>
      </c>
      <c r="X15" s="299">
        <f>'[2]M3 Allocations - TD'!X31</f>
        <v>614000.20336797263</v>
      </c>
      <c r="Y15" s="300">
        <f>'[2]M3 Allocations - TD'!Y31</f>
        <v>813558.24200883822</v>
      </c>
      <c r="Z15" s="301">
        <f>'[2]M3 Allocations - TD'!Z31</f>
        <v>872752.43415280792</v>
      </c>
      <c r="AA15" s="47"/>
    </row>
    <row r="16" spans="1:37" x14ac:dyDescent="0.25">
      <c r="A16" s="162" t="s">
        <v>4</v>
      </c>
      <c r="B16" s="91">
        <v>0</v>
      </c>
      <c r="C16" s="92">
        <v>0</v>
      </c>
      <c r="D16" s="92">
        <v>0.34412602678174997</v>
      </c>
      <c r="E16" s="92">
        <v>593.85341007321881</v>
      </c>
      <c r="F16" s="92">
        <v>8368.5225960071712</v>
      </c>
      <c r="G16" s="92">
        <v>23641.814181406706</v>
      </c>
      <c r="H16" s="92">
        <v>47663.861231335664</v>
      </c>
      <c r="I16" s="92">
        <v>53414.007632337976</v>
      </c>
      <c r="J16" s="92">
        <v>71963.570102025027</v>
      </c>
      <c r="K16" s="92">
        <v>61965.410188273323</v>
      </c>
      <c r="L16" s="92">
        <f>'[2]MEEIA 3 calcs'!N$37</f>
        <v>64700.998849587129</v>
      </c>
      <c r="M16" s="92">
        <f>'[2]MEEIA 3 calcs'!O$37</f>
        <v>81956.189294724609</v>
      </c>
      <c r="N16" s="92">
        <f>'[2]MEEIA 3 calcs'!P$37</f>
        <v>113990.99327753842</v>
      </c>
      <c r="O16" s="92">
        <f>'[2]MEEIA 3 calcs'!Q$37</f>
        <v>88043.147483850829</v>
      </c>
      <c r="P16" s="92">
        <f>'[2]MEEIA 3 calcs'!R$37</f>
        <v>103641.60510926238</v>
      </c>
      <c r="Q16" s="92">
        <f>'[2]MEEIA 3 calcs'!S$37</f>
        <v>44495.668454394727</v>
      </c>
      <c r="R16" s="92">
        <f>'[2]MEEIA 3 calcs'!T$37</f>
        <v>72447.479306892477</v>
      </c>
      <c r="S16" s="92">
        <f>'[2]MEEIA 3 calcs'!U$37</f>
        <v>100242.14080653639</v>
      </c>
      <c r="T16" s="92">
        <f>'[2]MEEIA 3 calcs'!V$37</f>
        <v>144814.88878280437</v>
      </c>
      <c r="U16" s="92">
        <f>'[2]MEEIA 3 calcs'!W$37</f>
        <v>113846.66455304027</v>
      </c>
      <c r="V16" s="92">
        <f>'[2]MEEIA 3 calcs'!X$37</f>
        <v>127713.0610159208</v>
      </c>
      <c r="W16" s="92">
        <f>'[2]MEEIA 3 calcs'!Y$37</f>
        <v>102944.20736329375</v>
      </c>
      <c r="X16" s="299">
        <f>'[2]M3 Allocations - TD'!X32</f>
        <v>97425.639139626393</v>
      </c>
      <c r="Y16" s="300">
        <f>'[2]M3 Allocations - TD'!Y32</f>
        <v>123931.27565285936</v>
      </c>
      <c r="Z16" s="301">
        <f>'[2]M3 Allocations - TD'!Z32</f>
        <v>151720.68967988784</v>
      </c>
      <c r="AA16" s="47"/>
    </row>
    <row r="17" spans="1:28" x14ac:dyDescent="0.25">
      <c r="A17" s="162" t="s">
        <v>5</v>
      </c>
      <c r="B17" s="91">
        <v>0</v>
      </c>
      <c r="C17" s="92">
        <v>0</v>
      </c>
      <c r="D17" s="92">
        <v>0.36790548240712501</v>
      </c>
      <c r="E17" s="92">
        <v>549.3842450882164</v>
      </c>
      <c r="F17" s="92">
        <v>3822.5375931394819</v>
      </c>
      <c r="G17" s="92">
        <v>16781.332362054229</v>
      </c>
      <c r="H17" s="92">
        <v>40077.718380542559</v>
      </c>
      <c r="I17" s="92">
        <v>54061.137994792116</v>
      </c>
      <c r="J17" s="92">
        <v>79608.348605740233</v>
      </c>
      <c r="K17" s="92">
        <v>56432.915123633284</v>
      </c>
      <c r="L17" s="92">
        <f>'[2]MEEIA 3 calcs'!N$47</f>
        <v>84805.665004540322</v>
      </c>
      <c r="M17" s="92">
        <f>'[2]MEEIA 3 calcs'!O$47</f>
        <v>101585.96799703788</v>
      </c>
      <c r="N17" s="92">
        <f>'[2]MEEIA 3 calcs'!P$47</f>
        <v>154209.2659634623</v>
      </c>
      <c r="O17" s="92">
        <f>'[2]MEEIA 3 calcs'!Q$47</f>
        <v>122696.92137199735</v>
      </c>
      <c r="P17" s="92">
        <f>'[2]MEEIA 3 calcs'!R$47</f>
        <v>123411.87388052933</v>
      </c>
      <c r="Q17" s="92">
        <f>'[2]MEEIA 3 calcs'!S$47</f>
        <v>47446.211556775474</v>
      </c>
      <c r="R17" s="92">
        <f>'[2]MEEIA 3 calcs'!T$47</f>
        <v>83556.534245541465</v>
      </c>
      <c r="S17" s="92">
        <f>'[2]MEEIA 3 calcs'!U$47</f>
        <v>189049.36683437167</v>
      </c>
      <c r="T17" s="92">
        <f>'[2]MEEIA 3 calcs'!V$47</f>
        <v>265484.4397628404</v>
      </c>
      <c r="U17" s="92">
        <f>'[2]MEEIA 3 calcs'!W$47</f>
        <v>248590.59560852987</v>
      </c>
      <c r="V17" s="92">
        <f>'[2]MEEIA 3 calcs'!X$47</f>
        <v>229992.78825383674</v>
      </c>
      <c r="W17" s="92">
        <f>'[2]MEEIA 3 calcs'!Y$47</f>
        <v>142655.78999924072</v>
      </c>
      <c r="X17" s="299">
        <f>'[2]M3 Allocations - TD'!X33</f>
        <v>141791.47042159317</v>
      </c>
      <c r="Y17" s="300">
        <f>'[2]M3 Allocations - TD'!Y33</f>
        <v>197679.02607225222</v>
      </c>
      <c r="Z17" s="301">
        <f>'[2]M3 Allocations - TD'!Z33</f>
        <v>257513.84897812031</v>
      </c>
      <c r="AA17" s="47"/>
    </row>
    <row r="18" spans="1:28" x14ac:dyDescent="0.25">
      <c r="A18" s="162" t="s">
        <v>6</v>
      </c>
      <c r="B18" s="91">
        <v>0</v>
      </c>
      <c r="C18" s="92">
        <v>0</v>
      </c>
      <c r="D18" s="92">
        <v>0</v>
      </c>
      <c r="E18" s="92">
        <v>9.4764517045030008</v>
      </c>
      <c r="F18" s="92">
        <v>992.38480063141662</v>
      </c>
      <c r="G18" s="92">
        <v>7292.1248374502911</v>
      </c>
      <c r="H18" s="92">
        <v>15994.94501268368</v>
      </c>
      <c r="I18" s="92">
        <v>17286.492613957165</v>
      </c>
      <c r="J18" s="92">
        <v>20593.63561343183</v>
      </c>
      <c r="K18" s="92">
        <v>13281.46306563299</v>
      </c>
      <c r="L18" s="92">
        <f>'[2]MEEIA 3 calcs'!N$57</f>
        <v>20634.15638219006</v>
      </c>
      <c r="M18" s="92">
        <f>'[2]MEEIA 3 calcs'!O$57</f>
        <v>18530.128304448888</v>
      </c>
      <c r="N18" s="92">
        <f>'[2]MEEIA 3 calcs'!P$57</f>
        <v>41320.38859087076</v>
      </c>
      <c r="O18" s="92">
        <f>'[2]MEEIA 3 calcs'!Q$57</f>
        <v>29425.974245256413</v>
      </c>
      <c r="P18" s="92">
        <f>'[2]MEEIA 3 calcs'!R$57</f>
        <v>32165.147795809222</v>
      </c>
      <c r="Q18" s="92">
        <f>'[2]MEEIA 3 calcs'!S$57</f>
        <v>21213.003373036219</v>
      </c>
      <c r="R18" s="92">
        <f>'[2]MEEIA 3 calcs'!T$57</f>
        <v>41395.000804902586</v>
      </c>
      <c r="S18" s="92">
        <f>'[2]MEEIA 3 calcs'!U$57</f>
        <v>92952.761963081415</v>
      </c>
      <c r="T18" s="92">
        <f>'[2]MEEIA 3 calcs'!V$57</f>
        <v>123951.10916307675</v>
      </c>
      <c r="U18" s="92">
        <f>'[2]MEEIA 3 calcs'!W$57</f>
        <v>122809.27801030048</v>
      </c>
      <c r="V18" s="92">
        <f>'[2]MEEIA 3 calcs'!X$57</f>
        <v>96049.861338882605</v>
      </c>
      <c r="W18" s="92">
        <f>'[2]MEEIA 3 calcs'!Y$57</f>
        <v>51830.00376307463</v>
      </c>
      <c r="X18" s="299">
        <f>'[2]M3 Allocations - TD'!X34</f>
        <v>48658.932927997463</v>
      </c>
      <c r="Y18" s="300">
        <f>'[2]M3 Allocations - TD'!Y34</f>
        <v>59970.08081020516</v>
      </c>
      <c r="Z18" s="301">
        <f>'[2]M3 Allocations - TD'!Z34</f>
        <v>87162.828989695612</v>
      </c>
      <c r="AA18" s="47"/>
    </row>
    <row r="19" spans="1:28" x14ac:dyDescent="0.25">
      <c r="A19" s="162" t="s">
        <v>7</v>
      </c>
      <c r="B19" s="91">
        <v>0</v>
      </c>
      <c r="C19" s="92">
        <v>0</v>
      </c>
      <c r="D19" s="92">
        <v>0</v>
      </c>
      <c r="E19" s="92">
        <v>0</v>
      </c>
      <c r="F19" s="92">
        <v>158.37627524588399</v>
      </c>
      <c r="G19" s="92">
        <v>597.17310476301054</v>
      </c>
      <c r="H19" s="92">
        <v>0</v>
      </c>
      <c r="I19" s="92">
        <v>224.30843760020062</v>
      </c>
      <c r="J19" s="92">
        <v>578.11242788452876</v>
      </c>
      <c r="K19" s="92">
        <v>553.72176658848127</v>
      </c>
      <c r="L19" s="92">
        <f>'[2]MEEIA 3 calcs'!N$67</f>
        <v>4498.45610981133</v>
      </c>
      <c r="M19" s="92">
        <f>'[2]MEEIA 3 calcs'!O$67</f>
        <v>2468.5744882877784</v>
      </c>
      <c r="N19" s="92">
        <f>'[2]MEEIA 3 calcs'!P$67</f>
        <v>6482.3323978120161</v>
      </c>
      <c r="O19" s="92">
        <f>'[2]MEEIA 3 calcs'!Q$67</f>
        <v>4714.4220035550234</v>
      </c>
      <c r="P19" s="92">
        <f>'[2]MEEIA 3 calcs'!R$67</f>
        <v>4933.2233077077817</v>
      </c>
      <c r="Q19" s="92">
        <f>'[2]MEEIA 3 calcs'!S$67</f>
        <v>4340.5509347173938</v>
      </c>
      <c r="R19" s="92">
        <f>'[2]MEEIA 3 calcs'!T$67</f>
        <v>11799.946486826884</v>
      </c>
      <c r="S19" s="92">
        <f>'[2]MEEIA 3 calcs'!U$67</f>
        <v>38257.943252341713</v>
      </c>
      <c r="T19" s="92">
        <f>'[2]MEEIA 3 calcs'!V$67</f>
        <v>40690.592006909494</v>
      </c>
      <c r="U19" s="92">
        <f>'[2]MEEIA 3 calcs'!W$67</f>
        <v>41885.585703975645</v>
      </c>
      <c r="V19" s="92">
        <f>'[2]MEEIA 3 calcs'!X$67</f>
        <v>26780.761635291285</v>
      </c>
      <c r="W19" s="92">
        <f>'[2]MEEIA 3 calcs'!Y$67</f>
        <v>10597.262650374174</v>
      </c>
      <c r="X19" s="299">
        <f>'[2]M3 Allocations - TD'!X35</f>
        <v>10033.94766627749</v>
      </c>
      <c r="Y19" s="300">
        <f>'[2]M3 Allocations - TD'!Y35</f>
        <v>13430.065796875455</v>
      </c>
      <c r="Z19" s="301">
        <f>'[2]M3 Allocations - TD'!Z35</f>
        <v>16755.646620188079</v>
      </c>
      <c r="AA19" s="47"/>
    </row>
    <row r="20" spans="1:28" x14ac:dyDescent="0.25">
      <c r="B20" s="95"/>
      <c r="C20" s="96"/>
      <c r="D20" s="96"/>
      <c r="E20" s="96"/>
      <c r="F20" s="96"/>
      <c r="G20" s="105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8"/>
      <c r="Z20" s="99"/>
    </row>
    <row r="21" spans="1:28" x14ac:dyDescent="0.25">
      <c r="A21" s="47" t="s">
        <v>119</v>
      </c>
      <c r="B21" s="200"/>
      <c r="C21" s="96"/>
      <c r="D21" s="100" t="s">
        <v>68</v>
      </c>
      <c r="E21" s="199"/>
      <c r="F21" s="199"/>
      <c r="G21" s="10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8"/>
      <c r="Z21" s="99"/>
      <c r="AA21" s="113" t="s">
        <v>107</v>
      </c>
    </row>
    <row r="22" spans="1:28" x14ac:dyDescent="0.25">
      <c r="A22" s="162" t="s">
        <v>0</v>
      </c>
      <c r="B22" s="91">
        <v>0</v>
      </c>
      <c r="C22" s="92">
        <v>0</v>
      </c>
      <c r="D22" s="92">
        <v>0</v>
      </c>
      <c r="E22" s="92">
        <v>0</v>
      </c>
      <c r="F22" s="92">
        <v>28084.31</v>
      </c>
      <c r="G22" s="92">
        <v>338961.47</v>
      </c>
      <c r="H22" s="92">
        <v>431295.26</v>
      </c>
      <c r="I22" s="92">
        <v>454282.99</v>
      </c>
      <c r="J22" s="92">
        <v>419095.06</v>
      </c>
      <c r="K22" s="92">
        <v>344369.99</v>
      </c>
      <c r="L22" s="317">
        <f>-'[1]TDR.2 (M3)'!H6</f>
        <v>308922.04000000004</v>
      </c>
      <c r="M22" s="317">
        <f>-'[1]TDR.2 (M3)'!I6</f>
        <v>415727.27</v>
      </c>
      <c r="N22" s="317">
        <f>-'[1]TDR.2 (M3)'!J6</f>
        <v>459121.81</v>
      </c>
      <c r="O22" s="317">
        <f>-'[1]TDR.2 (M3)'!K6</f>
        <v>465524.23000000004</v>
      </c>
      <c r="P22" s="317">
        <f>-'[1]TDR.2 (M3)'!L6</f>
        <v>420640.45999999996</v>
      </c>
      <c r="Q22" s="317">
        <f>-'[1]TDR.2 (M3)'!M6</f>
        <v>333131.02</v>
      </c>
      <c r="R22" s="317">
        <f>-'[1]TDR.2 (M3)'!N6</f>
        <v>297680.28000000003</v>
      </c>
      <c r="S22" s="317">
        <f>-'[1]TDR.2 (M3)'!O6</f>
        <v>393958.54999999993</v>
      </c>
      <c r="T22" s="317">
        <f>-'[1]TDR.2 (M3)'!P6</f>
        <v>529326.34</v>
      </c>
      <c r="U22" s="317">
        <f>-'[1]TDR.2 (M3)'!Q6</f>
        <v>496875.44000000006</v>
      </c>
      <c r="V22" s="317">
        <f>-'[1]TDR.2 (M3)'!R6</f>
        <v>447785.36000000004</v>
      </c>
      <c r="W22" s="317">
        <f>-'[1]TDR.2 (M3)'!S6</f>
        <v>302563.73</v>
      </c>
      <c r="X22" s="107">
        <f>+'PCR (M2)'!BH28*'TDR (M3)'!$AA$22+X36</f>
        <v>317619.72631364554</v>
      </c>
      <c r="Y22" s="111">
        <f>+'PCR (M2)'!BI28*'TDR (M3)'!$AA$22+Y36</f>
        <v>458406.91633329989</v>
      </c>
      <c r="Z22" s="112">
        <f>+'PCR (M2)'!BJ28*'TDR (M3)'!$AA$22+Z36</f>
        <v>570604.20911060518</v>
      </c>
      <c r="AA22" s="102">
        <v>3.8900000000000002E-4</v>
      </c>
      <c r="AB22" s="103"/>
    </row>
    <row r="23" spans="1:28" x14ac:dyDescent="0.25">
      <c r="A23" s="162" t="s">
        <v>4</v>
      </c>
      <c r="B23" s="91">
        <v>0</v>
      </c>
      <c r="C23" s="92">
        <v>0</v>
      </c>
      <c r="D23" s="92">
        <v>0</v>
      </c>
      <c r="E23" s="92">
        <v>0</v>
      </c>
      <c r="F23" s="92">
        <v>4774.55</v>
      </c>
      <c r="G23" s="92">
        <v>61751.54</v>
      </c>
      <c r="H23" s="92">
        <v>70665.5</v>
      </c>
      <c r="I23" s="92">
        <v>72630.98</v>
      </c>
      <c r="J23" s="92">
        <v>70137.22</v>
      </c>
      <c r="K23" s="92">
        <v>63135.64</v>
      </c>
      <c r="L23" s="317">
        <f>-'[1]TDR.2 (M3)'!H7</f>
        <v>56628.270000000019</v>
      </c>
      <c r="M23" s="317">
        <f>-'[1]TDR.2 (M3)'!I7</f>
        <v>66553.34</v>
      </c>
      <c r="N23" s="317">
        <f>-'[1]TDR.2 (M3)'!J7</f>
        <v>70974.640000000029</v>
      </c>
      <c r="O23" s="317">
        <f>-'[1]TDR.2 (M3)'!K7</f>
        <v>74514.040000000008</v>
      </c>
      <c r="P23" s="317">
        <f>-'[1]TDR.2 (M3)'!L7</f>
        <v>73821.709999999977</v>
      </c>
      <c r="Q23" s="317">
        <f>-'[1]TDR.2 (M3)'!M7</f>
        <v>56719.110000000008</v>
      </c>
      <c r="R23" s="317">
        <f>-'[1]TDR.2 (M3)'!N7</f>
        <v>51424.729999999989</v>
      </c>
      <c r="S23" s="317">
        <f>-'[1]TDR.2 (M3)'!O7</f>
        <v>64574.180000000022</v>
      </c>
      <c r="T23" s="317">
        <f>-'[1]TDR.2 (M3)'!P7</f>
        <v>80406.710000000021</v>
      </c>
      <c r="U23" s="317">
        <f>-'[1]TDR.2 (M3)'!Q7</f>
        <v>78372.460000000021</v>
      </c>
      <c r="V23" s="317">
        <f>-'[1]TDR.2 (M3)'!R7</f>
        <v>75020.860000000015</v>
      </c>
      <c r="W23" s="317">
        <f>-'[1]TDR.2 (M3)'!S7</f>
        <v>60809.53</v>
      </c>
      <c r="X23" s="107">
        <f>+'PCR (M2)'!BH29*'TDR (M3)'!$AA$23</f>
        <v>59289.411272004116</v>
      </c>
      <c r="Y23" s="111">
        <f>+'PCR (M2)'!BI29*'TDR (M3)'!$AA$23</f>
        <v>69006.094340556869</v>
      </c>
      <c r="Z23" s="112">
        <f>+'PCR (M2)'!BJ29*'TDR (M3)'!$AA$23</f>
        <v>82725.020034223766</v>
      </c>
      <c r="AA23" s="102">
        <v>2.7900000000000001E-4</v>
      </c>
      <c r="AB23" s="103"/>
    </row>
    <row r="24" spans="1:28" x14ac:dyDescent="0.25">
      <c r="A24" s="162" t="s">
        <v>5</v>
      </c>
      <c r="B24" s="91">
        <v>0</v>
      </c>
      <c r="C24" s="92">
        <v>0</v>
      </c>
      <c r="D24" s="92">
        <v>0</v>
      </c>
      <c r="E24" s="92">
        <v>0</v>
      </c>
      <c r="F24" s="92">
        <v>7030.01</v>
      </c>
      <c r="G24" s="92">
        <v>109921.60000000001</v>
      </c>
      <c r="H24" s="92">
        <v>118808.51</v>
      </c>
      <c r="I24" s="92">
        <v>121642.28</v>
      </c>
      <c r="J24" s="92">
        <v>122769.41</v>
      </c>
      <c r="K24" s="92">
        <v>112787.98</v>
      </c>
      <c r="L24" s="317">
        <f>-'[1]TDR.2 (M3)'!H8</f>
        <v>99578.229999999981</v>
      </c>
      <c r="M24" s="317">
        <f>-'[1]TDR.2 (M3)'!I8</f>
        <v>107954.60999999999</v>
      </c>
      <c r="N24" s="317">
        <f>-'[1]TDR.2 (M3)'!J8</f>
        <v>111669.28</v>
      </c>
      <c r="O24" s="317">
        <f>-'[1]TDR.2 (M3)'!K8</f>
        <v>108510.19999999998</v>
      </c>
      <c r="P24" s="317">
        <f>-'[1]TDR.2 (M3)'!L8</f>
        <v>102469.35000000002</v>
      </c>
      <c r="Q24" s="317">
        <f>-'[1]TDR.2 (M3)'!M8</f>
        <v>87569.04</v>
      </c>
      <c r="R24" s="317">
        <f>-'[1]TDR.2 (M3)'!N8</f>
        <v>81676.990000000005</v>
      </c>
      <c r="S24" s="317">
        <f>-'[1]TDR.2 (M3)'!O8</f>
        <v>96788.800000000003</v>
      </c>
      <c r="T24" s="317">
        <f>-'[1]TDR.2 (M3)'!P8</f>
        <v>113009.34999999999</v>
      </c>
      <c r="U24" s="317">
        <f>-'[1]TDR.2 (M3)'!Q8</f>
        <v>112596.33999999998</v>
      </c>
      <c r="V24" s="317">
        <f>-'[1]TDR.2 (M3)'!R8</f>
        <v>112065.74</v>
      </c>
      <c r="W24" s="317">
        <f>-'[1]TDR.2 (M3)'!S8</f>
        <v>95621.750000000015</v>
      </c>
      <c r="X24" s="107">
        <f>+'PCR (M2)'!BH30*'TDR (M3)'!$AA$24</f>
        <v>91478.514127181377</v>
      </c>
      <c r="Y24" s="111">
        <f>+'PCR (M2)'!BI30*'TDR (M3)'!$AA$24</f>
        <v>96487.958538064617</v>
      </c>
      <c r="Z24" s="112">
        <f>+'PCR (M2)'!BJ30*'TDR (M3)'!$AA$24</f>
        <v>111922.1839642819</v>
      </c>
      <c r="AA24" s="102">
        <v>1.8100000000000001E-4</v>
      </c>
      <c r="AB24" s="103"/>
    </row>
    <row r="25" spans="1:28" x14ac:dyDescent="0.25">
      <c r="A25" s="162" t="s">
        <v>6</v>
      </c>
      <c r="B25" s="91">
        <v>0</v>
      </c>
      <c r="C25" s="92">
        <v>0</v>
      </c>
      <c r="D25" s="92">
        <v>0</v>
      </c>
      <c r="E25" s="92">
        <v>0</v>
      </c>
      <c r="F25" s="92">
        <v>2496.56</v>
      </c>
      <c r="G25" s="92">
        <v>42291.09</v>
      </c>
      <c r="H25" s="92">
        <v>47913.74</v>
      </c>
      <c r="I25" s="92">
        <v>50299.83</v>
      </c>
      <c r="J25" s="92">
        <v>49993.73</v>
      </c>
      <c r="K25" s="92">
        <v>46326.65</v>
      </c>
      <c r="L25" s="317">
        <f>-'[1]TDR.2 (M3)'!H9</f>
        <v>42840.76999999999</v>
      </c>
      <c r="M25" s="317">
        <f>-'[1]TDR.2 (M3)'!I9</f>
        <v>43135.039999999994</v>
      </c>
      <c r="N25" s="317">
        <f>-'[1]TDR.2 (M3)'!J9</f>
        <v>44374.039999999994</v>
      </c>
      <c r="O25" s="317">
        <f>-'[1]TDR.2 (M3)'!K9</f>
        <v>45259.54</v>
      </c>
      <c r="P25" s="317">
        <f>-'[1]TDR.2 (M3)'!L9</f>
        <v>39182.19</v>
      </c>
      <c r="Q25" s="317">
        <f>-'[1]TDR.2 (M3)'!M9</f>
        <v>38273.289999999994</v>
      </c>
      <c r="R25" s="317">
        <f>-'[1]TDR.2 (M3)'!N9</f>
        <v>36030.869999999995</v>
      </c>
      <c r="S25" s="317">
        <f>-'[1]TDR.2 (M3)'!O9</f>
        <v>41962.670000000006</v>
      </c>
      <c r="T25" s="317">
        <f>-'[1]TDR.2 (M3)'!P9</f>
        <v>44167.05000000001</v>
      </c>
      <c r="U25" s="317">
        <f>-'[1]TDR.2 (M3)'!Q9</f>
        <v>46294.410000000018</v>
      </c>
      <c r="V25" s="317">
        <f>-'[1]TDR.2 (M3)'!R9</f>
        <v>46306.19</v>
      </c>
      <c r="W25" s="317">
        <f>-'[1]TDR.2 (M3)'!S9</f>
        <v>41160.139999999992</v>
      </c>
      <c r="X25" s="107">
        <f>+'PCR (M2)'!BH31*'TDR (M3)'!$AA$25</f>
        <v>37903.254508981037</v>
      </c>
      <c r="Y25" s="111">
        <f>+'PCR (M2)'!BI31*'TDR (M3)'!$AA$25</f>
        <v>38323.637623178955</v>
      </c>
      <c r="Z25" s="112">
        <f>+'PCR (M2)'!BJ31*'TDR (M3)'!$AA$25</f>
        <v>44141.850653796471</v>
      </c>
      <c r="AA25" s="102">
        <v>1.74E-4</v>
      </c>
      <c r="AB25" s="103"/>
    </row>
    <row r="26" spans="1:28" x14ac:dyDescent="0.25">
      <c r="A26" s="162" t="s">
        <v>7</v>
      </c>
      <c r="B26" s="91">
        <v>0</v>
      </c>
      <c r="C26" s="92">
        <v>0</v>
      </c>
      <c r="D26" s="92">
        <v>0</v>
      </c>
      <c r="E26" s="92">
        <v>0</v>
      </c>
      <c r="F26" s="92">
        <v>0</v>
      </c>
      <c r="G26" s="92">
        <v>4678.1400000000003</v>
      </c>
      <c r="H26" s="92">
        <v>7353.04</v>
      </c>
      <c r="I26" s="92">
        <v>8142.09</v>
      </c>
      <c r="J26" s="92">
        <v>8251.43</v>
      </c>
      <c r="K26" s="92">
        <v>7783.91</v>
      </c>
      <c r="L26" s="317">
        <f>-'[1]TDR.2 (M3)'!H10</f>
        <v>6912.6799999999994</v>
      </c>
      <c r="M26" s="317">
        <f>-'[1]TDR.2 (M3)'!I10</f>
        <v>6504.34</v>
      </c>
      <c r="N26" s="317">
        <f>-'[1]TDR.2 (M3)'!J10</f>
        <v>6883.48</v>
      </c>
      <c r="O26" s="317">
        <f>-'[1]TDR.2 (M3)'!K10</f>
        <v>11571.119999999999</v>
      </c>
      <c r="P26" s="317">
        <f>-'[1]TDR.2 (M3)'!L10</f>
        <v>19931.79</v>
      </c>
      <c r="Q26" s="317">
        <f>-'[1]TDR.2 (M3)'!M10</f>
        <v>21827.09</v>
      </c>
      <c r="R26" s="317">
        <f>-'[1]TDR.2 (M3)'!N10</f>
        <v>22161.010000000002</v>
      </c>
      <c r="S26" s="317">
        <f>-'[1]TDR.2 (M3)'!O10</f>
        <v>17306.599999999999</v>
      </c>
      <c r="T26" s="317">
        <f>-'[1]TDR.2 (M3)'!P10</f>
        <v>24911.24</v>
      </c>
      <c r="U26" s="317">
        <f>-'[1]TDR.2 (M3)'!Q10</f>
        <v>25659.019999999997</v>
      </c>
      <c r="V26" s="317">
        <f>-'[1]TDR.2 (M3)'!R10</f>
        <v>26024.15</v>
      </c>
      <c r="W26" s="317">
        <f>-'[1]TDR.2 (M3)'!S10</f>
        <v>22923.1</v>
      </c>
      <c r="X26" s="107">
        <f>+'PCR (M2)'!BH32*'TDR (M3)'!$AA$26</f>
        <v>22674.45521468794</v>
      </c>
      <c r="Y26" s="111">
        <f>+'PCR (M2)'!BI32*'TDR (M3)'!$AA$26</f>
        <v>22153.871958152562</v>
      </c>
      <c r="Z26" s="112">
        <f>+'PCR (M2)'!BJ32*'TDR (M3)'!$AA$26</f>
        <v>24091.957694743225</v>
      </c>
      <c r="AA26" s="102">
        <v>2.3699999999999999E-4</v>
      </c>
      <c r="AB26" s="103"/>
    </row>
    <row r="27" spans="1:28" x14ac:dyDescent="0.25"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4"/>
      <c r="Y27" s="105"/>
      <c r="Z27" s="99"/>
      <c r="AB27" s="3"/>
    </row>
    <row r="28" spans="1:28" x14ac:dyDescent="0.25">
      <c r="A28" s="47" t="s">
        <v>102</v>
      </c>
      <c r="B28" s="202"/>
      <c r="C28" s="199"/>
      <c r="D28" s="100"/>
      <c r="E28" s="96"/>
      <c r="F28" s="96"/>
      <c r="G28" s="96"/>
      <c r="H28" s="96"/>
      <c r="I28" s="96"/>
      <c r="J28" s="96"/>
      <c r="X28" s="104"/>
      <c r="Y28" s="105"/>
      <c r="Z28" s="99"/>
    </row>
    <row r="29" spans="1:28" x14ac:dyDescent="0.25">
      <c r="A29" s="162" t="s">
        <v>0</v>
      </c>
      <c r="B29" s="107">
        <v>0</v>
      </c>
      <c r="C29" s="111">
        <v>0</v>
      </c>
      <c r="D29" s="111">
        <v>0</v>
      </c>
      <c r="E29" s="111">
        <v>0</v>
      </c>
      <c r="F29" s="111">
        <f>+(F22-F36)+(F36*'PCR (M2)'!AP28/SUM('PCR (M2)'!AP28:AP32))</f>
        <v>28636.335868779192</v>
      </c>
      <c r="G29" s="111">
        <f>+(G22-G36)+(G36*'PCR (M2)'!AQ28/SUM('PCR (M2)'!AQ28:AQ32))</f>
        <v>344669.92129031231</v>
      </c>
      <c r="H29" s="111">
        <f>+(H22-H36)+(H36*'PCR (M2)'!AR28/SUM('PCR (M2)'!AR28:AR32))</f>
        <v>437739.69493695599</v>
      </c>
      <c r="I29" s="111">
        <f>+(I22-I36)+(I36*'PCR (M2)'!AS28/SUM('PCR (M2)'!AS28:AS32))</f>
        <v>461093.89388914994</v>
      </c>
      <c r="J29" s="111">
        <f>+(J22-J36)+(J36*'PCR (M2)'!AT28/SUM('PCR (M2)'!AT28:AT32))</f>
        <v>425531.99443758972</v>
      </c>
      <c r="K29" s="111">
        <f>+(K22-K36)+(K36*'PCR (M2)'!AU28/SUM('PCR (M2)'!AU28:AU32))</f>
        <v>350101.97926152864</v>
      </c>
      <c r="L29" s="111">
        <f>+(L22-L36)+(L36*'PCR (M2)'!AV28/SUM('PCR (M2)'!AV28:AV32))</f>
        <v>315194.78964232607</v>
      </c>
      <c r="M29" s="111">
        <f>+(M22-M36)+(M36*'PCR (M2)'!AW28/SUM('PCR (M2)'!AW28:AW32))</f>
        <v>423499.84124645527</v>
      </c>
      <c r="N29" s="111">
        <f>+(N22-N36)+(N36*'PCR (M2)'!AX28/SUM('PCR (M2)'!AX28:AX32))</f>
        <v>467459.76087976695</v>
      </c>
      <c r="O29" s="111">
        <f>+(O22-O36)+(O36*'PCR (M2)'!AY28/SUM('PCR (M2)'!AY28:AY32))</f>
        <v>474323.05163473403</v>
      </c>
      <c r="P29" s="111">
        <f>+(P22-P36)+(P36*'PCR (M2)'!AZ28/SUM('PCR (M2)'!AZ28:AZ32))</f>
        <v>428810.25716296647</v>
      </c>
      <c r="Q29" s="111">
        <f>+(Q22-Q36)+(Q36*'PCR (M2)'!BA28/SUM('PCR (M2)'!BA28:BA32))</f>
        <v>339346.33491655142</v>
      </c>
      <c r="R29" s="111">
        <f>+(R22-R36)+(R36*'PCR (M2)'!BB28/SUM('PCR (M2)'!BB28:BB32))</f>
        <v>302925.05162387801</v>
      </c>
      <c r="S29" s="111">
        <f>+(S22-S36)+(S36*'PCR (M2)'!BC28/SUM('PCR (M2)'!BC28:BC32))</f>
        <v>399589.74786578165</v>
      </c>
      <c r="T29" s="111">
        <f>+(T22-T36)+(T36*'PCR (M2)'!BD28/SUM('PCR (M2)'!BD28:BD32))</f>
        <v>536049.73122413771</v>
      </c>
      <c r="U29" s="111">
        <f>+(U22-U36)+(U36*'PCR (M2)'!BE28/SUM('PCR (M2)'!BE28:BE32))</f>
        <v>503311.04413038638</v>
      </c>
      <c r="V29" s="111">
        <f>+(V22-V36)+(V36*'PCR (M2)'!BF28/SUM('PCR (M2)'!BF28:BF32))</f>
        <v>453730.11803544639</v>
      </c>
      <c r="W29" s="111">
        <f>+(W22-W36)+(W36*'PCR (M2)'!BG28/SUM('PCR (M2)'!BG28:BG32))</f>
        <v>307694.93026905361</v>
      </c>
      <c r="X29" s="107">
        <f>+(X22-X36)+(X36*'PCR (M2)'!BH28/SUM('PCR (M2)'!BH28:BH32))</f>
        <v>323301.211336245</v>
      </c>
      <c r="Y29" s="111">
        <f>+(Y22-Y36)+(Y36*'PCR (M2)'!BI28/SUM('PCR (M2)'!BI28:BI32))</f>
        <v>465462.69803547335</v>
      </c>
      <c r="Z29" s="112">
        <f>+(Z22-Z36)+(Z36*'PCR (M2)'!BJ28/SUM('PCR (M2)'!BJ28:BJ32))</f>
        <v>579065.18154592789</v>
      </c>
    </row>
    <row r="30" spans="1:28" x14ac:dyDescent="0.25">
      <c r="A30" s="162" t="s">
        <v>4</v>
      </c>
      <c r="B30" s="107">
        <v>0</v>
      </c>
      <c r="C30" s="111">
        <v>0</v>
      </c>
      <c r="D30" s="111">
        <v>0</v>
      </c>
      <c r="E30" s="111">
        <v>0</v>
      </c>
      <c r="F30" s="111">
        <f>+F23+(F36*'PCR (M2)'!AP29/SUM('PCR (M2)'!AP28:AP32))</f>
        <v>4662.874879564878</v>
      </c>
      <c r="G30" s="111">
        <f>+G23+(G36*'PCR (M2)'!AQ29/SUM('PCR (M2)'!AQ28:AQ32))</f>
        <v>60575.806014450071</v>
      </c>
      <c r="H30" s="111">
        <f>+H23+(H36*'PCR (M2)'!AR29/SUM('PCR (M2)'!AR28:AR32))</f>
        <v>69235.226705339766</v>
      </c>
      <c r="I30" s="111">
        <f>+I23+(I36*'PCR (M2)'!AS29/SUM('PCR (M2)'!AS28:AS32))</f>
        <v>71132.268141530934</v>
      </c>
      <c r="J30" s="111">
        <f>+J23+(J36*'PCR (M2)'!AT29/SUM('PCR (M2)'!AT28:AT32))</f>
        <v>68766.003213137257</v>
      </c>
      <c r="K30" s="111">
        <f>+K23+(K36*'PCR (M2)'!AU29/SUM('PCR (M2)'!AU28:AU32))</f>
        <v>61936.863591354115</v>
      </c>
      <c r="L30" s="111">
        <f>+L23+(L36*'PCR (M2)'!AV29/SUM('PCR (M2)'!AV28:AV32))</f>
        <v>55314.675500358848</v>
      </c>
      <c r="M30" s="111">
        <f>+M23+(M36*'PCR (M2)'!AW29/SUM('PCR (M2)'!AW28:AW32))</f>
        <v>64772.869833744619</v>
      </c>
      <c r="N30" s="111">
        <f>+N23+(N36*'PCR (M2)'!AX29/SUM('PCR (M2)'!AX28:AX32))</f>
        <v>69020.979330338494</v>
      </c>
      <c r="O30" s="111">
        <f>+O23+(O36*'PCR (M2)'!AY29/SUM('PCR (M2)'!AY28:AY32))</f>
        <v>72477.677451482828</v>
      </c>
      <c r="P30" s="111">
        <f>+P23+(P36*'PCR (M2)'!AZ29/SUM('PCR (M2)'!AZ28:AZ32))</f>
        <v>71928.028717536537</v>
      </c>
      <c r="Q30" s="111">
        <f>+Q23+(Q36*'PCR (M2)'!BA29/SUM('PCR (M2)'!BA28:BA32))</f>
        <v>55453.451619799715</v>
      </c>
      <c r="R30" s="111">
        <f>+R23+(R36*'PCR (M2)'!BB29/SUM('PCR (M2)'!BB28:BB32))</f>
        <v>50391.746026202454</v>
      </c>
      <c r="S30" s="111">
        <f>+S23+(S36*'PCR (M2)'!BC29/SUM('PCR (M2)'!BC28:BC32))</f>
        <v>63389.498728401421</v>
      </c>
      <c r="T30" s="111">
        <f>+T23+(T36*'PCR (M2)'!BD29/SUM('PCR (M2)'!BD28:BD32))</f>
        <v>78881.85589058495</v>
      </c>
      <c r="U30" s="111">
        <f>+U23+(U36*'PCR (M2)'!BE29/SUM('PCR (M2)'!BE28:BE32))</f>
        <v>76955.027031945225</v>
      </c>
      <c r="V30" s="111">
        <f>+V23+(V36*'PCR (M2)'!BF29/SUM('PCR (M2)'!BF28:BF32))</f>
        <v>73755.388306573848</v>
      </c>
      <c r="W30" s="111">
        <f>+W23+(W36*'PCR (M2)'!BG29/SUM('PCR (M2)'!BG28:BG32))</f>
        <v>59772.834718849517</v>
      </c>
      <c r="X30" s="107">
        <f>+X23+(X36*'PCR (M2)'!BH29/SUM('PCR (M2)'!BH28:BH32))</f>
        <v>58118.836941996247</v>
      </c>
      <c r="Y30" s="111">
        <f>+Y23+(Y36*'PCR (M2)'!BI29/SUM('PCR (M2)'!BI28:BI32))</f>
        <v>67411.118345190043</v>
      </c>
      <c r="Z30" s="112">
        <f>+Z23+(Z36*'PCR (M2)'!BJ29/SUM('PCR (M2)'!BJ28:BJ32))</f>
        <v>80749.961676747451</v>
      </c>
    </row>
    <row r="31" spans="1:28" x14ac:dyDescent="0.25">
      <c r="A31" s="162" t="s">
        <v>5</v>
      </c>
      <c r="B31" s="107">
        <v>0</v>
      </c>
      <c r="C31" s="111">
        <v>0</v>
      </c>
      <c r="D31" s="111">
        <v>0</v>
      </c>
      <c r="E31" s="111">
        <v>0</v>
      </c>
      <c r="F31" s="111">
        <f>+F24+(F36*'PCR (M2)'!AP30/SUM('PCR (M2)'!AP28:AP32))</f>
        <v>6753.6701978728988</v>
      </c>
      <c r="G31" s="111">
        <f>+G24+(G36*'PCR (M2)'!AQ30/SUM('PCR (M2)'!AQ28:AQ32))</f>
        <v>107151.44580605239</v>
      </c>
      <c r="H31" s="111">
        <f>+H24+(H36*'PCR (M2)'!AR30/SUM('PCR (M2)'!AR28:AR32))</f>
        <v>115634.5208649429</v>
      </c>
      <c r="I31" s="111">
        <f>+I24+(I36*'PCR (M2)'!AS30/SUM('PCR (M2)'!AS28:AS32))</f>
        <v>118331.81312804784</v>
      </c>
      <c r="J31" s="111">
        <f>+J24+(J36*'PCR (M2)'!AT30/SUM('PCR (M2)'!AT28:AT32))</f>
        <v>119601.33814288217</v>
      </c>
      <c r="K31" s="111">
        <f>+K24+(K36*'PCR (M2)'!AU30/SUM('PCR (M2)'!AU28:AU32))</f>
        <v>109968.9574924099</v>
      </c>
      <c r="L31" s="111">
        <f>+L24+(L36*'PCR (M2)'!AV30/SUM('PCR (M2)'!AV28:AV32))</f>
        <v>96533.881711475115</v>
      </c>
      <c r="M31" s="111">
        <f>+M24+(M36*'PCR (M2)'!AW30/SUM('PCR (M2)'!AW28:AW32))</f>
        <v>104142.56971532077</v>
      </c>
      <c r="N31" s="111">
        <f>+N24+(N36*'PCR (M2)'!AX30/SUM('PCR (M2)'!AX28:AX32))</f>
        <v>107611.86637282498</v>
      </c>
      <c r="O31" s="111">
        <f>+O24+(O36*'PCR (M2)'!AY30/SUM('PCR (M2)'!AY28:AY32))</f>
        <v>104313.87773241717</v>
      </c>
      <c r="P31" s="111">
        <f>+P24+(P36*'PCR (M2)'!AZ30/SUM('PCR (M2)'!AZ28:AZ32))</f>
        <v>98420.974410363589</v>
      </c>
      <c r="Q31" s="111">
        <f>+Q24+(Q36*'PCR (M2)'!BA30/SUM('PCR (M2)'!BA28:BA32))</f>
        <v>84560.155028366615</v>
      </c>
      <c r="R31" s="111">
        <f>+R24+(R36*'PCR (M2)'!BB30/SUM('PCR (M2)'!BB28:BB32))</f>
        <v>79147.524446379844</v>
      </c>
      <c r="S31" s="111">
        <f>+S24+(S36*'PCR (M2)'!BC30/SUM('PCR (M2)'!BC28:BC32))</f>
        <v>94049.927973792379</v>
      </c>
      <c r="T31" s="111">
        <f>+T24+(T36*'PCR (M2)'!BD30/SUM('PCR (M2)'!BD28:BD32))</f>
        <v>109708.4867735197</v>
      </c>
      <c r="U31" s="111">
        <f>+U24+(U36*'PCR (M2)'!BE30/SUM('PCR (M2)'!BE28:BE32))</f>
        <v>109463.73998502945</v>
      </c>
      <c r="V31" s="111">
        <f>+V24+(V36*'PCR (M2)'!BF30/SUM('PCR (M2)'!BF28:BF32))</f>
        <v>109154.24836711264</v>
      </c>
      <c r="W31" s="111">
        <f>+W24+(W36*'PCR (M2)'!BG30/SUM('PCR (M2)'!BG28:BG32))</f>
        <v>93111.170115006898</v>
      </c>
      <c r="X31" s="107">
        <f>+X24+(X36*'PCR (M2)'!BH30/SUM('PCR (M2)'!BH28:BH32))</f>
        <v>88694.531067245276</v>
      </c>
      <c r="Y31" s="111">
        <f>+Y24+(Y36*'PCR (M2)'!BI30/SUM('PCR (M2)'!BI28:BI32))</f>
        <v>93050.278518844061</v>
      </c>
      <c r="Z31" s="112">
        <f>+Z24+(Z36*'PCR (M2)'!BJ30/SUM('PCR (M2)'!BJ28:BJ32))</f>
        <v>107803.24974868697</v>
      </c>
    </row>
    <row r="32" spans="1:28" x14ac:dyDescent="0.25">
      <c r="A32" s="162" t="s">
        <v>6</v>
      </c>
      <c r="B32" s="107">
        <v>0</v>
      </c>
      <c r="C32" s="111">
        <v>0</v>
      </c>
      <c r="D32" s="111">
        <v>0</v>
      </c>
      <c r="E32" s="111">
        <v>0</v>
      </c>
      <c r="F32" s="111">
        <f>+F25+(F36*'PCR (M2)'!AP31/SUM('PCR (M2)'!AP28:AP32))</f>
        <v>2381.1324731369587</v>
      </c>
      <c r="G32" s="111">
        <f>+G25+(G36*'PCR (M2)'!AQ31/SUM('PCR (M2)'!AQ28:AQ32))</f>
        <v>41080.759711289073</v>
      </c>
      <c r="H32" s="111">
        <f>+H25+(H36*'PCR (M2)'!AR31/SUM('PCR (M2)'!AR28:AR32))</f>
        <v>46620.227707662583</v>
      </c>
      <c r="I32" s="111">
        <f>+I25+(I36*'PCR (M2)'!AS31/SUM('PCR (M2)'!AS28:AS32))</f>
        <v>48915.290383093015</v>
      </c>
      <c r="J32" s="111">
        <f>+J25+(J36*'PCR (M2)'!AT31/SUM('PCR (M2)'!AT28:AT32))</f>
        <v>48689.064699160743</v>
      </c>
      <c r="K32" s="111">
        <f>+K25+(K36*'PCR (M2)'!AU31/SUM('PCR (M2)'!AU28:AU32))</f>
        <v>45154.720570269681</v>
      </c>
      <c r="L32" s="111">
        <f>+L25+(L36*'PCR (M2)'!AV31/SUM('PCR (M2)'!AV28:AV32))</f>
        <v>41515.049238101783</v>
      </c>
      <c r="M32" s="111">
        <f>+M25+(M36*'PCR (M2)'!AW31/SUM('PCR (M2)'!AW28:AW32))</f>
        <v>41594.54847805787</v>
      </c>
      <c r="N32" s="111">
        <f>+N25+(N36*'PCR (M2)'!AX31/SUM('PCR (M2)'!AX28:AX32))</f>
        <v>42743.649469302014</v>
      </c>
      <c r="O32" s="111">
        <f>+O25+(O36*'PCR (M2)'!AY31/SUM('PCR (M2)'!AY28:AY32))</f>
        <v>43471.756585125317</v>
      </c>
      <c r="P32" s="111">
        <f>+P25+(P36*'PCR (M2)'!AZ31/SUM('PCR (M2)'!AZ28:AZ32))</f>
        <v>37573.855689531287</v>
      </c>
      <c r="Q32" s="111">
        <f>+Q25+(Q36*'PCR (M2)'!BA31/SUM('PCR (M2)'!BA28:BA32))</f>
        <v>36905.295455925538</v>
      </c>
      <c r="R32" s="111">
        <f>+R25+(R36*'PCR (M2)'!BB31/SUM('PCR (M2)'!BB28:BB32))</f>
        <v>34871.89448832265</v>
      </c>
      <c r="S32" s="111">
        <f>+S25+(S36*'PCR (M2)'!BC31/SUM('PCR (M2)'!BC28:BC32))</f>
        <v>40727.091457001276</v>
      </c>
      <c r="T32" s="111">
        <f>+T25+(T36*'PCR (M2)'!BD31/SUM('PCR (M2)'!BD28:BD32))</f>
        <v>42825.077518324986</v>
      </c>
      <c r="U32" s="111">
        <f>+U25+(U36*'PCR (M2)'!BE31/SUM('PCR (M2)'!BE28:BE32))</f>
        <v>44954.20255614764</v>
      </c>
      <c r="V32" s="111">
        <f>+V25+(V36*'PCR (M2)'!BF31/SUM('PCR (M2)'!BF28:BF32))</f>
        <v>45054.75137109276</v>
      </c>
      <c r="W32" s="111">
        <f>+W25+(W36*'PCR (M2)'!BG31/SUM('PCR (M2)'!BG28:BG32))</f>
        <v>40035.738044047081</v>
      </c>
      <c r="X32" s="107">
        <f>+X25+(X36*'PCR (M2)'!BH31/SUM('PCR (M2)'!BH28:BH32))</f>
        <v>36703.331683486729</v>
      </c>
      <c r="Y32" s="111">
        <f>+Y25+(Y36*'PCR (M2)'!BI31/SUM('PCR (M2)'!BI28:BI32))</f>
        <v>36903.310490135111</v>
      </c>
      <c r="Z32" s="112">
        <f>+Z25+(Z36*'PCR (M2)'!BJ31/SUM('PCR (M2)'!BJ28:BJ32))</f>
        <v>42451.999146641407</v>
      </c>
    </row>
    <row r="33" spans="1:28" x14ac:dyDescent="0.25">
      <c r="A33" s="162" t="s">
        <v>7</v>
      </c>
      <c r="B33" s="107">
        <v>0</v>
      </c>
      <c r="C33" s="111">
        <v>0</v>
      </c>
      <c r="D33" s="111">
        <v>0</v>
      </c>
      <c r="E33" s="111">
        <v>0</v>
      </c>
      <c r="F33" s="111">
        <f>+F26+(F36*'PCR (M2)'!AP32/SUM('PCR (M2)'!AP28:AP32))</f>
        <v>-48.583419353926594</v>
      </c>
      <c r="G33" s="111">
        <f>+G26+(G36*'PCR (M2)'!AQ32/SUM('PCR (M2)'!AQ28:AQ32))</f>
        <v>4125.9071778961579</v>
      </c>
      <c r="H33" s="111">
        <f>+H26+(H36*'PCR (M2)'!AR32/SUM('PCR (M2)'!AR28:AR32))</f>
        <v>6806.3797850987785</v>
      </c>
      <c r="I33" s="111">
        <f>+I26+(I36*'PCR (M2)'!AS32/SUM('PCR (M2)'!AS28:AS32))</f>
        <v>7524.9044581782691</v>
      </c>
      <c r="J33" s="111">
        <f>+J26+(J36*'PCR (M2)'!AT32/SUM('PCR (M2)'!AT28:AT32))</f>
        <v>7658.4495072300715</v>
      </c>
      <c r="K33" s="111">
        <f>+K26+(K36*'PCR (M2)'!AU32/SUM('PCR (M2)'!AU28:AU32))</f>
        <v>7241.6490844376849</v>
      </c>
      <c r="L33" s="111">
        <f>+L26+(L36*'PCR (M2)'!AV32/SUM('PCR (M2)'!AV28:AV32))</f>
        <v>6323.5939077382554</v>
      </c>
      <c r="M33" s="111">
        <f>+M26+(M36*'PCR (M2)'!AW32/SUM('PCR (M2)'!AW28:AW32))</f>
        <v>5864.7707264215042</v>
      </c>
      <c r="N33" s="111">
        <f>+N26+(N36*'PCR (M2)'!AX32/SUM('PCR (M2)'!AX28:AX32))</f>
        <v>6186.9939477675571</v>
      </c>
      <c r="O33" s="111">
        <f>+O26+(O36*'PCR (M2)'!AY32/SUM('PCR (M2)'!AY28:AY32))</f>
        <v>10792.766596240666</v>
      </c>
      <c r="P33" s="111">
        <f>+P26+(P36*'PCR (M2)'!AZ32/SUM('PCR (M2)'!AZ28:AZ32))</f>
        <v>19312.38401960209</v>
      </c>
      <c r="Q33" s="111">
        <f>+Q26+(Q36*'PCR (M2)'!BA32/SUM('PCR (M2)'!BA28:BA32))</f>
        <v>21254.31297935671</v>
      </c>
      <c r="R33" s="111">
        <f>+R26+(R36*'PCR (M2)'!BB32/SUM('PCR (M2)'!BB28:BB32))</f>
        <v>21637.66341521703</v>
      </c>
      <c r="S33" s="111">
        <f>+S26+(S36*'PCR (M2)'!BC32/SUM('PCR (M2)'!BC28:BC32))</f>
        <v>16834.533975023267</v>
      </c>
      <c r="T33" s="111">
        <f>+T26+(T36*'PCR (M2)'!BD32/SUM('PCR (M2)'!BD28:BD32))</f>
        <v>24355.538593432568</v>
      </c>
      <c r="U33" s="111">
        <f>+U26+(U36*'PCR (M2)'!BE32/SUM('PCR (M2)'!BE28:BE32))</f>
        <v>25113.656296491376</v>
      </c>
      <c r="V33" s="111">
        <f>+V26+(V36*'PCR (M2)'!BF32/SUM('PCR (M2)'!BF28:BF32))</f>
        <v>25507.793919774442</v>
      </c>
      <c r="W33" s="111">
        <f>+W26+(W36*'PCR (M2)'!BG32/SUM('PCR (M2)'!BG28:BG32))</f>
        <v>22463.576853042847</v>
      </c>
      <c r="X33" s="107">
        <f>+X26+(X36*'PCR (M2)'!BH32/SUM('PCR (M2)'!BH28:BH32))</f>
        <v>22147.450407526761</v>
      </c>
      <c r="Y33" s="111">
        <f>+Y26+(Y36*'PCR (M2)'!BI32/SUM('PCR (M2)'!BI28:BI32))</f>
        <v>21551.07340361028</v>
      </c>
      <c r="Z33" s="112">
        <f>+Z26+(Z36*'PCR (M2)'!BJ32/SUM('PCR (M2)'!BJ28:BJ32))</f>
        <v>23414.829339646843</v>
      </c>
    </row>
    <row r="34" spans="1:28" s="47" customFormat="1" x14ac:dyDescent="0.25">
      <c r="B34" s="203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95"/>
      <c r="Y34" s="96"/>
      <c r="Z34" s="99"/>
    </row>
    <row r="35" spans="1:28" x14ac:dyDescent="0.25">
      <c r="A35" s="47" t="s">
        <v>106</v>
      </c>
      <c r="B35" s="202"/>
      <c r="C35" s="199"/>
      <c r="D35" s="100" t="s">
        <v>86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5"/>
      <c r="Y35" s="96"/>
      <c r="Z35" s="99"/>
    </row>
    <row r="36" spans="1:28" x14ac:dyDescent="0.25">
      <c r="A36" s="47" t="str">
        <f>A22</f>
        <v>RES</v>
      </c>
      <c r="B36" s="91">
        <v>0</v>
      </c>
      <c r="C36" s="92">
        <v>0</v>
      </c>
      <c r="D36" s="92">
        <v>0</v>
      </c>
      <c r="E36" s="92">
        <v>0</v>
      </c>
      <c r="F36" s="92">
        <v>-923.75</v>
      </c>
      <c r="G36" s="92">
        <v>-10157.06</v>
      </c>
      <c r="H36" s="92">
        <v>-12455.51</v>
      </c>
      <c r="I36" s="92">
        <v>-13265.51</v>
      </c>
      <c r="J36" s="92">
        <v>-12079.85</v>
      </c>
      <c r="K36" s="101">
        <v>-10230.950000000001</v>
      </c>
      <c r="L36" s="92">
        <f>'[1]TDR.3 (M3)'!H$5</f>
        <v>-11242.279999999999</v>
      </c>
      <c r="M36" s="92">
        <f>'[1]TDR.3 (M3)'!I$5</f>
        <v>-15494.33</v>
      </c>
      <c r="N36" s="92">
        <f>'[1]TDR.3 (M3)'!J$5</f>
        <v>-17112.689999999999</v>
      </c>
      <c r="O36" s="92">
        <f>'[1]TDR.3 (M3)'!K$5</f>
        <v>-17916.879999999997</v>
      </c>
      <c r="P36" s="92">
        <f>'[1]TDR.3 (M3)'!L$5</f>
        <v>-16196.53</v>
      </c>
      <c r="Q36" s="92">
        <f>'[1]TDR.3 (M3)'!M$5</f>
        <v>-11729.169999999998</v>
      </c>
      <c r="R36" s="92">
        <f>'[1]TDR.3 (M3)'!N$5</f>
        <v>-9666.880000000001</v>
      </c>
      <c r="S36" s="92">
        <f>'[1]TDR.3 (M3)'!O$5</f>
        <v>-10964.7</v>
      </c>
      <c r="T36" s="92">
        <f>'[1]TDR.3 (M3)'!P$5</f>
        <v>-14109.349999999999</v>
      </c>
      <c r="U36" s="92">
        <f>'[1]TDR.3 (M3)'!Q$5</f>
        <v>-13038.06</v>
      </c>
      <c r="V36" s="92">
        <f>'[1]TDR.3 (M3)'!R$5</f>
        <v>-11941.109999999999</v>
      </c>
      <c r="W36" s="92">
        <f>'[1]TDR.3 (M3)'!S$5</f>
        <v>-8935.6699999999983</v>
      </c>
      <c r="X36" s="107">
        <f>-('PCR (M2)'!BH28*'TDR (M3)'!$AA$22*PPC!$B$14)</f>
        <v>-10325.328209916766</v>
      </c>
      <c r="Y36" s="111">
        <f>-('PCR (M2)'!BI28*'TDR (M3)'!$AA$22*PPC!$B$14)</f>
        <v>-14902.102963728386</v>
      </c>
      <c r="Z36" s="112">
        <f>-('PCR (M2)'!BJ28*'TDR (M3)'!$AA$22*PPC!$B$14)</f>
        <v>-18549.46418286697</v>
      </c>
    </row>
    <row r="37" spans="1:28" x14ac:dyDescent="0.25"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5"/>
      <c r="Z37" s="99"/>
      <c r="AB37" s="3"/>
    </row>
    <row r="38" spans="1:28" x14ac:dyDescent="0.25">
      <c r="B38" s="104"/>
      <c r="C38" s="105"/>
      <c r="D38" s="100" t="s">
        <v>68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5"/>
      <c r="Z38" s="109"/>
      <c r="AA38" s="3"/>
    </row>
    <row r="39" spans="1:28" ht="15.75" thickBot="1" x14ac:dyDescent="0.3">
      <c r="A39" s="113" t="s">
        <v>88</v>
      </c>
      <c r="B39" s="114">
        <v>0</v>
      </c>
      <c r="C39" s="115">
        <v>0</v>
      </c>
      <c r="D39" s="115">
        <v>0</v>
      </c>
      <c r="E39" s="115">
        <v>10.42</v>
      </c>
      <c r="F39" s="115">
        <v>5.03</v>
      </c>
      <c r="G39" s="115">
        <v>-582.27</v>
      </c>
      <c r="H39" s="115">
        <v>-855.05</v>
      </c>
      <c r="I39" s="115">
        <v>-862.55</v>
      </c>
      <c r="J39" s="115">
        <v>-1041.18</v>
      </c>
      <c r="K39" s="115">
        <v>-1530.79</v>
      </c>
      <c r="L39" s="115">
        <f>-'[1]TDR.4 (M3)'!$W$15</f>
        <v>-1258.5899999999999</v>
      </c>
      <c r="M39" s="115">
        <f>-'[1]TDR.4 (M3)'!$W$16</f>
        <v>-1443.88</v>
      </c>
      <c r="N39" s="115">
        <f>-'[1]TDR.4 (M3)'!$W$17</f>
        <v>-1163.1300000000001</v>
      </c>
      <c r="O39" s="115">
        <f>-'[1]TDR.4 (M3)'!$W$18</f>
        <v>-1083.47</v>
      </c>
      <c r="P39" s="115">
        <f>-'[1]TDR.4 (M3)'!$W$19</f>
        <v>-1000.15</v>
      </c>
      <c r="Q39" s="115">
        <f>-'[1]TDR.4 (M3)'!$W$20</f>
        <v>-634.92999999999995</v>
      </c>
      <c r="R39" s="115">
        <f>-'[1]TDR.4 (M3)'!$W$21</f>
        <v>-90.31</v>
      </c>
      <c r="S39" s="115">
        <f>-'[1]TDR.4 (M3)'!$W$22</f>
        <v>-33.79</v>
      </c>
      <c r="T39" s="115">
        <f>-'[1]TDR.4 (M3)'!$W$23</f>
        <v>70.48</v>
      </c>
      <c r="U39" s="115">
        <f>-'[1]TDR.4 (M3)'!$W$25</f>
        <v>163.1</v>
      </c>
      <c r="V39" s="115">
        <f>-'[1]TDR.4 (M3)'!$W$27</f>
        <v>233.22</v>
      </c>
      <c r="W39" s="115">
        <f>-'[1]TDR.4 (M3)'!$W$28</f>
        <v>424.84</v>
      </c>
      <c r="X39" s="93">
        <f>'[2]MEEIA 3 calcs'!$Z$21</f>
        <v>513.45000000000005</v>
      </c>
      <c r="Y39" s="94">
        <f>'[2]MEEIA 3 calcs'!$AA$21</f>
        <v>600.91</v>
      </c>
      <c r="Z39" s="149">
        <f>'[2]MEEIA 3 calcs'!$AB$21</f>
        <v>693.08</v>
      </c>
      <c r="AA39" s="47"/>
    </row>
    <row r="40" spans="1:28" x14ac:dyDescent="0.25">
      <c r="B40" s="164"/>
      <c r="C40" s="117"/>
      <c r="D40" s="117"/>
      <c r="E40" s="117"/>
      <c r="F40" s="117"/>
      <c r="G40" s="18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64"/>
      <c r="Y40" s="117"/>
      <c r="Z40" s="118"/>
    </row>
    <row r="41" spans="1:28" x14ac:dyDescent="0.25">
      <c r="A41" s="162" t="s">
        <v>69</v>
      </c>
      <c r="B41" s="119"/>
      <c r="C41" s="48"/>
      <c r="D41" s="48"/>
      <c r="E41" s="48"/>
      <c r="F41" s="48"/>
      <c r="G41" s="18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95"/>
      <c r="Y41" s="96"/>
      <c r="Z41" s="99"/>
    </row>
    <row r="42" spans="1:28" x14ac:dyDescent="0.25">
      <c r="A42" s="162" t="s">
        <v>0</v>
      </c>
      <c r="B42" s="107">
        <f>B15-B29</f>
        <v>0</v>
      </c>
      <c r="C42" s="111">
        <f t="shared" ref="C42:Z46" si="15">C15-C29</f>
        <v>0</v>
      </c>
      <c r="D42" s="111">
        <f t="shared" si="15"/>
        <v>0</v>
      </c>
      <c r="E42" s="111">
        <f t="shared" si="15"/>
        <v>3542.7066619947968</v>
      </c>
      <c r="F42" s="111">
        <f>F15-F29</f>
        <v>-2042.587011875763</v>
      </c>
      <c r="G42" s="111">
        <f t="shared" si="15"/>
        <v>-101305.99221352636</v>
      </c>
      <c r="H42" s="111">
        <f t="shared" si="15"/>
        <v>3390.1150170901092</v>
      </c>
      <c r="I42" s="111">
        <f t="shared" si="15"/>
        <v>76961.106998553209</v>
      </c>
      <c r="J42" s="111">
        <f t="shared" si="15"/>
        <v>-50530.984803922765</v>
      </c>
      <c r="K42" s="111">
        <f t="shared" si="15"/>
        <v>-212267.59868433682</v>
      </c>
      <c r="L42" s="111">
        <f>L15-L29</f>
        <v>-40385.233069465088</v>
      </c>
      <c r="M42" s="111">
        <f t="shared" ref="M42:N42" si="16">M15-M29</f>
        <v>44343.414292571193</v>
      </c>
      <c r="N42" s="111">
        <f t="shared" si="16"/>
        <v>76836.312043950486</v>
      </c>
      <c r="O42" s="111">
        <f t="shared" ref="O42:W42" si="17">O15-O29</f>
        <v>201866.16865537548</v>
      </c>
      <c r="P42" s="111">
        <f t="shared" si="17"/>
        <v>34280.258242366312</v>
      </c>
      <c r="Q42" s="111">
        <f t="shared" si="17"/>
        <v>-126346.49822788438</v>
      </c>
      <c r="R42" s="111">
        <f t="shared" si="17"/>
        <v>-63609.632367494516</v>
      </c>
      <c r="S42" s="111">
        <f t="shared" si="17"/>
        <v>346374.89193049946</v>
      </c>
      <c r="T42" s="111">
        <f t="shared" si="17"/>
        <v>485911.41050838667</v>
      </c>
      <c r="U42" s="111">
        <f t="shared" si="17"/>
        <v>717829.24378261669</v>
      </c>
      <c r="V42" s="111">
        <f t="shared" si="17"/>
        <v>585204.42595819209</v>
      </c>
      <c r="W42" s="111">
        <f t="shared" si="17"/>
        <v>149158.25964036927</v>
      </c>
      <c r="X42" s="107">
        <f>X15-X29</f>
        <v>290698.99203172763</v>
      </c>
      <c r="Y42" s="111">
        <f t="shared" si="15"/>
        <v>348095.54397336487</v>
      </c>
      <c r="Z42" s="112">
        <f t="shared" si="15"/>
        <v>293687.25260688004</v>
      </c>
    </row>
    <row r="43" spans="1:28" x14ac:dyDescent="0.25">
      <c r="A43" s="162" t="s">
        <v>4</v>
      </c>
      <c r="B43" s="107">
        <f t="shared" ref="B43:J46" si="18">B16-B30</f>
        <v>0</v>
      </c>
      <c r="C43" s="111">
        <f t="shared" si="18"/>
        <v>0</v>
      </c>
      <c r="D43" s="111">
        <f t="shared" si="18"/>
        <v>0.34412602678174997</v>
      </c>
      <c r="E43" s="111">
        <f t="shared" si="18"/>
        <v>593.85341007321881</v>
      </c>
      <c r="F43" s="111">
        <f t="shared" si="18"/>
        <v>3705.6477164422931</v>
      </c>
      <c r="G43" s="111">
        <f t="shared" si="18"/>
        <v>-36933.991833043365</v>
      </c>
      <c r="H43" s="111">
        <f t="shared" si="18"/>
        <v>-21571.365474004102</v>
      </c>
      <c r="I43" s="111">
        <f t="shared" si="18"/>
        <v>-17718.260509192958</v>
      </c>
      <c r="J43" s="111">
        <f t="shared" si="18"/>
        <v>3197.5668888877699</v>
      </c>
      <c r="K43" s="111">
        <f t="shared" si="15"/>
        <v>28.546596919208241</v>
      </c>
      <c r="L43" s="111">
        <f t="shared" ref="L43:N43" si="19">L16-L30</f>
        <v>9386.3233492282816</v>
      </c>
      <c r="M43" s="111">
        <f t="shared" si="19"/>
        <v>17183.31946097999</v>
      </c>
      <c r="N43" s="111">
        <f t="shared" si="19"/>
        <v>44970.013947199928</v>
      </c>
      <c r="O43" s="111">
        <f t="shared" ref="O43:W43" si="20">O16-O30</f>
        <v>15565.470032368001</v>
      </c>
      <c r="P43" s="111">
        <f t="shared" si="20"/>
        <v>31713.576391725845</v>
      </c>
      <c r="Q43" s="111">
        <f t="shared" si="20"/>
        <v>-10957.783165404988</v>
      </c>
      <c r="R43" s="111">
        <f t="shared" si="20"/>
        <v>22055.733280690023</v>
      </c>
      <c r="S43" s="111">
        <f t="shared" si="20"/>
        <v>36852.642078134973</v>
      </c>
      <c r="T43" s="111">
        <f t="shared" si="20"/>
        <v>65933.032892219417</v>
      </c>
      <c r="U43" s="111">
        <f t="shared" si="20"/>
        <v>36891.63752109505</v>
      </c>
      <c r="V43" s="111">
        <f t="shared" si="20"/>
        <v>53957.672709346953</v>
      </c>
      <c r="W43" s="111">
        <f t="shared" si="20"/>
        <v>43171.372644444236</v>
      </c>
      <c r="X43" s="107">
        <f t="shared" si="15"/>
        <v>39306.802197630146</v>
      </c>
      <c r="Y43" s="111">
        <f t="shared" si="15"/>
        <v>56520.157307669317</v>
      </c>
      <c r="Z43" s="112">
        <f t="shared" si="15"/>
        <v>70970.728003140393</v>
      </c>
    </row>
    <row r="44" spans="1:28" x14ac:dyDescent="0.25">
      <c r="A44" s="162" t="s">
        <v>5</v>
      </c>
      <c r="B44" s="107">
        <f t="shared" si="18"/>
        <v>0</v>
      </c>
      <c r="C44" s="111">
        <f t="shared" si="15"/>
        <v>0</v>
      </c>
      <c r="D44" s="111">
        <f t="shared" si="15"/>
        <v>0.36790548240712501</v>
      </c>
      <c r="E44" s="111">
        <f t="shared" si="15"/>
        <v>549.3842450882164</v>
      </c>
      <c r="F44" s="111">
        <f t="shared" si="15"/>
        <v>-2931.1326047334169</v>
      </c>
      <c r="G44" s="111">
        <f t="shared" si="15"/>
        <v>-90370.113443998154</v>
      </c>
      <c r="H44" s="111">
        <f t="shared" si="15"/>
        <v>-75556.802484400338</v>
      </c>
      <c r="I44" s="111">
        <f t="shared" si="15"/>
        <v>-64270.675133255725</v>
      </c>
      <c r="J44" s="111">
        <f t="shared" si="15"/>
        <v>-39992.989537141941</v>
      </c>
      <c r="K44" s="111">
        <f t="shared" si="15"/>
        <v>-53536.042368776616</v>
      </c>
      <c r="L44" s="111">
        <f t="shared" ref="L44:N44" si="21">L17-L31</f>
        <v>-11728.216706934792</v>
      </c>
      <c r="M44" s="111">
        <f t="shared" si="21"/>
        <v>-2556.6017182828946</v>
      </c>
      <c r="N44" s="111">
        <f t="shared" si="21"/>
        <v>46597.399590637317</v>
      </c>
      <c r="O44" s="111">
        <f t="shared" ref="O44:W44" si="22">O17-O31</f>
        <v>18383.043639580181</v>
      </c>
      <c r="P44" s="111">
        <f t="shared" si="22"/>
        <v>24990.899470165736</v>
      </c>
      <c r="Q44" s="111">
        <f t="shared" si="22"/>
        <v>-37113.943471591141</v>
      </c>
      <c r="R44" s="111">
        <f t="shared" si="22"/>
        <v>4409.0097991616203</v>
      </c>
      <c r="S44" s="111">
        <f t="shared" si="22"/>
        <v>94999.438860579292</v>
      </c>
      <c r="T44" s="111">
        <f t="shared" si="22"/>
        <v>155775.95298932068</v>
      </c>
      <c r="U44" s="111">
        <f t="shared" si="22"/>
        <v>139126.85562350042</v>
      </c>
      <c r="V44" s="111">
        <f t="shared" si="22"/>
        <v>120838.5398867241</v>
      </c>
      <c r="W44" s="111">
        <f t="shared" si="22"/>
        <v>49544.61988423382</v>
      </c>
      <c r="X44" s="107">
        <f t="shared" si="15"/>
        <v>53096.939354347895</v>
      </c>
      <c r="Y44" s="111">
        <f t="shared" si="15"/>
        <v>104628.74755340816</v>
      </c>
      <c r="Z44" s="112">
        <f t="shared" si="15"/>
        <v>149710.59922943334</v>
      </c>
    </row>
    <row r="45" spans="1:28" x14ac:dyDescent="0.25">
      <c r="A45" s="162" t="s">
        <v>6</v>
      </c>
      <c r="B45" s="107">
        <f t="shared" si="18"/>
        <v>0</v>
      </c>
      <c r="C45" s="111">
        <f t="shared" si="15"/>
        <v>0</v>
      </c>
      <c r="D45" s="111">
        <f t="shared" si="15"/>
        <v>0</v>
      </c>
      <c r="E45" s="111">
        <f t="shared" si="15"/>
        <v>9.4764517045030008</v>
      </c>
      <c r="F45" s="111">
        <f t="shared" si="15"/>
        <v>-1388.7476725055421</v>
      </c>
      <c r="G45" s="111">
        <f t="shared" si="15"/>
        <v>-33788.634873838782</v>
      </c>
      <c r="H45" s="111">
        <f t="shared" si="15"/>
        <v>-30625.282694978901</v>
      </c>
      <c r="I45" s="111">
        <f t="shared" si="15"/>
        <v>-31628.79776913585</v>
      </c>
      <c r="J45" s="111">
        <f t="shared" si="15"/>
        <v>-28095.429085728912</v>
      </c>
      <c r="K45" s="111">
        <f t="shared" si="15"/>
        <v>-31873.257504636691</v>
      </c>
      <c r="L45" s="111">
        <f>L18-L32</f>
        <v>-20880.892855911723</v>
      </c>
      <c r="M45" s="111">
        <f t="shared" ref="M45:N45" si="23">M18-M32</f>
        <v>-23064.420173608982</v>
      </c>
      <c r="N45" s="111">
        <f t="shared" si="23"/>
        <v>-1423.2608784312542</v>
      </c>
      <c r="O45" s="111">
        <f t="shared" ref="O45:W45" si="24">O18-O32</f>
        <v>-14045.782339868903</v>
      </c>
      <c r="P45" s="111">
        <f t="shared" si="24"/>
        <v>-5408.7078937220649</v>
      </c>
      <c r="Q45" s="111">
        <f t="shared" si="24"/>
        <v>-15692.292082889318</v>
      </c>
      <c r="R45" s="111">
        <f t="shared" si="24"/>
        <v>6523.1063165799351</v>
      </c>
      <c r="S45" s="111">
        <f t="shared" si="24"/>
        <v>52225.67050608014</v>
      </c>
      <c r="T45" s="111">
        <f t="shared" si="24"/>
        <v>81126.031644751754</v>
      </c>
      <c r="U45" s="111">
        <f t="shared" si="24"/>
        <v>77855.075454152829</v>
      </c>
      <c r="V45" s="111">
        <f t="shared" si="24"/>
        <v>50995.109967789846</v>
      </c>
      <c r="W45" s="111">
        <f t="shared" si="24"/>
        <v>11794.265719027549</v>
      </c>
      <c r="X45" s="107">
        <f t="shared" si="15"/>
        <v>11955.601244510734</v>
      </c>
      <c r="Y45" s="111">
        <f t="shared" si="15"/>
        <v>23066.770320070049</v>
      </c>
      <c r="Z45" s="112">
        <f t="shared" si="15"/>
        <v>44710.829843054205</v>
      </c>
    </row>
    <row r="46" spans="1:28" x14ac:dyDescent="0.25">
      <c r="A46" s="162" t="s">
        <v>7</v>
      </c>
      <c r="B46" s="107">
        <f t="shared" si="18"/>
        <v>0</v>
      </c>
      <c r="C46" s="111">
        <f t="shared" si="15"/>
        <v>0</v>
      </c>
      <c r="D46" s="111">
        <f t="shared" si="15"/>
        <v>0</v>
      </c>
      <c r="E46" s="111">
        <f t="shared" si="15"/>
        <v>0</v>
      </c>
      <c r="F46" s="111">
        <f t="shared" si="15"/>
        <v>206.95969459981058</v>
      </c>
      <c r="G46" s="111">
        <f t="shared" si="15"/>
        <v>-3528.7340731331474</v>
      </c>
      <c r="H46" s="111">
        <f t="shared" si="15"/>
        <v>-6806.3797850987785</v>
      </c>
      <c r="I46" s="111">
        <f t="shared" si="15"/>
        <v>-7300.5960205780684</v>
      </c>
      <c r="J46" s="111">
        <f t="shared" si="15"/>
        <v>-7080.3370793455424</v>
      </c>
      <c r="K46" s="111">
        <f t="shared" si="15"/>
        <v>-6687.927317849204</v>
      </c>
      <c r="L46" s="111">
        <f>L19-L33</f>
        <v>-1825.1377979269255</v>
      </c>
      <c r="M46" s="111">
        <f t="shared" ref="M46" si="25">M19-M33</f>
        <v>-3396.1962381337257</v>
      </c>
      <c r="N46" s="111">
        <f>N19-N33</f>
        <v>295.33845004445902</v>
      </c>
      <c r="O46" s="111">
        <f t="shared" ref="O46:W46" si="26">O19-O33</f>
        <v>-6078.344592685643</v>
      </c>
      <c r="P46" s="111">
        <f t="shared" si="26"/>
        <v>-14379.160711894308</v>
      </c>
      <c r="Q46" s="111">
        <f t="shared" si="26"/>
        <v>-16913.762044639316</v>
      </c>
      <c r="R46" s="111">
        <f t="shared" si="26"/>
        <v>-9837.7169283901458</v>
      </c>
      <c r="S46" s="111">
        <f t="shared" si="26"/>
        <v>21423.409277318446</v>
      </c>
      <c r="T46" s="111">
        <f t="shared" si="26"/>
        <v>16335.053413476926</v>
      </c>
      <c r="U46" s="111">
        <f t="shared" si="26"/>
        <v>16771.929407484269</v>
      </c>
      <c r="V46" s="111">
        <f t="shared" si="26"/>
        <v>1272.9677155168429</v>
      </c>
      <c r="W46" s="111">
        <f t="shared" si="26"/>
        <v>-11866.314202668673</v>
      </c>
      <c r="X46" s="107">
        <f t="shared" si="15"/>
        <v>-12113.502741249271</v>
      </c>
      <c r="Y46" s="111">
        <f t="shared" si="15"/>
        <v>-8121.0076067348255</v>
      </c>
      <c r="Z46" s="112">
        <f t="shared" si="15"/>
        <v>-6659.182719458764</v>
      </c>
    </row>
    <row r="47" spans="1:28" x14ac:dyDescent="0.25">
      <c r="B47" s="95"/>
      <c r="C47" s="96"/>
      <c r="D47" s="96"/>
      <c r="E47" s="96"/>
      <c r="F47" s="98"/>
      <c r="G47" s="98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5"/>
      <c r="Y47" s="96"/>
      <c r="Z47" s="99"/>
    </row>
    <row r="48" spans="1:28" x14ac:dyDescent="0.25">
      <c r="A48" s="162" t="s">
        <v>70</v>
      </c>
      <c r="B48" s="95"/>
      <c r="C48" s="96"/>
      <c r="D48" s="96"/>
      <c r="E48" s="96"/>
      <c r="F48" s="98"/>
      <c r="G48" s="98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5"/>
      <c r="Y48" s="96"/>
      <c r="Z48" s="99"/>
    </row>
    <row r="49" spans="1:31" x14ac:dyDescent="0.25">
      <c r="A49" s="162" t="s">
        <v>0</v>
      </c>
      <c r="B49" s="107">
        <f>B42</f>
        <v>0</v>
      </c>
      <c r="C49" s="111">
        <f>B49+C42+B56</f>
        <v>0</v>
      </c>
      <c r="D49" s="111">
        <f t="shared" ref="D49:I49" si="27">C49+D42+C56</f>
        <v>0</v>
      </c>
      <c r="E49" s="111">
        <f t="shared" si="27"/>
        <v>3542.7066619947968</v>
      </c>
      <c r="F49" s="111">
        <f>E49+F42+E56</f>
        <v>1507.97936331558</v>
      </c>
      <c r="G49" s="111">
        <f t="shared" si="27"/>
        <v>-99794.648345930662</v>
      </c>
      <c r="H49" s="111">
        <f t="shared" si="27"/>
        <v>-96624.917917516941</v>
      </c>
      <c r="I49" s="111">
        <f t="shared" si="27"/>
        <v>-19872.751755740155</v>
      </c>
      <c r="J49" s="111">
        <f t="shared" ref="J49:O49" si="28">I49+J42+I56</f>
        <v>-70442.673738996746</v>
      </c>
      <c r="K49" s="111">
        <f t="shared" si="28"/>
        <v>-282840.4076317767</v>
      </c>
      <c r="L49" s="111">
        <f t="shared" si="28"/>
        <v>-323723.89519173</v>
      </c>
      <c r="M49" s="111">
        <f t="shared" si="28"/>
        <v>-279870.29009307991</v>
      </c>
      <c r="N49" s="111">
        <f t="shared" si="28"/>
        <v>-203480.65079889275</v>
      </c>
      <c r="O49" s="111">
        <f t="shared" si="28"/>
        <v>-1934.8078275588223</v>
      </c>
      <c r="P49" s="111">
        <f t="shared" ref="P49:P53" si="29">O49+P42+O56</f>
        <v>32342.542426052445</v>
      </c>
      <c r="Q49" s="111">
        <f t="shared" ref="Q49:Q53" si="30">P49+Q42+P56</f>
        <v>-93953.05424609402</v>
      </c>
      <c r="R49" s="111">
        <f t="shared" ref="R49:R53" si="31">Q49+R42+Q56</f>
        <v>-157636.16259966171</v>
      </c>
      <c r="S49" s="111">
        <f t="shared" ref="S49:S53" si="32">R49+S42+R56</f>
        <v>188721.77464200588</v>
      </c>
      <c r="T49" s="111">
        <f t="shared" ref="T49:T53" si="33">S49+T42+S56</f>
        <v>674652.94290478434</v>
      </c>
      <c r="U49" s="111">
        <f t="shared" ref="U49:U53" si="34">T49+U42+T56</f>
        <v>1392591.0661148026</v>
      </c>
      <c r="V49" s="111">
        <f t="shared" ref="V49:V53" si="35">U49+V42+U56</f>
        <v>1977953.9979486326</v>
      </c>
      <c r="W49" s="111">
        <f t="shared" ref="W49:W53" si="36">V49+W42+V56</f>
        <v>2127316.5077120098</v>
      </c>
      <c r="X49" s="107">
        <f>W49+X42+W56</f>
        <v>2418370.0524950228</v>
      </c>
      <c r="Y49" s="111">
        <f t="shared" ref="Y49:Z53" si="37">X49+Y42+X56</f>
        <v>2766387.0384271368</v>
      </c>
      <c r="Z49" s="112">
        <f>Y49+Z42+Y56</f>
        <v>3060535.3555404213</v>
      </c>
    </row>
    <row r="50" spans="1:31" x14ac:dyDescent="0.25">
      <c r="A50" s="162" t="s">
        <v>4</v>
      </c>
      <c r="B50" s="107">
        <f>B43</f>
        <v>0</v>
      </c>
      <c r="C50" s="111">
        <f t="shared" ref="C50:K53" si="38">B50+C43+B57</f>
        <v>0</v>
      </c>
      <c r="D50" s="111">
        <f t="shared" si="38"/>
        <v>0.34412602678174997</v>
      </c>
      <c r="E50" s="111">
        <f t="shared" si="38"/>
        <v>594.19753610000055</v>
      </c>
      <c r="F50" s="111">
        <f t="shared" si="38"/>
        <v>4301.1635164183126</v>
      </c>
      <c r="G50" s="111">
        <f t="shared" si="38"/>
        <v>-32623.231843747151</v>
      </c>
      <c r="H50" s="111">
        <f t="shared" si="38"/>
        <v>-54266.641837676369</v>
      </c>
      <c r="I50" s="111">
        <f t="shared" si="38"/>
        <v>-72102.248035734898</v>
      </c>
      <c r="J50" s="111">
        <f t="shared" si="38"/>
        <v>-69045.952883979742</v>
      </c>
      <c r="K50" s="111">
        <f t="shared" si="38"/>
        <v>-69144.961205035448</v>
      </c>
      <c r="L50" s="111">
        <f t="shared" ref="L50:N53" si="39">K50+L43+K57</f>
        <v>-59880.444310915569</v>
      </c>
      <c r="M50" s="111">
        <f t="shared" si="39"/>
        <v>-42787.723373422028</v>
      </c>
      <c r="N50" s="111">
        <f t="shared" si="39"/>
        <v>2114.0014029303547</v>
      </c>
      <c r="O50" s="111">
        <f>N50+O43+N57</f>
        <v>17682.799363250229</v>
      </c>
      <c r="P50" s="111">
        <f t="shared" si="29"/>
        <v>49422.952751912715</v>
      </c>
      <c r="Q50" s="111">
        <f t="shared" si="30"/>
        <v>38542.952747494091</v>
      </c>
      <c r="R50" s="111">
        <f t="shared" si="31"/>
        <v>60628.828544380289</v>
      </c>
      <c r="S50" s="111">
        <f t="shared" si="32"/>
        <v>97487.99160669338</v>
      </c>
      <c r="T50" s="111">
        <f t="shared" si="33"/>
        <v>163431.23076047408</v>
      </c>
      <c r="U50" s="111">
        <f t="shared" si="34"/>
        <v>200349.2437669381</v>
      </c>
      <c r="V50" s="111">
        <f t="shared" si="35"/>
        <v>254329.72039416831</v>
      </c>
      <c r="W50" s="111">
        <f t="shared" si="36"/>
        <v>297527.35597330623</v>
      </c>
      <c r="X50" s="107">
        <f t="shared" ref="X50:X53" si="40">W50+X43+W57</f>
        <v>336883.74606359861</v>
      </c>
      <c r="Y50" s="111">
        <f t="shared" si="37"/>
        <v>393381.53375061188</v>
      </c>
      <c r="Z50" s="112">
        <f t="shared" si="37"/>
        <v>464417.82534271065</v>
      </c>
    </row>
    <row r="51" spans="1:31" x14ac:dyDescent="0.25">
      <c r="A51" s="162" t="s">
        <v>5</v>
      </c>
      <c r="B51" s="107">
        <f>B44</f>
        <v>0</v>
      </c>
      <c r="C51" s="111">
        <f t="shared" si="38"/>
        <v>0</v>
      </c>
      <c r="D51" s="111">
        <f t="shared" si="38"/>
        <v>0.36790548240712501</v>
      </c>
      <c r="E51" s="111">
        <f t="shared" si="38"/>
        <v>549.75215057062348</v>
      </c>
      <c r="F51" s="111">
        <f t="shared" si="38"/>
        <v>-2380.1607951153696</v>
      </c>
      <c r="G51" s="111">
        <f t="shared" si="38"/>
        <v>-92755.584697185666</v>
      </c>
      <c r="H51" s="111">
        <f t="shared" si="38"/>
        <v>-168517.22683701589</v>
      </c>
      <c r="I51" s="111">
        <f t="shared" si="38"/>
        <v>-233152.30207684272</v>
      </c>
      <c r="J51" s="111">
        <f t="shared" si="38"/>
        <v>-273602.11274825141</v>
      </c>
      <c r="K51" s="111">
        <f t="shared" si="38"/>
        <v>-327643.60538010154</v>
      </c>
      <c r="L51" s="111">
        <f t="shared" si="39"/>
        <v>-339949.00233870995</v>
      </c>
      <c r="M51" s="111">
        <f t="shared" si="39"/>
        <v>-342924.63709766627</v>
      </c>
      <c r="N51" s="111">
        <f t="shared" si="39"/>
        <v>-296874.54494206631</v>
      </c>
      <c r="O51" s="111">
        <f>N51+O44+N58</f>
        <v>-278958.85061216116</v>
      </c>
      <c r="P51" s="111">
        <f t="shared" si="29"/>
        <v>-254387.22234254846</v>
      </c>
      <c r="Q51" s="111">
        <f t="shared" si="30"/>
        <v>-291901.52720832155</v>
      </c>
      <c r="R51" s="111">
        <f t="shared" si="31"/>
        <v>-287720.7989985132</v>
      </c>
      <c r="S51" s="111">
        <f t="shared" si="32"/>
        <v>-192752.30618823753</v>
      </c>
      <c r="T51" s="111">
        <f t="shared" si="33"/>
        <v>-36996.532919732468</v>
      </c>
      <c r="U51" s="111">
        <f t="shared" si="34"/>
        <v>102124.35198747226</v>
      </c>
      <c r="V51" s="111">
        <f t="shared" si="35"/>
        <v>222974.5157530432</v>
      </c>
      <c r="W51" s="111">
        <f t="shared" si="36"/>
        <v>272542.16072902206</v>
      </c>
      <c r="X51" s="107">
        <f t="shared" si="40"/>
        <v>325684.52377682476</v>
      </c>
      <c r="Y51" s="111">
        <f t="shared" si="37"/>
        <v>430191.24147419573</v>
      </c>
      <c r="Z51" s="112">
        <f t="shared" si="37"/>
        <v>579973.53924387472</v>
      </c>
    </row>
    <row r="52" spans="1:31" x14ac:dyDescent="0.25">
      <c r="A52" s="162" t="s">
        <v>6</v>
      </c>
      <c r="B52" s="107">
        <f>B45</f>
        <v>0</v>
      </c>
      <c r="C52" s="111">
        <f t="shared" si="38"/>
        <v>0</v>
      </c>
      <c r="D52" s="111">
        <f t="shared" si="38"/>
        <v>0</v>
      </c>
      <c r="E52" s="111">
        <f t="shared" si="38"/>
        <v>9.4764517045030008</v>
      </c>
      <c r="F52" s="111">
        <f t="shared" si="38"/>
        <v>-1379.2501967085516</v>
      </c>
      <c r="G52" s="111">
        <f t="shared" si="38"/>
        <v>-35170.962362785591</v>
      </c>
      <c r="H52" s="111">
        <f t="shared" si="38"/>
        <v>-65873.915936936362</v>
      </c>
      <c r="I52" s="111">
        <f t="shared" si="38"/>
        <v>-97645.158858050025</v>
      </c>
      <c r="J52" s="111">
        <f t="shared" si="38"/>
        <v>-125931.90654465849</v>
      </c>
      <c r="K52" s="111">
        <f t="shared" si="38"/>
        <v>-158037.80960401322</v>
      </c>
      <c r="L52" s="111">
        <f t="shared" si="39"/>
        <v>-179197.10344570148</v>
      </c>
      <c r="M52" s="111">
        <f t="shared" si="39"/>
        <v>-202486.13692655152</v>
      </c>
      <c r="N52" s="111">
        <f t="shared" si="39"/>
        <v>-204232.56551077912</v>
      </c>
      <c r="O52" s="111">
        <f>N52+O45+N59</f>
        <v>-218599.85722263966</v>
      </c>
      <c r="P52" s="111">
        <f t="shared" si="29"/>
        <v>-224337.11760493604</v>
      </c>
      <c r="Q52" s="111">
        <f t="shared" si="30"/>
        <v>-240382.47742583515</v>
      </c>
      <c r="R52" s="111">
        <f t="shared" si="31"/>
        <v>-234047.36222572607</v>
      </c>
      <c r="S52" s="111">
        <f t="shared" si="32"/>
        <v>-181846.86487872957</v>
      </c>
      <c r="T52" s="111">
        <f t="shared" si="33"/>
        <v>-100739.87123687913</v>
      </c>
      <c r="U52" s="111">
        <f t="shared" si="34"/>
        <v>-22901.053770795759</v>
      </c>
      <c r="V52" s="111">
        <f t="shared" si="35"/>
        <v>28091.449579969682</v>
      </c>
      <c r="W52" s="111">
        <f t="shared" si="36"/>
        <v>39888.616115719022</v>
      </c>
      <c r="X52" s="107">
        <f t="shared" si="40"/>
        <v>51850.86546291571</v>
      </c>
      <c r="Y52" s="111">
        <f t="shared" si="37"/>
        <v>74838.322255562918</v>
      </c>
      <c r="Z52" s="112">
        <f t="shared" si="37"/>
        <v>119561.62515232638</v>
      </c>
    </row>
    <row r="53" spans="1:31" x14ac:dyDescent="0.25">
      <c r="A53" s="162" t="s">
        <v>7</v>
      </c>
      <c r="B53" s="107">
        <f>B46</f>
        <v>0</v>
      </c>
      <c r="C53" s="111">
        <f t="shared" si="38"/>
        <v>0</v>
      </c>
      <c r="D53" s="111">
        <f t="shared" si="38"/>
        <v>0</v>
      </c>
      <c r="E53" s="111">
        <f t="shared" si="38"/>
        <v>0</v>
      </c>
      <c r="F53" s="111">
        <f t="shared" si="38"/>
        <v>206.95969459981058</v>
      </c>
      <c r="G53" s="111">
        <f t="shared" si="38"/>
        <v>-3321.3126236875923</v>
      </c>
      <c r="H53" s="111">
        <f t="shared" si="38"/>
        <v>-10135.02713192603</v>
      </c>
      <c r="I53" s="111">
        <f t="shared" si="38"/>
        <v>-17457.53904226976</v>
      </c>
      <c r="J53" s="111">
        <f t="shared" si="38"/>
        <v>-24572.081114299297</v>
      </c>
      <c r="K53" s="111">
        <f t="shared" si="38"/>
        <v>-31305.402690031715</v>
      </c>
      <c r="L53" s="111">
        <f t="shared" si="39"/>
        <v>-33185.68839839143</v>
      </c>
      <c r="M53" s="111">
        <f t="shared" si="39"/>
        <v>-36616.425340765913</v>
      </c>
      <c r="N53" s="111">
        <f t="shared" si="39"/>
        <v>-36379.526675051631</v>
      </c>
      <c r="O53" s="111">
        <f>N53+O46+N60</f>
        <v>-42515.141070647485</v>
      </c>
      <c r="P53" s="111">
        <f t="shared" si="29"/>
        <v>-56958.201437273143</v>
      </c>
      <c r="Q53" s="111">
        <f t="shared" si="30"/>
        <v>-73961.605818219818</v>
      </c>
      <c r="R53" s="111">
        <f t="shared" si="31"/>
        <v>-83857.164420440109</v>
      </c>
      <c r="S53" s="111">
        <f t="shared" si="32"/>
        <v>-62442.774470321878</v>
      </c>
      <c r="T53" s="111">
        <f t="shared" si="33"/>
        <v>-46114.258347011186</v>
      </c>
      <c r="U53" s="111">
        <f t="shared" si="34"/>
        <v>-29349.771127538799</v>
      </c>
      <c r="V53" s="111">
        <f t="shared" si="35"/>
        <v>-28080.144027429837</v>
      </c>
      <c r="W53" s="111">
        <f t="shared" si="36"/>
        <v>-39949.357879371259</v>
      </c>
      <c r="X53" s="107">
        <f t="shared" si="40"/>
        <v>-52069.518846933759</v>
      </c>
      <c r="Y53" s="111">
        <f t="shared" si="37"/>
        <v>-60210.082893476407</v>
      </c>
      <c r="Z53" s="112">
        <f t="shared" si="37"/>
        <v>-66879.300626750744</v>
      </c>
    </row>
    <row r="54" spans="1:31" x14ac:dyDescent="0.25">
      <c r="B54" s="95"/>
      <c r="C54" s="96"/>
      <c r="D54" s="96"/>
      <c r="E54" s="96"/>
      <c r="F54" s="98"/>
      <c r="G54" s="98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5"/>
      <c r="Y54" s="96"/>
      <c r="Z54" s="99"/>
    </row>
    <row r="55" spans="1:31" x14ac:dyDescent="0.25">
      <c r="A55" s="162" t="s">
        <v>65</v>
      </c>
      <c r="B55" s="120">
        <v>0</v>
      </c>
      <c r="C55" s="121">
        <v>0</v>
      </c>
      <c r="D55" s="121">
        <v>0</v>
      </c>
      <c r="E55" s="121">
        <f>+'PCR (M2)'!AO67</f>
        <v>2.2185616666666667E-3</v>
      </c>
      <c r="F55" s="121">
        <f>+'PCR (M2)'!AP67</f>
        <v>2.2311341666666666E-3</v>
      </c>
      <c r="G55" s="121">
        <f>+'PCR (M2)'!AQ67</f>
        <v>2.2083808333333331E-3</v>
      </c>
      <c r="H55" s="121">
        <f>+'PCR (M2)'!AR67</f>
        <v>2.1623908333333335E-3</v>
      </c>
      <c r="I55" s="121">
        <f>+'PCR (M2)'!AS67</f>
        <v>1.959325E-3</v>
      </c>
      <c r="J55" s="121">
        <f>+'PCR (M2)'!AT67</f>
        <v>1.8473916666666666E-3</v>
      </c>
      <c r="K55" s="121">
        <f>+'PCR (M2)'!AU67</f>
        <v>1.7616100000000003E-3</v>
      </c>
      <c r="L55" s="121">
        <f>+'PCR (M2)'!AV67</f>
        <v>1.5133241666666667E-3</v>
      </c>
      <c r="M55" s="121">
        <f>+'PCR (M2)'!AW67</f>
        <v>1.5959991666666667E-3</v>
      </c>
      <c r="N55" s="121">
        <f>+'PCR (M2)'!AX67</f>
        <v>1.5742316666666667E-3</v>
      </c>
      <c r="O55" s="121">
        <f>+'PCR (M2)'!AY67</f>
        <v>1.5029858333333332E-3</v>
      </c>
      <c r="P55" s="121">
        <f>+'PCR (M2)'!AZ67</f>
        <v>1.5738266666666667E-3</v>
      </c>
      <c r="Q55" s="121">
        <f>+'PCR (M2)'!BA67</f>
        <v>7.8204999999999995E-4</v>
      </c>
      <c r="R55" s="121">
        <f>+'PCR (M2)'!BB67</f>
        <v>1.0755583333333334E-4</v>
      </c>
      <c r="S55" s="121">
        <f>+'PCR (M2)'!BC67</f>
        <v>1.046925E-4</v>
      </c>
      <c r="T55" s="121">
        <f>+'PCR (M2)'!BD67</f>
        <v>1.6138583333333333E-4</v>
      </c>
      <c r="U55" s="121">
        <f>+'PCR (M2)'!BE67</f>
        <v>1.1382083333333333E-4</v>
      </c>
      <c r="V55" s="121">
        <f>+'PCR (M2)'!BF67</f>
        <v>1.0326333333333334E-4</v>
      </c>
      <c r="W55" s="121">
        <f>+'PCR (M2)'!BG67</f>
        <v>1.6666666666666666E-4</v>
      </c>
      <c r="X55" s="184">
        <f>'PCR (M2)'!BH67</f>
        <v>1.6666666666666666E-4</v>
      </c>
      <c r="Y55" s="185">
        <f>'PCR (M2)'!BI67</f>
        <v>1.6666666666666666E-4</v>
      </c>
      <c r="Z55" s="186">
        <f>'PCR (M2)'!BJ67</f>
        <v>1.6666666666666666E-4</v>
      </c>
    </row>
    <row r="56" spans="1:31" x14ac:dyDescent="0.25">
      <c r="A56" s="162" t="s">
        <v>0</v>
      </c>
      <c r="B56" s="107">
        <f t="shared" ref="B56:K60" si="41">B49*B$55</f>
        <v>0</v>
      </c>
      <c r="C56" s="111">
        <f t="shared" si="41"/>
        <v>0</v>
      </c>
      <c r="D56" s="111">
        <f>D49*D$55</f>
        <v>0</v>
      </c>
      <c r="E56" s="111">
        <f t="shared" si="41"/>
        <v>7.8597131965462799</v>
      </c>
      <c r="F56" s="111">
        <f t="shared" si="41"/>
        <v>3.3645042801216372</v>
      </c>
      <c r="G56" s="111">
        <f t="shared" si="41"/>
        <v>-220.38458867639329</v>
      </c>
      <c r="H56" s="111">
        <f t="shared" si="41"/>
        <v>-208.94083677642439</v>
      </c>
      <c r="I56" s="111">
        <f t="shared" si="41"/>
        <v>-38.937179333815578</v>
      </c>
      <c r="J56" s="111">
        <f t="shared" si="41"/>
        <v>-130.13520844314144</v>
      </c>
      <c r="K56" s="111">
        <f>K49*K$55</f>
        <v>-498.25449048821423</v>
      </c>
      <c r="L56" s="111">
        <f>L49*L$55+0.09</f>
        <v>-489.80919392111218</v>
      </c>
      <c r="M56" s="111">
        <f t="shared" ref="M56:W56" si="42">M49*M$55</f>
        <v>-446.67274976331379</v>
      </c>
      <c r="N56" s="111">
        <f>N49*N$55</f>
        <v>-320.32568404155893</v>
      </c>
      <c r="O56" s="111">
        <f>O49*O$55</f>
        <v>-2.9079887550433527</v>
      </c>
      <c r="P56" s="111">
        <f t="shared" si="42"/>
        <v>50.901555737919367</v>
      </c>
      <c r="Q56" s="111">
        <f t="shared" si="42"/>
        <v>-73.475986073157827</v>
      </c>
      <c r="R56" s="111">
        <f t="shared" si="42"/>
        <v>-16.954688831875448</v>
      </c>
      <c r="S56" s="111">
        <f t="shared" si="42"/>
        <v>19.7577543917082</v>
      </c>
      <c r="T56" s="111">
        <f t="shared" si="42"/>
        <v>108.87942740147437</v>
      </c>
      <c r="U56" s="111">
        <f t="shared" si="42"/>
        <v>158.50587563774192</v>
      </c>
      <c r="V56" s="111">
        <f t="shared" si="42"/>
        <v>204.25012300816897</v>
      </c>
      <c r="W56" s="111">
        <f t="shared" si="42"/>
        <v>354.55275128533498</v>
      </c>
      <c r="X56" s="107">
        <f>((X49+X66)*X$55)-X66</f>
        <v>-78.55804125082949</v>
      </c>
      <c r="Y56" s="111">
        <f t="shared" ref="Y56:Z60" si="43">Y49*Y$55</f>
        <v>461.06450640452277</v>
      </c>
      <c r="Z56" s="112">
        <f t="shared" si="43"/>
        <v>510.08922592340355</v>
      </c>
    </row>
    <row r="57" spans="1:31" x14ac:dyDescent="0.25">
      <c r="A57" s="162" t="s">
        <v>4</v>
      </c>
      <c r="B57" s="107">
        <f t="shared" si="41"/>
        <v>0</v>
      </c>
      <c r="C57" s="111">
        <f t="shared" si="41"/>
        <v>0</v>
      </c>
      <c r="D57" s="111">
        <f t="shared" si="41"/>
        <v>0</v>
      </c>
      <c r="E57" s="111">
        <f t="shared" si="41"/>
        <v>1.318263876019244</v>
      </c>
      <c r="F57" s="111">
        <f t="shared" si="41"/>
        <v>9.5964728779010411</v>
      </c>
      <c r="G57" s="111">
        <f t="shared" si="41"/>
        <v>-72.044519925120866</v>
      </c>
      <c r="H57" s="111">
        <f t="shared" si="41"/>
        <v>-117.34568886557454</v>
      </c>
      <c r="I57" s="111">
        <f t="shared" si="41"/>
        <v>-141.27173713261629</v>
      </c>
      <c r="J57" s="111">
        <f t="shared" si="41"/>
        <v>-127.55491797492347</v>
      </c>
      <c r="K57" s="111">
        <f t="shared" si="41"/>
        <v>-121.80645510840252</v>
      </c>
      <c r="L57" s="111">
        <f>L50*L$55+0.02</f>
        <v>-90.598523486446055</v>
      </c>
      <c r="M57" s="111">
        <f t="shared" ref="M57:W57" si="44">M50*M$55</f>
        <v>-68.289170847545407</v>
      </c>
      <c r="N57" s="111">
        <f t="shared" si="44"/>
        <v>3.3279279518707239</v>
      </c>
      <c r="O57" s="111">
        <f t="shared" si="44"/>
        <v>26.576996936640779</v>
      </c>
      <c r="P57" s="111">
        <f t="shared" si="44"/>
        <v>77.783160986366951</v>
      </c>
      <c r="Q57" s="111">
        <f t="shared" si="44"/>
        <v>30.142516196177752</v>
      </c>
      <c r="R57" s="111">
        <f t="shared" si="44"/>
        <v>6.5209841781146096</v>
      </c>
      <c r="S57" s="111">
        <f t="shared" si="44"/>
        <v>10.206261561283746</v>
      </c>
      <c r="T57" s="111">
        <f t="shared" si="44"/>
        <v>26.375485368971407</v>
      </c>
      <c r="U57" s="111">
        <f t="shared" si="44"/>
        <v>22.803917883256034</v>
      </c>
      <c r="V57" s="111">
        <f t="shared" si="44"/>
        <v>26.262934693636467</v>
      </c>
      <c r="W57" s="111">
        <f t="shared" si="44"/>
        <v>49.587892662217705</v>
      </c>
      <c r="X57" s="107">
        <f t="shared" ref="X57:X60" si="45">((X50+X67)*X$55)-X67</f>
        <v>-22.3696206560669</v>
      </c>
      <c r="Y57" s="111">
        <f t="shared" si="43"/>
        <v>65.563588958435318</v>
      </c>
      <c r="Z57" s="112">
        <f t="shared" si="43"/>
        <v>77.402970890451769</v>
      </c>
    </row>
    <row r="58" spans="1:31" x14ac:dyDescent="0.25">
      <c r="A58" s="162" t="s">
        <v>5</v>
      </c>
      <c r="B58" s="107">
        <f t="shared" si="41"/>
        <v>0</v>
      </c>
      <c r="C58" s="111">
        <f t="shared" si="41"/>
        <v>0</v>
      </c>
      <c r="D58" s="111">
        <f t="shared" si="41"/>
        <v>0</v>
      </c>
      <c r="E58" s="111">
        <f t="shared" si="41"/>
        <v>1.2196590474235467</v>
      </c>
      <c r="F58" s="111">
        <f t="shared" si="41"/>
        <v>-5.3104580721424011</v>
      </c>
      <c r="G58" s="111">
        <f t="shared" si="41"/>
        <v>-204.83965542989145</v>
      </c>
      <c r="H58" s="111">
        <f t="shared" si="41"/>
        <v>-364.40010657111719</v>
      </c>
      <c r="I58" s="111">
        <f t="shared" si="41"/>
        <v>-456.82113426670986</v>
      </c>
      <c r="J58" s="111">
        <f t="shared" si="41"/>
        <v>-505.45026307351344</v>
      </c>
      <c r="K58" s="111">
        <f t="shared" si="41"/>
        <v>-577.18025167364078</v>
      </c>
      <c r="L58" s="111">
        <f>L51*L$55+95.42</f>
        <v>-419.03304067339292</v>
      </c>
      <c r="M58" s="111">
        <f t="shared" ref="M58:W58" si="46">M51*M$55</f>
        <v>-547.30743503734448</v>
      </c>
      <c r="N58" s="111">
        <f t="shared" si="46"/>
        <v>-467.34930967505727</v>
      </c>
      <c r="O58" s="111">
        <f t="shared" si="46"/>
        <v>-419.27120055302782</v>
      </c>
      <c r="P58" s="111">
        <f t="shared" si="46"/>
        <v>-400.36139418196524</v>
      </c>
      <c r="Q58" s="111">
        <f t="shared" si="46"/>
        <v>-228.28158935326786</v>
      </c>
      <c r="R58" s="111">
        <f t="shared" si="46"/>
        <v>-30.946050303617586</v>
      </c>
      <c r="S58" s="111">
        <f t="shared" si="46"/>
        <v>-20.179720815612058</v>
      </c>
      <c r="T58" s="111">
        <f t="shared" si="46"/>
        <v>-5.9707162956951239</v>
      </c>
      <c r="U58" s="111">
        <f t="shared" si="46"/>
        <v>11.623878846840748</v>
      </c>
      <c r="V58" s="111">
        <f t="shared" si="46"/>
        <v>23.025091745045085</v>
      </c>
      <c r="W58" s="111">
        <f t="shared" si="46"/>
        <v>45.423693454837007</v>
      </c>
      <c r="X58" s="107">
        <f t="shared" si="45"/>
        <v>-122.02985603719588</v>
      </c>
      <c r="Y58" s="111">
        <f t="shared" si="43"/>
        <v>71.698540245699292</v>
      </c>
      <c r="Z58" s="112">
        <f t="shared" si="43"/>
        <v>96.662256540645785</v>
      </c>
    </row>
    <row r="59" spans="1:31" x14ac:dyDescent="0.25">
      <c r="A59" s="162" t="s">
        <v>6</v>
      </c>
      <c r="B59" s="107">
        <f t="shared" si="41"/>
        <v>0</v>
      </c>
      <c r="C59" s="111">
        <f t="shared" si="41"/>
        <v>0</v>
      </c>
      <c r="D59" s="111">
        <f t="shared" si="41"/>
        <v>0</v>
      </c>
      <c r="E59" s="111">
        <f t="shared" si="41"/>
        <v>2.1024092487628352E-2</v>
      </c>
      <c r="F59" s="111">
        <f t="shared" si="41"/>
        <v>-3.0772922382581704</v>
      </c>
      <c r="G59" s="111">
        <f t="shared" si="41"/>
        <v>-77.670879171863731</v>
      </c>
      <c r="H59" s="111">
        <f t="shared" si="41"/>
        <v>-142.44515197780177</v>
      </c>
      <c r="I59" s="111">
        <f t="shared" si="41"/>
        <v>-191.31860087954888</v>
      </c>
      <c r="J59" s="111">
        <f>J52*J$55</f>
        <v>-232.64555471804755</v>
      </c>
      <c r="K59" s="111">
        <f t="shared" si="41"/>
        <v>-278.40098577652577</v>
      </c>
      <c r="L59" s="111">
        <f>L52*L$55+46.57</f>
        <v>-224.61330724104664</v>
      </c>
      <c r="M59" s="111">
        <f t="shared" ref="M59:W59" si="47">M52*M$55</f>
        <v>-323.16770579632879</v>
      </c>
      <c r="N59" s="111">
        <f t="shared" si="47"/>
        <v>-321.50937199164304</v>
      </c>
      <c r="O59" s="111">
        <f t="shared" si="47"/>
        <v>-328.55248857431673</v>
      </c>
      <c r="P59" s="111">
        <f t="shared" si="47"/>
        <v>-353.06773800978448</v>
      </c>
      <c r="Q59" s="111">
        <f t="shared" si="47"/>
        <v>-187.99111647087437</v>
      </c>
      <c r="R59" s="111">
        <f t="shared" si="47"/>
        <v>-25.17315908365649</v>
      </c>
      <c r="S59" s="111">
        <f t="shared" si="47"/>
        <v>-19.038002901316396</v>
      </c>
      <c r="T59" s="111">
        <f t="shared" si="47"/>
        <v>-16.257988069456434</v>
      </c>
      <c r="U59" s="111">
        <f t="shared" si="47"/>
        <v>-2.606617024403449</v>
      </c>
      <c r="V59" s="111">
        <f t="shared" si="47"/>
        <v>2.9008167217929359</v>
      </c>
      <c r="W59" s="111">
        <f t="shared" si="47"/>
        <v>6.6481026859531704</v>
      </c>
      <c r="X59" s="107">
        <f t="shared" si="45"/>
        <v>-79.313527422847386</v>
      </c>
      <c r="Y59" s="111">
        <f t="shared" si="43"/>
        <v>12.473053709260485</v>
      </c>
      <c r="Z59" s="112">
        <f t="shared" si="43"/>
        <v>19.926937525387729</v>
      </c>
    </row>
    <row r="60" spans="1:31" ht="15.75" thickBot="1" x14ac:dyDescent="0.3">
      <c r="A60" s="162" t="s">
        <v>7</v>
      </c>
      <c r="B60" s="107">
        <f t="shared" si="41"/>
        <v>0</v>
      </c>
      <c r="C60" s="111">
        <f t="shared" si="41"/>
        <v>0</v>
      </c>
      <c r="D60" s="111">
        <f t="shared" si="41"/>
        <v>0</v>
      </c>
      <c r="E60" s="111">
        <f t="shared" si="41"/>
        <v>0</v>
      </c>
      <c r="F60" s="111">
        <f t="shared" si="41"/>
        <v>0.46175484574453618</v>
      </c>
      <c r="G60" s="111">
        <f t="shared" si="41"/>
        <v>-7.3347231396597241</v>
      </c>
      <c r="H60" s="111">
        <f t="shared" si="41"/>
        <v>-21.915889765661472</v>
      </c>
      <c r="I60" s="111">
        <f t="shared" si="41"/>
        <v>-34.204992683995201</v>
      </c>
      <c r="J60" s="111">
        <f t="shared" si="41"/>
        <v>-45.394257883213903</v>
      </c>
      <c r="K60" s="111">
        <f t="shared" si="41"/>
        <v>-55.14791043278678</v>
      </c>
      <c r="L60" s="111">
        <f>L53*L$55+15.68</f>
        <v>-34.540704240755382</v>
      </c>
      <c r="M60" s="111">
        <f t="shared" ref="M60:W60" si="48">M53*M$55</f>
        <v>-58.439784330174611</v>
      </c>
      <c r="N60" s="111">
        <f t="shared" si="48"/>
        <v>-57.269802910210991</v>
      </c>
      <c r="O60" s="111">
        <f>O53*O$55</f>
        <v>-63.899654731351333</v>
      </c>
      <c r="P60" s="111">
        <f t="shared" si="48"/>
        <v>-89.642336307352139</v>
      </c>
      <c r="Q60" s="111">
        <f t="shared" si="48"/>
        <v>-57.841673830138802</v>
      </c>
      <c r="R60" s="111">
        <f t="shared" si="48"/>
        <v>-9.0193272002107872</v>
      </c>
      <c r="S60" s="111">
        <f t="shared" si="48"/>
        <v>-6.5372901662341736</v>
      </c>
      <c r="T60" s="111">
        <f t="shared" si="48"/>
        <v>-7.4421880118810222</v>
      </c>
      <c r="U60" s="111">
        <f t="shared" si="48"/>
        <v>-3.3406154078790724</v>
      </c>
      <c r="V60" s="111">
        <f t="shared" si="48"/>
        <v>-2.8996492727524963</v>
      </c>
      <c r="W60" s="111">
        <f t="shared" si="48"/>
        <v>-6.6582263132285426</v>
      </c>
      <c r="X60" s="107">
        <f t="shared" si="45"/>
        <v>-19.556439807822294</v>
      </c>
      <c r="Y60" s="111">
        <f t="shared" si="43"/>
        <v>-10.035013815579401</v>
      </c>
      <c r="Z60" s="112">
        <f t="shared" si="43"/>
        <v>-11.146550104458457</v>
      </c>
    </row>
    <row r="61" spans="1:31" ht="16.5" thickTop="1" thickBot="1" x14ac:dyDescent="0.3">
      <c r="A61" s="123" t="s">
        <v>71</v>
      </c>
      <c r="B61" s="124">
        <f>SUM(B56:B60)+SUM(B49:B53)-B64</f>
        <v>0</v>
      </c>
      <c r="C61" s="125">
        <f>SUM(C56:C60)+SUM(C49:C53)-C64</f>
        <v>0</v>
      </c>
      <c r="D61" s="125">
        <f t="shared" ref="D61:J61" si="49">SUM(D56:D60)+SUM(D49:D53)-D64</f>
        <v>0</v>
      </c>
      <c r="E61" s="125">
        <f t="shared" si="49"/>
        <v>0</v>
      </c>
      <c r="F61" s="125">
        <f>SUM(F56:F60)+SUM(F49:F53)-F64</f>
        <v>0</v>
      </c>
      <c r="G61" s="128">
        <f>SUM(G56:G60)+SUM(G49:G53)-G64</f>
        <v>0</v>
      </c>
      <c r="H61" s="125">
        <f t="shared" si="49"/>
        <v>0</v>
      </c>
      <c r="I61" s="125">
        <f t="shared" si="49"/>
        <v>0</v>
      </c>
      <c r="J61" s="125">
        <f t="shared" si="49"/>
        <v>0</v>
      </c>
      <c r="K61" s="125">
        <f>SUM(K56:K60)+SUM(K49:K53)-K64</f>
        <v>0</v>
      </c>
      <c r="L61" s="125">
        <f t="shared" ref="L61:W61" si="50">SUM(L56:L60)+SUM(L49:L53)-L64</f>
        <v>0</v>
      </c>
      <c r="M61" s="125">
        <f t="shared" si="50"/>
        <v>0</v>
      </c>
      <c r="N61" s="125">
        <f t="shared" si="50"/>
        <v>0</v>
      </c>
      <c r="O61" s="125">
        <f>SUM(O56:O60)+SUM(O49:O53)-O64</f>
        <v>0</v>
      </c>
      <c r="P61" s="125">
        <f t="shared" si="50"/>
        <v>0</v>
      </c>
      <c r="Q61" s="125">
        <f t="shared" si="50"/>
        <v>0</v>
      </c>
      <c r="R61" s="125">
        <f t="shared" si="50"/>
        <v>0</v>
      </c>
      <c r="S61" s="125">
        <f t="shared" si="50"/>
        <v>3.4924596548080444E-10</v>
      </c>
      <c r="T61" s="125">
        <f t="shared" si="50"/>
        <v>0</v>
      </c>
      <c r="U61" s="125">
        <f t="shared" si="50"/>
        <v>0</v>
      </c>
      <c r="V61" s="125">
        <f t="shared" si="50"/>
        <v>0</v>
      </c>
      <c r="W61" s="125">
        <f t="shared" si="50"/>
        <v>0</v>
      </c>
      <c r="X61" s="124">
        <f>SUM(X56:X60)+SUM(X49:X53)-X64</f>
        <v>-835.42000000039116</v>
      </c>
      <c r="Y61" s="125">
        <f>SUM(Y56:Y60)+SUM(Y49:Y53)-Y64</f>
        <v>-835.41999999945983</v>
      </c>
      <c r="Z61" s="126">
        <f>SUM(Z56:Z60)+SUM(Z49:Z53)-Z64</f>
        <v>-835.41999999899417</v>
      </c>
    </row>
    <row r="62" spans="1:31" ht="16.5" thickTop="1" thickBot="1" x14ac:dyDescent="0.3">
      <c r="A62" s="123" t="s">
        <v>72</v>
      </c>
      <c r="B62" s="127">
        <f>SUM(B56:B60)-B39</f>
        <v>0</v>
      </c>
      <c r="C62" s="128">
        <f t="shared" ref="C62:I62" si="51">SUM(C56:C60)-C39</f>
        <v>0</v>
      </c>
      <c r="D62" s="128">
        <f>SUM(D56:D60)-D39</f>
        <v>0</v>
      </c>
      <c r="E62" s="128">
        <f>SUM(E56:E60)-E39</f>
        <v>-1.3397875233014389E-3</v>
      </c>
      <c r="F62" s="128">
        <f>SUM(F56:F60)-F39</f>
        <v>4.9816933666440022E-3</v>
      </c>
      <c r="G62" s="128">
        <f>SUM(G56:G60)-G39</f>
        <v>-4.3663429289608757E-3</v>
      </c>
      <c r="H62" s="128">
        <f t="shared" si="51"/>
        <v>2.326043420566748E-3</v>
      </c>
      <c r="I62" s="128">
        <f t="shared" si="51"/>
        <v>-3.6442966858203363E-3</v>
      </c>
      <c r="J62" s="128">
        <f>SUM(J56:J60)-J39</f>
        <v>-2.0209283979966131E-4</v>
      </c>
      <c r="K62" s="128">
        <f t="shared" ref="K62:W62" si="52">SUM(K56:K60)-K39</f>
        <v>-9.3479570296040038E-5</v>
      </c>
      <c r="L62" s="128">
        <f t="shared" si="52"/>
        <v>-4.7695627531538776E-3</v>
      </c>
      <c r="M62" s="128">
        <f t="shared" si="52"/>
        <v>3.1542252929739334E-3</v>
      </c>
      <c r="N62" s="128">
        <f>SUM(N56:N60)-N39</f>
        <v>3.7593334006942314E-3</v>
      </c>
      <c r="O62" s="128">
        <f>SUM(O56:O60)-O39</f>
        <v>295.41566432290153</v>
      </c>
      <c r="P62" s="128">
        <f t="shared" si="52"/>
        <v>285.7632482251845</v>
      </c>
      <c r="Q62" s="128">
        <f t="shared" si="52"/>
        <v>117.48215046873884</v>
      </c>
      <c r="R62" s="128">
        <f t="shared" si="52"/>
        <v>14.73775875875431</v>
      </c>
      <c r="S62" s="128">
        <f t="shared" si="52"/>
        <v>17.999002069829316</v>
      </c>
      <c r="T62" s="128">
        <f t="shared" si="52"/>
        <v>35.104020393413194</v>
      </c>
      <c r="U62" s="128">
        <f t="shared" si="52"/>
        <v>23.886439935556183</v>
      </c>
      <c r="V62" s="128">
        <f t="shared" si="52"/>
        <v>20.31931689589095</v>
      </c>
      <c r="W62" s="128">
        <f t="shared" si="52"/>
        <v>24.714213775114331</v>
      </c>
      <c r="X62" s="124">
        <f>SUM(X56:X60)-X39</f>
        <v>-835.27748517476198</v>
      </c>
      <c r="Y62" s="125">
        <f>SUM(Y56:Y60)-Y39</f>
        <v>-0.14532449766147693</v>
      </c>
      <c r="Z62" s="126">
        <f>SUM(Z56:Z60)-Z39</f>
        <v>-0.14515922456962471</v>
      </c>
    </row>
    <row r="63" spans="1:31" ht="15.75" thickTop="1" x14ac:dyDescent="0.25">
      <c r="B63" s="95"/>
      <c r="C63" s="96"/>
      <c r="D63" s="96"/>
      <c r="E63" s="96"/>
      <c r="F63" s="96"/>
      <c r="G63" s="98"/>
      <c r="H63" s="96"/>
      <c r="I63" s="96"/>
      <c r="J63" s="96"/>
      <c r="K63" s="96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95"/>
      <c r="Y63" s="199"/>
      <c r="Z63" s="335"/>
      <c r="AA63" s="47"/>
      <c r="AB63" s="47"/>
      <c r="AC63" s="47"/>
      <c r="AD63" s="47"/>
      <c r="AE63" s="47"/>
    </row>
    <row r="64" spans="1:31" x14ac:dyDescent="0.25">
      <c r="A64" s="162" t="s">
        <v>73</v>
      </c>
      <c r="B64" s="107">
        <f>(B15-SUM(B22:B26))+SUM(B56:B60)</f>
        <v>0</v>
      </c>
      <c r="C64" s="111">
        <f t="shared" ref="C64:Z64" si="53">(SUM(C15:C19)-SUM(C22:C26))+SUM(C56:C60)+B64</f>
        <v>0</v>
      </c>
      <c r="D64" s="111">
        <f t="shared" si="53"/>
        <v>0.71203150918887492</v>
      </c>
      <c r="E64" s="111">
        <f>(SUM(E15:E19)-SUM(E22:E26))+SUM(E56:E60)+D64</f>
        <v>4706.551460582401</v>
      </c>
      <c r="F64" s="111">
        <f t="shared" si="53"/>
        <v>2261.7265642031507</v>
      </c>
      <c r="G64" s="111">
        <f>(SUM(G15:G19)-SUM(G22:G26))+SUM(G56:G60)+F64</f>
        <v>-264248.01423967956</v>
      </c>
      <c r="H64" s="111">
        <f t="shared" si="53"/>
        <v>-396272.77733502828</v>
      </c>
      <c r="I64" s="111">
        <f t="shared" si="53"/>
        <v>-441092.55341293442</v>
      </c>
      <c r="J64" s="111">
        <f t="shared" si="53"/>
        <v>-564635.90723227884</v>
      </c>
      <c r="K64" s="111">
        <f t="shared" si="53"/>
        <v>-870502.97660443862</v>
      </c>
      <c r="L64" s="111">
        <f t="shared" ref="L64" si="54">(SUM(L15:L19)-SUM(L22:L26))+SUM(L56:L60)+K64</f>
        <v>-937194.72845501162</v>
      </c>
      <c r="M64" s="111">
        <f t="shared" ref="M64" si="55">(SUM(M15:M19)-SUM(M22:M26))+SUM(M56:M60)+L64</f>
        <v>-906129.08967726061</v>
      </c>
      <c r="N64" s="111">
        <f>(SUM(N15:N19)-SUM(N22:N26))+SUM(N56:N60)+M64</f>
        <v>-740016.41276452632</v>
      </c>
      <c r="O64" s="111">
        <f>(SUM(O15:O19)-SUM(O22:O26))+SUM(O56:O60)+N64</f>
        <v>-525113.91170543432</v>
      </c>
      <c r="P64" s="111">
        <f t="shared" ref="P64" si="56">(SUM(P15:P19)-SUM(P22:P26))+SUM(P56:P60)+O64</f>
        <v>-454631.43295856763</v>
      </c>
      <c r="Q64" s="111">
        <f t="shared" ref="Q64" si="57">(SUM(Q15:Q19)-SUM(Q22:Q26))+SUM(Q56:Q60)+P64</f>
        <v>-662173.15980050794</v>
      </c>
      <c r="R64" s="111">
        <f t="shared" ref="R64" si="58">(SUM(R15:R19)-SUM(R22:R26))+SUM(R56:R60)+Q64</f>
        <v>-702708.23194120231</v>
      </c>
      <c r="S64" s="111">
        <f t="shared" ref="S64" si="59">(SUM(S15:S19)-SUM(S22:S26))+SUM(S56:S60)+R64</f>
        <v>-150847.9702865202</v>
      </c>
      <c r="T64" s="111">
        <f t="shared" ref="T64" si="60">(SUM(T15:T19)-SUM(T22:T26))+SUM(T56:T60)+S64</f>
        <v>654339.09518202848</v>
      </c>
      <c r="U64" s="111">
        <f t="shared" ref="U64" si="61">(SUM(U15:U19)-SUM(U22:U26))+SUM(U56:U60)+T64</f>
        <v>1643000.8234108132</v>
      </c>
      <c r="V64" s="111">
        <f t="shared" ref="V64" si="62">(SUM(V15:V19)-SUM(V22:V26))+SUM(V56:V60)+U64</f>
        <v>2455523.0789652793</v>
      </c>
      <c r="W64" s="111">
        <f>(SUM(W15:W19)-SUM(W22:W26))+SUM(W56:W60)+V64</f>
        <v>2697774.8368644607</v>
      </c>
      <c r="X64" s="107">
        <f>(SUM(X15:X19)-SUM(X22:X26))+SUM(X56:X60)+W64+(SUM(X66:X70))</f>
        <v>3081233.2614662531</v>
      </c>
      <c r="Y64" s="336">
        <f t="shared" si="53"/>
        <v>3606024.2376895328</v>
      </c>
      <c r="Z64" s="337">
        <f t="shared" si="53"/>
        <v>4159137.3994933572</v>
      </c>
      <c r="AA64" s="47"/>
      <c r="AB64" s="47"/>
      <c r="AC64" s="47"/>
      <c r="AD64" s="47"/>
      <c r="AE64" s="47"/>
    </row>
    <row r="65" spans="1:31" x14ac:dyDescent="0.25">
      <c r="A65" s="162" t="s">
        <v>170</v>
      </c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5" t="s">
        <v>179</v>
      </c>
      <c r="Y65" s="199"/>
      <c r="Z65" s="335"/>
      <c r="AA65" s="47"/>
      <c r="AB65" s="47"/>
      <c r="AC65" s="47"/>
      <c r="AD65" s="47"/>
      <c r="AE65" s="47"/>
    </row>
    <row r="66" spans="1:31" x14ac:dyDescent="0.25">
      <c r="A66" s="196" t="s">
        <v>0</v>
      </c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358">
        <v>481.7</v>
      </c>
      <c r="Y66" s="199"/>
      <c r="Z66" s="335"/>
      <c r="AA66" s="47"/>
      <c r="AB66" s="47"/>
      <c r="AC66" s="47"/>
      <c r="AD66" s="47"/>
      <c r="AE66" s="47"/>
    </row>
    <row r="67" spans="1:31" x14ac:dyDescent="0.25">
      <c r="A67" s="196" t="s">
        <v>4</v>
      </c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358">
        <v>78.53</v>
      </c>
      <c r="Y67" s="199"/>
      <c r="Z67" s="335"/>
      <c r="AA67" s="47"/>
      <c r="AB67" s="47"/>
      <c r="AC67" s="47"/>
      <c r="AD67" s="47"/>
      <c r="AE67" s="47"/>
    </row>
    <row r="68" spans="1:31" x14ac:dyDescent="0.25">
      <c r="A68" s="196" t="s">
        <v>5</v>
      </c>
      <c r="B68" s="95"/>
      <c r="C68" s="96"/>
      <c r="D68" s="9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98"/>
      <c r="X68" s="358">
        <v>176.34</v>
      </c>
      <c r="Y68" s="199"/>
      <c r="Z68" s="335"/>
      <c r="AA68" s="47"/>
      <c r="AB68" s="47"/>
      <c r="AC68" s="47"/>
      <c r="AD68" s="47"/>
      <c r="AE68" s="47"/>
    </row>
    <row r="69" spans="1:31" x14ac:dyDescent="0.25">
      <c r="A69" s="196" t="s">
        <v>6</v>
      </c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358">
        <v>87.97</v>
      </c>
      <c r="Y69" s="199"/>
      <c r="Z69" s="335"/>
      <c r="AA69" s="47"/>
      <c r="AB69" s="47"/>
      <c r="AC69" s="47"/>
      <c r="AD69" s="47"/>
      <c r="AE69" s="47"/>
    </row>
    <row r="70" spans="1:31" ht="15.75" thickBot="1" x14ac:dyDescent="0.3">
      <c r="A70" s="196" t="s">
        <v>7</v>
      </c>
      <c r="B70" s="130"/>
      <c r="C70" s="131"/>
      <c r="D70" s="131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359">
        <v>10.88</v>
      </c>
      <c r="Y70" s="338"/>
      <c r="Z70" s="339"/>
      <c r="AA70" s="47"/>
      <c r="AB70" s="47"/>
      <c r="AC70" s="47"/>
      <c r="AD70" s="47"/>
      <c r="AE70" s="47"/>
    </row>
    <row r="71" spans="1:31" x14ac:dyDescent="0.25">
      <c r="B71" s="53"/>
      <c r="C71" s="53"/>
      <c r="D71" s="53"/>
      <c r="E71" s="53"/>
      <c r="F71" s="53"/>
      <c r="G71" s="53"/>
      <c r="H71" s="53"/>
      <c r="Y71" s="47"/>
      <c r="Z71" s="47"/>
      <c r="AA71" s="47"/>
      <c r="AB71" s="47"/>
      <c r="AC71" s="47"/>
      <c r="AD71" s="47"/>
      <c r="AE71" s="47"/>
    </row>
    <row r="72" spans="1:31" x14ac:dyDescent="0.25">
      <c r="Y72" s="47"/>
      <c r="Z72" s="47"/>
      <c r="AA72" s="47"/>
      <c r="AB72" s="47"/>
      <c r="AC72" s="47"/>
      <c r="AD72" s="47"/>
      <c r="AE72" s="47"/>
    </row>
    <row r="73" spans="1:31" x14ac:dyDescent="0.25">
      <c r="Y73" s="47"/>
      <c r="Z73" s="47"/>
      <c r="AA73" s="47"/>
      <c r="AB73" s="47"/>
      <c r="AC73" s="47"/>
      <c r="AD73" s="47"/>
      <c r="AE73" s="47"/>
    </row>
    <row r="75" spans="1:31" x14ac:dyDescent="0.25">
      <c r="C75" s="53"/>
      <c r="D75" s="53"/>
      <c r="E75" s="53"/>
      <c r="F75" s="53"/>
      <c r="G75" s="53"/>
      <c r="H75" s="53"/>
    </row>
  </sheetData>
  <mergeCells count="1">
    <mergeCell ref="X13:Z1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39997558519241921"/>
  </sheetPr>
  <dimension ref="A1:BU75"/>
  <sheetViews>
    <sheetView zoomScaleNormal="100" workbookViewId="0">
      <pane xSplit="1" ySplit="14" topLeftCell="B15" activePane="bottomRight" state="frozen"/>
      <selection activeCell="B5" sqref="B5:B9"/>
      <selection pane="topRight" activeCell="B5" sqref="B5:B9"/>
      <selection pane="bottomLeft" activeCell="B5" sqref="B5:B9"/>
      <selection pane="bottomRight" activeCell="BG20" sqref="BG20"/>
    </sheetView>
  </sheetViews>
  <sheetFormatPr defaultColWidth="9.140625" defaultRowHeight="15" x14ac:dyDescent="0.25"/>
  <cols>
    <col min="1" max="1" width="17.5703125" style="69" customWidth="1"/>
    <col min="2" max="2" width="16" style="69" customWidth="1"/>
    <col min="3" max="3" width="14.5703125" style="69" customWidth="1"/>
    <col min="4" max="4" width="15.140625" style="69" customWidth="1"/>
    <col min="5" max="5" width="16.140625" style="69" customWidth="1"/>
    <col min="6" max="6" width="14.28515625" style="69" bestFit="1" customWidth="1"/>
    <col min="7" max="7" width="16" style="69" customWidth="1"/>
    <col min="8" max="9" width="14.28515625" style="69" bestFit="1" customWidth="1"/>
    <col min="10" max="10" width="15.5703125" style="69" customWidth="1"/>
    <col min="11" max="11" width="14" style="69" customWidth="1"/>
    <col min="12" max="59" width="14" style="162" customWidth="1"/>
    <col min="60" max="62" width="15.5703125" style="69" customWidth="1"/>
    <col min="63" max="63" width="17.28515625" style="69" customWidth="1"/>
    <col min="64" max="16384" width="9.140625" style="69"/>
  </cols>
  <sheetData>
    <row r="1" spans="1:73" x14ac:dyDescent="0.25">
      <c r="A1" s="47" t="s">
        <v>168</v>
      </c>
      <c r="B1" s="47"/>
    </row>
    <row r="2" spans="1:73" x14ac:dyDescent="0.25">
      <c r="B2" s="181" t="s">
        <v>100</v>
      </c>
      <c r="E2" s="162"/>
      <c r="I2" s="2" t="s">
        <v>26</v>
      </c>
      <c r="L2" s="69"/>
      <c r="BH2" s="162"/>
    </row>
    <row r="3" spans="1:73" x14ac:dyDescent="0.25">
      <c r="B3" s="198" t="s">
        <v>114</v>
      </c>
      <c r="C3" s="82" t="s">
        <v>64</v>
      </c>
      <c r="D3" s="82" t="s">
        <v>76</v>
      </c>
      <c r="E3" s="180" t="s">
        <v>91</v>
      </c>
      <c r="F3" s="82" t="s">
        <v>65</v>
      </c>
      <c r="G3" s="82" t="s">
        <v>66</v>
      </c>
      <c r="I3" s="55" t="s">
        <v>90</v>
      </c>
      <c r="J3" s="47"/>
      <c r="K3" s="47"/>
      <c r="L3" s="69"/>
      <c r="BH3" s="162"/>
    </row>
    <row r="4" spans="1:73" x14ac:dyDescent="0.25">
      <c r="A4" s="70" t="s">
        <v>0</v>
      </c>
      <c r="B4" s="23">
        <f>+N66</f>
        <v>7611905</v>
      </c>
      <c r="C4" s="23">
        <f>SUM(B29:BJ29)</f>
        <v>49346780.835701175</v>
      </c>
      <c r="D4" s="23">
        <f>SUM(B15:BJ15)</f>
        <v>38189868.470763572</v>
      </c>
      <c r="E4" s="23">
        <f>B4-C4+D4</f>
        <v>-3545007.3649376035</v>
      </c>
      <c r="F4" s="23">
        <f>SUM(B56:BJ56)</f>
        <v>-42017.651134367101</v>
      </c>
      <c r="G4" s="41">
        <f>E4+F4</f>
        <v>-3587025.0160719706</v>
      </c>
      <c r="I4" s="2" t="s">
        <v>98</v>
      </c>
      <c r="J4" s="47"/>
      <c r="K4" s="47"/>
      <c r="L4" s="69"/>
      <c r="BH4" s="162"/>
    </row>
    <row r="5" spans="1:73" x14ac:dyDescent="0.25">
      <c r="A5" s="70" t="s">
        <v>4</v>
      </c>
      <c r="B5" s="23">
        <f>+N67</f>
        <v>668388</v>
      </c>
      <c r="C5" s="23">
        <f t="shared" ref="C5:C8" si="0">SUM(B30:BJ30)</f>
        <v>14432202.381136952</v>
      </c>
      <c r="D5" s="23">
        <f>SUM(B16:BJ16)</f>
        <v>12609202.012775971</v>
      </c>
      <c r="E5" s="23">
        <f t="shared" ref="E5:E8" si="1">B5-C5+D5</f>
        <v>-1154612.3683609813</v>
      </c>
      <c r="F5" s="23">
        <f>SUM(B57:BJ57)</f>
        <v>-1126.4288523713149</v>
      </c>
      <c r="G5" s="41">
        <f>E5+F5</f>
        <v>-1155738.7972133528</v>
      </c>
      <c r="I5" s="55" t="s">
        <v>99</v>
      </c>
      <c r="J5" s="47"/>
      <c r="K5" s="47"/>
      <c r="L5" s="69"/>
      <c r="BH5" s="162"/>
    </row>
    <row r="6" spans="1:73" x14ac:dyDescent="0.25">
      <c r="A6" s="70" t="s">
        <v>5</v>
      </c>
      <c r="B6" s="23">
        <f>+N68</f>
        <v>905881</v>
      </c>
      <c r="C6" s="23">
        <f t="shared" si="0"/>
        <v>28556206.109794304</v>
      </c>
      <c r="D6" s="23">
        <f>SUM(B17:BJ17)</f>
        <v>25838210.275982391</v>
      </c>
      <c r="E6" s="23">
        <f t="shared" si="1"/>
        <v>-1812114.8338119127</v>
      </c>
      <c r="F6" s="23">
        <f>SUM(B58:BJ58)</f>
        <v>8802.207955173657</v>
      </c>
      <c r="G6" s="41">
        <f>E6+F6</f>
        <v>-1803312.625856739</v>
      </c>
      <c r="I6" s="55" t="s">
        <v>118</v>
      </c>
      <c r="J6" s="47"/>
      <c r="K6" s="47"/>
      <c r="L6" s="69"/>
      <c r="BH6" s="162"/>
    </row>
    <row r="7" spans="1:73" x14ac:dyDescent="0.25">
      <c r="A7" s="70" t="s">
        <v>6</v>
      </c>
      <c r="B7" s="23">
        <f>+N69</f>
        <v>2477462</v>
      </c>
      <c r="C7" s="23">
        <f t="shared" si="0"/>
        <v>13913937.761258496</v>
      </c>
      <c r="D7" s="23">
        <f>SUM(B18:BJ18)</f>
        <v>10851365.534900742</v>
      </c>
      <c r="E7" s="23">
        <f t="shared" si="1"/>
        <v>-585110.22635775432</v>
      </c>
      <c r="F7" s="23">
        <f>SUM(B59:BJ59)</f>
        <v>-934.440709488832</v>
      </c>
      <c r="G7" s="41">
        <f>E7+F7</f>
        <v>-586044.66706724314</v>
      </c>
      <c r="I7" s="55" t="s">
        <v>82</v>
      </c>
      <c r="J7" s="47"/>
      <c r="K7" s="47"/>
      <c r="L7" s="69"/>
      <c r="BH7" s="162"/>
    </row>
    <row r="8" spans="1:73" ht="15.75" thickBot="1" x14ac:dyDescent="0.3">
      <c r="A8" s="70" t="s">
        <v>7</v>
      </c>
      <c r="B8" s="23">
        <f>+N70</f>
        <v>1878286</v>
      </c>
      <c r="C8" s="23">
        <f t="shared" si="0"/>
        <v>4132404.0088902623</v>
      </c>
      <c r="D8" s="23">
        <f>SUM(B19:BJ19)</f>
        <v>2261658.2355773323</v>
      </c>
      <c r="E8" s="23">
        <f t="shared" si="1"/>
        <v>7540.2266870699823</v>
      </c>
      <c r="F8" s="23">
        <f>SUM(B60:BJ60)</f>
        <v>8202.9300843804285</v>
      </c>
      <c r="G8" s="41">
        <f>E8+F8</f>
        <v>15743.156771450411</v>
      </c>
      <c r="I8" s="55" t="s">
        <v>96</v>
      </c>
      <c r="L8" s="69"/>
      <c r="BH8" s="162"/>
    </row>
    <row r="9" spans="1:73" ht="16.5" thickTop="1" thickBot="1" x14ac:dyDescent="0.3">
      <c r="B9" s="84">
        <f>SUM(B4:B8)</f>
        <v>13541922</v>
      </c>
      <c r="C9" s="84">
        <f t="shared" ref="C9:G9" si="2">SUM(C4:C8)</f>
        <v>110381531.09678119</v>
      </c>
      <c r="D9" s="84">
        <f t="shared" si="2"/>
        <v>89750304.530000001</v>
      </c>
      <c r="E9" s="84">
        <f t="shared" si="2"/>
        <v>-7089304.5667811818</v>
      </c>
      <c r="F9" s="84">
        <f t="shared" si="2"/>
        <v>-27073.382656673166</v>
      </c>
      <c r="G9" s="84">
        <f t="shared" si="2"/>
        <v>-7116377.9494378539</v>
      </c>
      <c r="I9" s="55" t="s">
        <v>117</v>
      </c>
      <c r="L9" s="69"/>
      <c r="BH9" s="46"/>
    </row>
    <row r="10" spans="1:73" ht="16.5" thickTop="1" thickBot="1" x14ac:dyDescent="0.3">
      <c r="B10" s="162"/>
      <c r="E10" s="356" t="s">
        <v>25</v>
      </c>
      <c r="F10" s="20">
        <f>F9-SUM(B39:BJ39)</f>
        <v>-1.247248325671535E-2</v>
      </c>
      <c r="G10" s="47"/>
      <c r="J10" s="47"/>
      <c r="K10" s="47"/>
      <c r="L10" s="69"/>
      <c r="BH10" s="162"/>
    </row>
    <row r="11" spans="1:73" ht="15.75" thickTop="1" x14ac:dyDescent="0.25">
      <c r="B11" s="162"/>
      <c r="F11" s="3"/>
      <c r="G11" s="3"/>
      <c r="L11" s="69"/>
      <c r="M11" s="69"/>
      <c r="BH11" s="162"/>
      <c r="BI11" s="162"/>
    </row>
    <row r="12" spans="1:73" ht="15.75" thickBot="1" x14ac:dyDescent="0.3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354"/>
      <c r="BI12" s="354"/>
      <c r="BJ12" s="47"/>
    </row>
    <row r="13" spans="1:73" ht="15.75" thickBot="1" x14ac:dyDescent="0.3">
      <c r="B13" s="85"/>
      <c r="C13" s="86"/>
      <c r="D13" s="87" t="s">
        <v>89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327"/>
      <c r="BH13" s="367" t="s">
        <v>67</v>
      </c>
      <c r="BI13" s="368"/>
      <c r="BJ13" s="369"/>
    </row>
    <row r="14" spans="1:73" x14ac:dyDescent="0.25">
      <c r="A14" s="69" t="s">
        <v>75</v>
      </c>
      <c r="B14" s="88">
        <v>42370</v>
      </c>
      <c r="C14" s="89">
        <f>EDATE(B14,1)</f>
        <v>42401</v>
      </c>
      <c r="D14" s="89">
        <f t="shared" ref="D14:BJ14" si="3">EDATE(C14,1)</f>
        <v>42430</v>
      </c>
      <c r="E14" s="89">
        <f t="shared" si="3"/>
        <v>42461</v>
      </c>
      <c r="F14" s="89">
        <f t="shared" si="3"/>
        <v>42491</v>
      </c>
      <c r="G14" s="89">
        <f t="shared" si="3"/>
        <v>42522</v>
      </c>
      <c r="H14" s="89">
        <f t="shared" si="3"/>
        <v>42552</v>
      </c>
      <c r="I14" s="89">
        <f t="shared" si="3"/>
        <v>42583</v>
      </c>
      <c r="J14" s="89">
        <f t="shared" si="3"/>
        <v>42614</v>
      </c>
      <c r="K14" s="89">
        <f t="shared" si="3"/>
        <v>42644</v>
      </c>
      <c r="L14" s="89">
        <f t="shared" ref="L14" si="4">EDATE(K14,1)</f>
        <v>42675</v>
      </c>
      <c r="M14" s="89">
        <f t="shared" ref="M14" si="5">EDATE(L14,1)</f>
        <v>42705</v>
      </c>
      <c r="N14" s="89">
        <f t="shared" ref="N14" si="6">EDATE(M14,1)</f>
        <v>42736</v>
      </c>
      <c r="O14" s="89">
        <f t="shared" ref="O14" si="7">EDATE(N14,1)</f>
        <v>42767</v>
      </c>
      <c r="P14" s="89">
        <f t="shared" ref="P14" si="8">EDATE(O14,1)</f>
        <v>42795</v>
      </c>
      <c r="Q14" s="89">
        <f t="shared" ref="Q14" si="9">EDATE(P14,1)</f>
        <v>42826</v>
      </c>
      <c r="R14" s="89">
        <f t="shared" ref="R14" si="10">EDATE(Q14,1)</f>
        <v>42856</v>
      </c>
      <c r="S14" s="89">
        <f t="shared" ref="S14" si="11">EDATE(R14,1)</f>
        <v>42887</v>
      </c>
      <c r="T14" s="89">
        <f t="shared" ref="T14" si="12">EDATE(S14,1)</f>
        <v>42917</v>
      </c>
      <c r="U14" s="89">
        <f t="shared" ref="U14" si="13">EDATE(T14,1)</f>
        <v>42948</v>
      </c>
      <c r="V14" s="89">
        <f t="shared" ref="V14" si="14">EDATE(U14,1)</f>
        <v>42979</v>
      </c>
      <c r="W14" s="89">
        <f t="shared" ref="W14" si="15">EDATE(V14,1)</f>
        <v>43009</v>
      </c>
      <c r="X14" s="89">
        <f t="shared" ref="X14" si="16">EDATE(W14,1)</f>
        <v>43040</v>
      </c>
      <c r="Y14" s="89">
        <f t="shared" ref="Y14" si="17">EDATE(X14,1)</f>
        <v>43070</v>
      </c>
      <c r="Z14" s="89">
        <f t="shared" ref="Z14" si="18">EDATE(Y14,1)</f>
        <v>43101</v>
      </c>
      <c r="AA14" s="89">
        <f t="shared" ref="AA14" si="19">EDATE(Z14,1)</f>
        <v>43132</v>
      </c>
      <c r="AB14" s="89">
        <f t="shared" ref="AB14" si="20">EDATE(AA14,1)</f>
        <v>43160</v>
      </c>
      <c r="AC14" s="89">
        <f t="shared" ref="AC14" si="21">EDATE(AB14,1)</f>
        <v>43191</v>
      </c>
      <c r="AD14" s="89">
        <f t="shared" ref="AD14" si="22">EDATE(AC14,1)</f>
        <v>43221</v>
      </c>
      <c r="AE14" s="89">
        <f t="shared" ref="AE14" si="23">EDATE(AD14,1)</f>
        <v>43252</v>
      </c>
      <c r="AF14" s="89">
        <f t="shared" ref="AF14" si="24">EDATE(AE14,1)</f>
        <v>43282</v>
      </c>
      <c r="AG14" s="89">
        <f t="shared" ref="AG14" si="25">EDATE(AF14,1)</f>
        <v>43313</v>
      </c>
      <c r="AH14" s="89">
        <f t="shared" ref="AH14:AI14" si="26">EDATE(AG14,1)</f>
        <v>43344</v>
      </c>
      <c r="AI14" s="89">
        <f t="shared" si="26"/>
        <v>43374</v>
      </c>
      <c r="AJ14" s="89">
        <f t="shared" ref="AJ14" si="27">EDATE(AI14,1)</f>
        <v>43405</v>
      </c>
      <c r="AK14" s="89">
        <f t="shared" ref="AK14" si="28">EDATE(AJ14,1)</f>
        <v>43435</v>
      </c>
      <c r="AL14" s="89">
        <f t="shared" ref="AL14" si="29">EDATE(AK14,1)</f>
        <v>43466</v>
      </c>
      <c r="AM14" s="89">
        <f t="shared" ref="AM14" si="30">EDATE(AL14,1)</f>
        <v>43497</v>
      </c>
      <c r="AN14" s="89">
        <f t="shared" ref="AN14" si="31">EDATE(AM14,1)</f>
        <v>43525</v>
      </c>
      <c r="AO14" s="89">
        <f t="shared" ref="AO14" si="32">EDATE(AN14,1)</f>
        <v>43556</v>
      </c>
      <c r="AP14" s="89">
        <f t="shared" ref="AP14" si="33">EDATE(AO14,1)</f>
        <v>43586</v>
      </c>
      <c r="AQ14" s="89">
        <f t="shared" ref="AQ14" si="34">EDATE(AP14,1)</f>
        <v>43617</v>
      </c>
      <c r="AR14" s="89">
        <f t="shared" ref="AR14" si="35">EDATE(AQ14,1)</f>
        <v>43647</v>
      </c>
      <c r="AS14" s="89">
        <f t="shared" ref="AS14" si="36">EDATE(AR14,1)</f>
        <v>43678</v>
      </c>
      <c r="AT14" s="89">
        <f t="shared" ref="AT14" si="37">EDATE(AS14,1)</f>
        <v>43709</v>
      </c>
      <c r="AU14" s="89">
        <f t="shared" ref="AU14" si="38">EDATE(AT14,1)</f>
        <v>43739</v>
      </c>
      <c r="AV14" s="89">
        <f t="shared" ref="AV14" si="39">EDATE(AU14,1)</f>
        <v>43770</v>
      </c>
      <c r="AW14" s="89">
        <f t="shared" ref="AW14" si="40">EDATE(AV14,1)</f>
        <v>43800</v>
      </c>
      <c r="AX14" s="89">
        <f t="shared" ref="AX14" si="41">EDATE(AW14,1)</f>
        <v>43831</v>
      </c>
      <c r="AY14" s="89">
        <f t="shared" ref="AY14" si="42">EDATE(AX14,1)</f>
        <v>43862</v>
      </c>
      <c r="AZ14" s="89">
        <f t="shared" ref="AZ14" si="43">EDATE(AY14,1)</f>
        <v>43891</v>
      </c>
      <c r="BA14" s="89">
        <f t="shared" ref="BA14" si="44">EDATE(AZ14,1)</f>
        <v>43922</v>
      </c>
      <c r="BB14" s="89">
        <f t="shared" ref="BB14" si="45">EDATE(BA14,1)</f>
        <v>43952</v>
      </c>
      <c r="BC14" s="89">
        <f t="shared" ref="BC14" si="46">EDATE(BB14,1)</f>
        <v>43983</v>
      </c>
      <c r="BD14" s="89">
        <f t="shared" ref="BD14" si="47">EDATE(BC14,1)</f>
        <v>44013</v>
      </c>
      <c r="BE14" s="89">
        <f t="shared" ref="BE14" si="48">EDATE(BD14,1)</f>
        <v>44044</v>
      </c>
      <c r="BF14" s="89">
        <f t="shared" ref="BF14" si="49">EDATE(BE14,1)</f>
        <v>44075</v>
      </c>
      <c r="BG14" s="322">
        <f t="shared" ref="BG14" si="50">EDATE(BF14,1)</f>
        <v>44105</v>
      </c>
      <c r="BH14" s="88">
        <f>EDATE(BG14,1)</f>
        <v>44136</v>
      </c>
      <c r="BI14" s="89">
        <f t="shared" si="3"/>
        <v>44166</v>
      </c>
      <c r="BJ14" s="90">
        <f t="shared" si="3"/>
        <v>44197</v>
      </c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5">
      <c r="A15" s="69" t="s">
        <v>0</v>
      </c>
      <c r="B15" s="91">
        <v>0</v>
      </c>
      <c r="C15" s="92">
        <v>0</v>
      </c>
      <c r="D15" s="92">
        <v>0</v>
      </c>
      <c r="E15" s="92">
        <v>1328.78</v>
      </c>
      <c r="F15" s="92">
        <v>9526.5300000000007</v>
      </c>
      <c r="G15" s="92">
        <v>120352.88</v>
      </c>
      <c r="H15" s="92">
        <v>256080.65000000002</v>
      </c>
      <c r="I15" s="92">
        <v>373393.34435846674</v>
      </c>
      <c r="J15" s="92">
        <v>671736.21363575384</v>
      </c>
      <c r="K15" s="92">
        <v>120839.85</v>
      </c>
      <c r="L15" s="92">
        <v>185093.49881649271</v>
      </c>
      <c r="M15" s="92">
        <v>303285.19452852954</v>
      </c>
      <c r="N15" s="92">
        <v>329743.7910035231</v>
      </c>
      <c r="O15" s="92">
        <v>319589.12614734296</v>
      </c>
      <c r="P15" s="92">
        <v>307416.51622437377</v>
      </c>
      <c r="Q15" s="92">
        <v>202009.99758789604</v>
      </c>
      <c r="R15" s="92">
        <v>201518.00847600689</v>
      </c>
      <c r="S15" s="92">
        <v>884196.51701427973</v>
      </c>
      <c r="T15" s="92">
        <v>1282604.3399999999</v>
      </c>
      <c r="U15" s="92">
        <v>1412760.5841518985</v>
      </c>
      <c r="V15" s="92">
        <v>912043.87330211163</v>
      </c>
      <c r="W15" s="92">
        <v>279976.46619588812</v>
      </c>
      <c r="X15" s="92">
        <v>377438.47759872582</v>
      </c>
      <c r="Y15" s="92">
        <v>565267.94576951256</v>
      </c>
      <c r="Z15" s="92">
        <v>607215.02747681318</v>
      </c>
      <c r="AA15" s="92">
        <v>515316.53827609093</v>
      </c>
      <c r="AB15" s="92">
        <v>473150.50916160172</v>
      </c>
      <c r="AC15" s="92">
        <v>270731.77958850004</v>
      </c>
      <c r="AD15" s="92">
        <v>491596.14834248205</v>
      </c>
      <c r="AE15" s="92">
        <v>2024956.6659391024</v>
      </c>
      <c r="AF15" s="92">
        <v>2753783.435947692</v>
      </c>
      <c r="AG15" s="92">
        <v>2655187.2707727067</v>
      </c>
      <c r="AH15" s="92">
        <v>1585670.784126644</v>
      </c>
      <c r="AI15" s="92">
        <v>556118.7299202627</v>
      </c>
      <c r="AJ15" s="92">
        <v>513458.06050710165</v>
      </c>
      <c r="AK15" s="92">
        <v>702799.89768350183</v>
      </c>
      <c r="AL15" s="92">
        <v>705267.00941836974</v>
      </c>
      <c r="AM15" s="92">
        <v>626813.61963691877</v>
      </c>
      <c r="AN15" s="92">
        <v>733376.44916449382</v>
      </c>
      <c r="AO15" s="92">
        <v>579952.0325992658</v>
      </c>
      <c r="AP15" s="92">
        <v>371011.49182013981</v>
      </c>
      <c r="AQ15" s="92">
        <v>2723256.6958003566</v>
      </c>
      <c r="AR15" s="92">
        <v>3090240.1159956334</v>
      </c>
      <c r="AS15" s="92">
        <v>3319235.3330920129</v>
      </c>
      <c r="AT15" s="92">
        <v>1872423.9163418177</v>
      </c>
      <c r="AU15" s="92">
        <v>468639.40013933519</v>
      </c>
      <c r="AV15" s="92">
        <f>'[2]MEEIA 2 calcs'!AW$27</f>
        <v>573430.06293424976</v>
      </c>
      <c r="AW15" s="92">
        <f>'[2]MEEIA 2 calcs'!AX$27</f>
        <v>729001.68500178226</v>
      </c>
      <c r="AX15" s="92">
        <f>'[2]MEEIA 2 calcs'!AY$27</f>
        <v>731448.99925192562</v>
      </c>
      <c r="AY15" s="92">
        <f>'[2]MEEIA 2 calcs'!AZ$27</f>
        <v>-1101511.7645830091</v>
      </c>
      <c r="AZ15" s="92">
        <f>'[2]MEEIA 2 calcs'!BA$27</f>
        <v>502297.9307248104</v>
      </c>
      <c r="BA15" s="92">
        <f>'[2]MEEIA 2 calcs'!BB$27</f>
        <v>0</v>
      </c>
      <c r="BB15" s="92">
        <f>'[2]MEEIA 2 calcs'!BC$27</f>
        <v>-1201.9391278357582</v>
      </c>
      <c r="BC15" s="92">
        <f>'[2]MEEIA 2 calcs'!BD$27</f>
        <v>0</v>
      </c>
      <c r="BD15" s="92">
        <f>'[2]MEEIA 2 calcs'!BE$27</f>
        <v>0</v>
      </c>
      <c r="BE15" s="92">
        <f>'[2]MEEIA 2 calcs'!BF$27</f>
        <v>0</v>
      </c>
      <c r="BF15" s="92">
        <f>'[2]MEEIA 2 calcs'!BG$27</f>
        <v>0</v>
      </c>
      <c r="BG15" s="92">
        <f>'[2]MEEIA 2 calcs'!BH$27</f>
        <v>0</v>
      </c>
      <c r="BH15" s="299">
        <f>'[2]M2 Allocations - TD'!BH31</f>
        <v>0</v>
      </c>
      <c r="BI15" s="300">
        <f>'[2]M2 Allocations - TD'!BI31</f>
        <v>0</v>
      </c>
      <c r="BJ15" s="301">
        <f>'[2]M2 Allocations - TD'!BJ31</f>
        <v>0</v>
      </c>
      <c r="BK15" s="47"/>
    </row>
    <row r="16" spans="1:73" x14ac:dyDescent="0.25">
      <c r="A16" s="69" t="s">
        <v>4</v>
      </c>
      <c r="B16" s="91">
        <v>0</v>
      </c>
      <c r="C16" s="92">
        <v>0</v>
      </c>
      <c r="D16" s="92">
        <v>0</v>
      </c>
      <c r="E16" s="92">
        <v>0</v>
      </c>
      <c r="F16" s="92">
        <v>0</v>
      </c>
      <c r="G16" s="92">
        <v>4167.9399999999996</v>
      </c>
      <c r="H16" s="92">
        <v>13357.940000000002</v>
      </c>
      <c r="I16" s="92">
        <v>14670.985238775314</v>
      </c>
      <c r="J16" s="92">
        <v>22602.465674921033</v>
      </c>
      <c r="K16" s="92">
        <v>23670.86</v>
      </c>
      <c r="L16" s="92">
        <v>27753.308601536653</v>
      </c>
      <c r="M16" s="92">
        <v>37258.575758638253</v>
      </c>
      <c r="N16" s="92">
        <v>47579.322188278435</v>
      </c>
      <c r="O16" s="92">
        <v>42911.041729266297</v>
      </c>
      <c r="P16" s="92">
        <v>52823.001162257649</v>
      </c>
      <c r="Q16" s="92">
        <v>25950.307634173645</v>
      </c>
      <c r="R16" s="92">
        <v>48983.559131334005</v>
      </c>
      <c r="S16" s="92">
        <v>90621.489340586311</v>
      </c>
      <c r="T16" s="92">
        <v>138931.90000000002</v>
      </c>
      <c r="U16" s="92">
        <v>133700.2685394297</v>
      </c>
      <c r="V16" s="92">
        <v>151757.81340251025</v>
      </c>
      <c r="W16" s="92">
        <v>116837.79257470783</v>
      </c>
      <c r="X16" s="92">
        <v>88133.517269885691</v>
      </c>
      <c r="Y16" s="92">
        <v>126989.00719390194</v>
      </c>
      <c r="Z16" s="92">
        <v>151376.91870679389</v>
      </c>
      <c r="AA16" s="92">
        <v>131012.65264951537</v>
      </c>
      <c r="AB16" s="92">
        <v>161984.73662810036</v>
      </c>
      <c r="AC16" s="92">
        <v>186884.98622710272</v>
      </c>
      <c r="AD16" s="92">
        <v>260709.07600105793</v>
      </c>
      <c r="AE16" s="92">
        <v>394275.90039880731</v>
      </c>
      <c r="AF16" s="92">
        <v>517564.58433629415</v>
      </c>
      <c r="AG16" s="92">
        <v>456642.37398614379</v>
      </c>
      <c r="AH16" s="92">
        <v>495377.09665466635</v>
      </c>
      <c r="AI16" s="92">
        <v>348239.88671273278</v>
      </c>
      <c r="AJ16" s="92">
        <v>315404.35918017995</v>
      </c>
      <c r="AK16" s="92">
        <v>349367.88347835495</v>
      </c>
      <c r="AL16" s="92">
        <v>376670.80776353204</v>
      </c>
      <c r="AM16" s="92">
        <v>315666.15712072933</v>
      </c>
      <c r="AN16" s="92">
        <v>426235.9958025862</v>
      </c>
      <c r="AO16" s="92">
        <v>429805.50677490461</v>
      </c>
      <c r="AP16" s="92">
        <v>425502.70439957909</v>
      </c>
      <c r="AQ16" s="92">
        <v>711026.13316380861</v>
      </c>
      <c r="AR16" s="92">
        <v>906630.75933951</v>
      </c>
      <c r="AS16" s="92">
        <v>735303.71734464087</v>
      </c>
      <c r="AT16" s="92">
        <v>765682.15647802898</v>
      </c>
      <c r="AU16" s="92">
        <v>522721.08210263157</v>
      </c>
      <c r="AV16" s="92">
        <f>'[2]MEEIA 2 calcs'!AW$37</f>
        <v>445892.99890309712</v>
      </c>
      <c r="AW16" s="92">
        <f>'[2]MEEIA 2 calcs'!AX$37</f>
        <v>380966.65670412086</v>
      </c>
      <c r="AX16" s="92">
        <f>'[2]MEEIA 2 calcs'!AY$37</f>
        <v>451558.90985025105</v>
      </c>
      <c r="AY16" s="92">
        <f>'[2]MEEIA 2 calcs'!AZ$37</f>
        <v>349160.22599545511</v>
      </c>
      <c r="AZ16" s="92">
        <f>'[2]MEEIA 2 calcs'!BA$37</f>
        <v>388715.00802980497</v>
      </c>
      <c r="BA16" s="92">
        <f>'[2]MEEIA 2 calcs'!BB$37</f>
        <v>0</v>
      </c>
      <c r="BB16" s="92">
        <f>'[2]MEEIA 2 calcs'!BC$37</f>
        <v>-280.76739666505853</v>
      </c>
      <c r="BC16" s="92">
        <f>'[2]MEEIA 2 calcs'!BD$37</f>
        <v>0</v>
      </c>
      <c r="BD16" s="92">
        <f>'[2]MEEIA 2 calcs'!BE$37</f>
        <v>0</v>
      </c>
      <c r="BE16" s="92">
        <f>'[2]MEEIA 2 calcs'!BF$37</f>
        <v>0</v>
      </c>
      <c r="BF16" s="92">
        <f>'[2]MEEIA 2 calcs'!BG$37</f>
        <v>0</v>
      </c>
      <c r="BG16" s="92">
        <f>'[2]MEEIA 2 calcs'!BH$37</f>
        <v>0</v>
      </c>
      <c r="BH16" s="299">
        <f>'[2]M2 Allocations - TD'!BH32</f>
        <v>0</v>
      </c>
      <c r="BI16" s="300">
        <f>'[2]M2 Allocations - TD'!BI32</f>
        <v>136.91999999999825</v>
      </c>
      <c r="BJ16" s="301">
        <f>'[2]M2 Allocations - TD'!BJ32</f>
        <v>265.4900000000016</v>
      </c>
      <c r="BK16" s="47"/>
    </row>
    <row r="17" spans="1:64" x14ac:dyDescent="0.25">
      <c r="A17" s="69" t="s">
        <v>5</v>
      </c>
      <c r="B17" s="91">
        <v>0</v>
      </c>
      <c r="C17" s="92">
        <v>0</v>
      </c>
      <c r="D17" s="92">
        <v>0</v>
      </c>
      <c r="E17" s="92">
        <v>0</v>
      </c>
      <c r="F17" s="92">
        <v>0</v>
      </c>
      <c r="G17" s="92">
        <v>6853.38</v>
      </c>
      <c r="H17" s="92">
        <v>24493.5</v>
      </c>
      <c r="I17" s="92">
        <v>33902.946879751129</v>
      </c>
      <c r="J17" s="92">
        <v>57130.941306139037</v>
      </c>
      <c r="K17" s="92">
        <v>48568.43</v>
      </c>
      <c r="L17" s="92">
        <v>56402.832716238408</v>
      </c>
      <c r="M17" s="92">
        <v>76416.403445979842</v>
      </c>
      <c r="N17" s="92">
        <v>98464.472713338357</v>
      </c>
      <c r="O17" s="92">
        <v>92820.247439449406</v>
      </c>
      <c r="P17" s="92">
        <v>115878.51859125202</v>
      </c>
      <c r="Q17" s="92">
        <v>64178.344243350926</v>
      </c>
      <c r="R17" s="92">
        <v>102867.21859456625</v>
      </c>
      <c r="S17" s="92">
        <v>225026.10782354834</v>
      </c>
      <c r="T17" s="92">
        <v>332206.05000000005</v>
      </c>
      <c r="U17" s="92">
        <v>326565.43828407576</v>
      </c>
      <c r="V17" s="92">
        <v>357152.1332604558</v>
      </c>
      <c r="W17" s="92">
        <v>233165.34998028661</v>
      </c>
      <c r="X17" s="92">
        <v>242735.19909115109</v>
      </c>
      <c r="Y17" s="92">
        <v>270260.8911173091</v>
      </c>
      <c r="Z17" s="92">
        <v>318931.98735694966</v>
      </c>
      <c r="AA17" s="92">
        <v>278425.9450890508</v>
      </c>
      <c r="AB17" s="92">
        <v>325174.04680208978</v>
      </c>
      <c r="AC17" s="92">
        <v>343158.29248776339</v>
      </c>
      <c r="AD17" s="92">
        <v>457118.03014316031</v>
      </c>
      <c r="AE17" s="92">
        <v>886825.58305134752</v>
      </c>
      <c r="AF17" s="92">
        <v>1197518.2821251666</v>
      </c>
      <c r="AG17" s="92">
        <v>1030275.3853313371</v>
      </c>
      <c r="AH17" s="92">
        <v>1033786.813176945</v>
      </c>
      <c r="AI17" s="92">
        <v>565137.42472021224</v>
      </c>
      <c r="AJ17" s="92">
        <v>515386.54786655982</v>
      </c>
      <c r="AK17" s="92">
        <v>600621.60749234632</v>
      </c>
      <c r="AL17" s="92">
        <v>677840.83886779845</v>
      </c>
      <c r="AM17" s="92">
        <v>590569.34077565547</v>
      </c>
      <c r="AN17" s="92">
        <v>785533.21729427099</v>
      </c>
      <c r="AO17" s="92">
        <v>759722.89069128735</v>
      </c>
      <c r="AP17" s="92">
        <v>730573.86433008127</v>
      </c>
      <c r="AQ17" s="92">
        <v>1701261.2984572235</v>
      </c>
      <c r="AR17" s="92">
        <v>2138329.3142225798</v>
      </c>
      <c r="AS17" s="92">
        <v>1807748.5219926799</v>
      </c>
      <c r="AT17" s="92">
        <v>1650674.4488178033</v>
      </c>
      <c r="AU17" s="92">
        <v>846164.39074269368</v>
      </c>
      <c r="AV17" s="92">
        <f>'[2]MEEIA 2 calcs'!AW$47</f>
        <v>722912.52035272913</v>
      </c>
      <c r="AW17" s="92">
        <f>'[2]MEEIA 2 calcs'!AX$47</f>
        <v>787449.04813982907</v>
      </c>
      <c r="AX17" s="92">
        <f>'[2]MEEIA 2 calcs'!AY$47</f>
        <v>821876.98404895363</v>
      </c>
      <c r="AY17" s="92">
        <f>'[2]MEEIA 2 calcs'!AZ$47</f>
        <v>663143.00246334542</v>
      </c>
      <c r="AZ17" s="92">
        <f>'[2]MEEIA 2 calcs'!BA$47</f>
        <v>717865.1381538827</v>
      </c>
      <c r="BA17" s="92">
        <f>'[2]MEEIA 2 calcs'!BB$47</f>
        <v>2286.3100000023842</v>
      </c>
      <c r="BB17" s="92">
        <f>'[2]MEEIA 2 calcs'!BC$47</f>
        <v>1973.3555017490889</v>
      </c>
      <c r="BC17" s="92">
        <f>'[2]MEEIA 2 calcs'!BD$47</f>
        <v>12223.310000002384</v>
      </c>
      <c r="BD17" s="92">
        <f>'[2]MEEIA 2 calcs'!BE$47</f>
        <v>22853.179999999702</v>
      </c>
      <c r="BE17" s="92">
        <f>'[2]MEEIA 2 calcs'!BF$47</f>
        <v>20540.269999999553</v>
      </c>
      <c r="BF17" s="92">
        <f>'[2]MEEIA 2 calcs'!BG$47</f>
        <v>15022.210000000894</v>
      </c>
      <c r="BG17" s="92">
        <f>'[2]MEEIA 2 calcs'!BH$47</f>
        <v>6711.089999999851</v>
      </c>
      <c r="BH17" s="299">
        <f>'[2]M2 Allocations - TD'!BH33</f>
        <v>6702.8400000000256</v>
      </c>
      <c r="BI17" s="300">
        <f>'[2]M2 Allocations - TD'!BI33</f>
        <v>12919.080000000016</v>
      </c>
      <c r="BJ17" s="301">
        <f>'[2]M2 Allocations - TD'!BJ33</f>
        <v>17865.460000000021</v>
      </c>
      <c r="BK17" s="47"/>
    </row>
    <row r="18" spans="1:64" x14ac:dyDescent="0.25">
      <c r="A18" s="69" t="s">
        <v>6</v>
      </c>
      <c r="B18" s="91">
        <v>0</v>
      </c>
      <c r="C18" s="92">
        <v>0</v>
      </c>
      <c r="D18" s="92">
        <v>0</v>
      </c>
      <c r="E18" s="92">
        <v>0</v>
      </c>
      <c r="F18" s="92">
        <v>0</v>
      </c>
      <c r="G18" s="92">
        <v>526.23</v>
      </c>
      <c r="H18" s="92">
        <v>1707.2399999999998</v>
      </c>
      <c r="I18" s="92">
        <v>2230.0207254609436</v>
      </c>
      <c r="J18" s="92">
        <v>4794.6581417484167</v>
      </c>
      <c r="K18" s="92">
        <v>4373.8599999999997</v>
      </c>
      <c r="L18" s="92">
        <v>7453.242982336099</v>
      </c>
      <c r="M18" s="92">
        <v>18084.577784318448</v>
      </c>
      <c r="N18" s="92">
        <v>27963.810761260709</v>
      </c>
      <c r="O18" s="92">
        <v>24456.059952649921</v>
      </c>
      <c r="P18" s="92">
        <v>29615.310672687767</v>
      </c>
      <c r="Q18" s="92">
        <v>12166.436689655247</v>
      </c>
      <c r="R18" s="92">
        <v>28108.084360485296</v>
      </c>
      <c r="S18" s="92">
        <v>128148.15141495112</v>
      </c>
      <c r="T18" s="92">
        <v>175689.74</v>
      </c>
      <c r="U18" s="92">
        <v>218402.52810095585</v>
      </c>
      <c r="V18" s="92">
        <v>205067.89849978662</v>
      </c>
      <c r="W18" s="92">
        <v>101187.08297273742</v>
      </c>
      <c r="X18" s="92">
        <v>97773.438006020719</v>
      </c>
      <c r="Y18" s="92">
        <v>113746.10309897989</v>
      </c>
      <c r="Z18" s="92">
        <v>131796.02801249109</v>
      </c>
      <c r="AA18" s="92">
        <v>116090.38160247794</v>
      </c>
      <c r="AB18" s="92">
        <v>132068.16497570253</v>
      </c>
      <c r="AC18" s="92">
        <v>133321.08677453059</v>
      </c>
      <c r="AD18" s="92">
        <v>180104.81791441111</v>
      </c>
      <c r="AE18" s="92">
        <v>422991.61425343697</v>
      </c>
      <c r="AF18" s="92">
        <v>543609.86073367961</v>
      </c>
      <c r="AG18" s="92">
        <v>486263.01132460969</v>
      </c>
      <c r="AH18" s="92">
        <v>414107.44556621916</v>
      </c>
      <c r="AI18" s="92">
        <v>207208.35422995902</v>
      </c>
      <c r="AJ18" s="92">
        <v>191307.18426831797</v>
      </c>
      <c r="AK18" s="92">
        <v>223825.29632810416</v>
      </c>
      <c r="AL18" s="92">
        <v>251714.86075436554</v>
      </c>
      <c r="AM18" s="92">
        <v>220841.99668727524</v>
      </c>
      <c r="AN18" s="92">
        <v>305651.11265488941</v>
      </c>
      <c r="AO18" s="92">
        <v>284274.24631552736</v>
      </c>
      <c r="AP18" s="92">
        <v>294781.80288519792</v>
      </c>
      <c r="AQ18" s="92">
        <v>791914.33120203775</v>
      </c>
      <c r="AR18" s="92">
        <v>978344.05317777325</v>
      </c>
      <c r="AS18" s="92">
        <v>874777.66117086785</v>
      </c>
      <c r="AT18" s="92">
        <v>686805.48036969628</v>
      </c>
      <c r="AU18" s="92">
        <v>321802.45107933023</v>
      </c>
      <c r="AV18" s="92">
        <f>'[2]MEEIA 2 calcs'!AW$57</f>
        <v>280028.89151037188</v>
      </c>
      <c r="AW18" s="92">
        <f>'[2]MEEIA 2 calcs'!AX$57</f>
        <v>274144.21732121875</v>
      </c>
      <c r="AX18" s="92">
        <f>'[2]MEEIA 2 calcs'!AY$57</f>
        <v>303711.11912158254</v>
      </c>
      <c r="AY18" s="92">
        <f>'[2]MEEIA 2 calcs'!AZ$57</f>
        <v>251998.46611210689</v>
      </c>
      <c r="AZ18" s="92">
        <f>'[2]MEEIA 2 calcs'!BA$57</f>
        <v>276069.3565741299</v>
      </c>
      <c r="BA18" s="92">
        <f>'[2]MEEIA 2 calcs'!BB$57</f>
        <v>0</v>
      </c>
      <c r="BB18" s="92">
        <f>'[2]MEEIA 2 calcs'!BC$57</f>
        <v>-315.01218360235936</v>
      </c>
      <c r="BC18" s="92">
        <f>'[2]MEEIA 2 calcs'!BD$57</f>
        <v>0</v>
      </c>
      <c r="BD18" s="92">
        <f>'[2]MEEIA 2 calcs'!BE$57</f>
        <v>0</v>
      </c>
      <c r="BE18" s="92">
        <f>'[2]MEEIA 2 calcs'!BF$57</f>
        <v>16813.580000000075</v>
      </c>
      <c r="BF18" s="92">
        <f>'[2]MEEIA 2 calcs'!BG$57</f>
        <v>19387.400000000373</v>
      </c>
      <c r="BG18" s="92">
        <f>'[2]MEEIA 2 calcs'!BH$57</f>
        <v>6785.070000000298</v>
      </c>
      <c r="BH18" s="299">
        <f>'[2]M2 Allocations - TD'!BH34</f>
        <v>6167.2299999999959</v>
      </c>
      <c r="BI18" s="300">
        <f>'[2]M2 Allocations - TD'!BI34</f>
        <v>9396.0099999999948</v>
      </c>
      <c r="BJ18" s="301">
        <f>'[2]M2 Allocations - TD'!BJ34</f>
        <v>12083.489999999991</v>
      </c>
      <c r="BK18" s="47"/>
    </row>
    <row r="19" spans="1:64" x14ac:dyDescent="0.25">
      <c r="A19" s="69" t="s">
        <v>7</v>
      </c>
      <c r="B19" s="91">
        <v>0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360.22</v>
      </c>
      <c r="I19" s="92">
        <v>1356.5027975457876</v>
      </c>
      <c r="J19" s="92">
        <v>2255.3712414377201</v>
      </c>
      <c r="K19" s="92">
        <v>1897.72</v>
      </c>
      <c r="L19" s="92">
        <v>2405.4668833960245</v>
      </c>
      <c r="M19" s="92">
        <v>3262.8984825339485</v>
      </c>
      <c r="N19" s="92">
        <v>5909.4833335993335</v>
      </c>
      <c r="O19" s="92">
        <v>6425.014731291647</v>
      </c>
      <c r="P19" s="92">
        <v>9106.0133494287093</v>
      </c>
      <c r="Q19" s="92">
        <v>8390.7638449238184</v>
      </c>
      <c r="R19" s="92">
        <v>10997.379437607351</v>
      </c>
      <c r="S19" s="92">
        <v>20856.094406634937</v>
      </c>
      <c r="T19" s="92">
        <v>29338.039999999994</v>
      </c>
      <c r="U19" s="92">
        <v>27923.370923640025</v>
      </c>
      <c r="V19" s="92">
        <v>26983.721535135461</v>
      </c>
      <c r="W19" s="92">
        <v>19471.188276380515</v>
      </c>
      <c r="X19" s="92">
        <v>18971.478034215677</v>
      </c>
      <c r="Y19" s="92">
        <v>20838.032820297231</v>
      </c>
      <c r="Z19" s="92">
        <v>24107.448446951264</v>
      </c>
      <c r="AA19" s="92">
        <v>21893.062382864882</v>
      </c>
      <c r="AB19" s="92">
        <v>24080.232432507251</v>
      </c>
      <c r="AC19" s="92">
        <v>25697.334922102909</v>
      </c>
      <c r="AD19" s="92">
        <v>34703.027598888038</v>
      </c>
      <c r="AE19" s="92">
        <v>75519.476357307751</v>
      </c>
      <c r="AF19" s="92">
        <v>100273.42685716876</v>
      </c>
      <c r="AG19" s="92">
        <v>85499.508585205374</v>
      </c>
      <c r="AH19" s="92">
        <v>69397.820475524379</v>
      </c>
      <c r="AI19" s="92">
        <v>37821.144416831085</v>
      </c>
      <c r="AJ19" s="92">
        <v>35865.098177838852</v>
      </c>
      <c r="AK19" s="92">
        <v>42905.24501769265</v>
      </c>
      <c r="AL19" s="92">
        <v>48941.253195931422</v>
      </c>
      <c r="AM19" s="92">
        <v>45736.205779424003</v>
      </c>
      <c r="AN19" s="92">
        <v>61794.995083764363</v>
      </c>
      <c r="AO19" s="92">
        <v>56159.323619014431</v>
      </c>
      <c r="AP19" s="92">
        <v>66116.096564999927</v>
      </c>
      <c r="AQ19" s="92">
        <v>196336.18137657503</v>
      </c>
      <c r="AR19" s="92">
        <v>261767.5472645007</v>
      </c>
      <c r="AS19" s="92">
        <v>232206.9863998002</v>
      </c>
      <c r="AT19" s="92">
        <v>149701.48799265211</v>
      </c>
      <c r="AU19" s="92">
        <v>63981.67593600769</v>
      </c>
      <c r="AV19" s="92">
        <f>'[2]MEEIA 2 calcs'!AW$67</f>
        <v>56131.256299554763</v>
      </c>
      <c r="AW19" s="92">
        <f>'[2]MEEIA 2 calcs'!AX$67</f>
        <v>57173.072833048078</v>
      </c>
      <c r="AX19" s="92">
        <f>'[2]MEEIA 2 calcs'!AY$67</f>
        <v>61251.937727286851</v>
      </c>
      <c r="AY19" s="92">
        <f>'[2]MEEIA 2 calcs'!AZ$67</f>
        <v>54765.460012100484</v>
      </c>
      <c r="AZ19" s="92">
        <f>'[2]MEEIA 2 calcs'!BA$67</f>
        <v>55225.416517369085</v>
      </c>
      <c r="BA19" s="92">
        <f>'[2]MEEIA 2 calcs'!BB$67</f>
        <v>0</v>
      </c>
      <c r="BB19" s="92">
        <f>'[2]MEEIA 2 calcs'!BC$67</f>
        <v>-142.24679364857641</v>
      </c>
      <c r="BC19" s="92">
        <f>'[2]MEEIA 2 calcs'!BD$67</f>
        <v>0</v>
      </c>
      <c r="BD19" s="92">
        <f>'[2]MEEIA 2 calcs'!BE$67</f>
        <v>0</v>
      </c>
      <c r="BE19" s="92">
        <f>'[2]MEEIA 2 calcs'!BF$67</f>
        <v>0</v>
      </c>
      <c r="BF19" s="92">
        <f>'[2]MEEIA 2 calcs'!BG$67</f>
        <v>0</v>
      </c>
      <c r="BG19" s="92">
        <f>'[2]MEEIA 2 calcs'!BH$67</f>
        <v>0</v>
      </c>
      <c r="BH19" s="299">
        <f>'[2]M2 Allocations - TD'!BH35</f>
        <v>0</v>
      </c>
      <c r="BI19" s="300">
        <f>'[2]M2 Allocations - TD'!BI35</f>
        <v>0</v>
      </c>
      <c r="BJ19" s="301">
        <f>'[2]M2 Allocations - TD'!BJ35</f>
        <v>0</v>
      </c>
      <c r="BK19" s="47"/>
    </row>
    <row r="20" spans="1:64" x14ac:dyDescent="0.25">
      <c r="B20" s="95"/>
      <c r="C20" s="96"/>
      <c r="D20" s="96"/>
      <c r="E20" s="96"/>
      <c r="F20" s="96"/>
      <c r="G20" s="105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7"/>
      <c r="BI20" s="98"/>
      <c r="BJ20" s="99"/>
    </row>
    <row r="21" spans="1:64" x14ac:dyDescent="0.25">
      <c r="A21" s="47" t="s">
        <v>119</v>
      </c>
      <c r="B21" s="200"/>
      <c r="C21" s="96"/>
      <c r="D21" s="100" t="s">
        <v>68</v>
      </c>
      <c r="E21" s="199"/>
      <c r="F21" s="199"/>
      <c r="G21" s="10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7"/>
      <c r="BI21" s="98"/>
      <c r="BJ21" s="99"/>
      <c r="BK21" s="113" t="s">
        <v>107</v>
      </c>
    </row>
    <row r="22" spans="1:64" x14ac:dyDescent="0.25">
      <c r="A22" s="69" t="s">
        <v>0</v>
      </c>
      <c r="B22" s="91">
        <v>0</v>
      </c>
      <c r="C22" s="92">
        <v>0</v>
      </c>
      <c r="D22" s="92">
        <v>0</v>
      </c>
      <c r="E22" s="92">
        <v>0</v>
      </c>
      <c r="F22" s="92">
        <v>12454.76</v>
      </c>
      <c r="G22" s="92">
        <v>191642.45</v>
      </c>
      <c r="H22" s="92">
        <v>257925.06</v>
      </c>
      <c r="I22" s="92">
        <v>258848.42</v>
      </c>
      <c r="J22" s="92">
        <v>234125.18</v>
      </c>
      <c r="K22" s="92">
        <v>166948.49</v>
      </c>
      <c r="L22" s="92">
        <v>136842.14000000001</v>
      </c>
      <c r="M22" s="92">
        <v>210493.55</v>
      </c>
      <c r="N22" s="92">
        <v>406285.42</v>
      </c>
      <c r="O22" s="92">
        <v>1369889.78</v>
      </c>
      <c r="P22" s="92">
        <v>1103029.06</v>
      </c>
      <c r="Q22" s="92">
        <v>964230.74</v>
      </c>
      <c r="R22" s="92">
        <v>918986.9</v>
      </c>
      <c r="S22" s="92">
        <v>1235335.3500000001</v>
      </c>
      <c r="T22" s="92">
        <v>1643710.03</v>
      </c>
      <c r="U22" s="92">
        <v>1663991.32</v>
      </c>
      <c r="V22" s="92">
        <v>1315722.52</v>
      </c>
      <c r="W22" s="92">
        <v>1155142.76</v>
      </c>
      <c r="X22" s="92">
        <v>1008647.72</v>
      </c>
      <c r="Y22" s="92">
        <v>1300717.95</v>
      </c>
      <c r="Z22" s="92">
        <v>1995202.44</v>
      </c>
      <c r="AA22" s="92">
        <v>1361606.16</v>
      </c>
      <c r="AB22" s="92">
        <v>1097480.82</v>
      </c>
      <c r="AC22" s="92">
        <v>1059578.1200000001</v>
      </c>
      <c r="AD22" s="92">
        <v>862980.65</v>
      </c>
      <c r="AE22" s="92">
        <v>1281774.72</v>
      </c>
      <c r="AF22" s="92">
        <v>1502957.34</v>
      </c>
      <c r="AG22" s="92">
        <v>1346919.46</v>
      </c>
      <c r="AH22" s="92">
        <v>1295482.8999999999</v>
      </c>
      <c r="AI22" s="92">
        <v>1002485.52</v>
      </c>
      <c r="AJ22" s="92">
        <v>930228.6</v>
      </c>
      <c r="AK22" s="92">
        <v>1294357.3</v>
      </c>
      <c r="AL22" s="92">
        <v>1435395.83</v>
      </c>
      <c r="AM22" s="92">
        <v>1500360.52</v>
      </c>
      <c r="AN22" s="92">
        <v>1351205.92</v>
      </c>
      <c r="AO22" s="92">
        <v>930965.27</v>
      </c>
      <c r="AP22" s="92">
        <v>791487</v>
      </c>
      <c r="AQ22" s="92">
        <v>1054075.57</v>
      </c>
      <c r="AR22" s="92">
        <v>1341002.6200000001</v>
      </c>
      <c r="AS22" s="92">
        <v>1411567.5</v>
      </c>
      <c r="AT22" s="92">
        <v>1302183.99</v>
      </c>
      <c r="AU22" s="92">
        <v>1070055.19</v>
      </c>
      <c r="AV22" s="317">
        <f>-'[1]TDR.2 (M2)'!AR7</f>
        <v>960017.17000000016</v>
      </c>
      <c r="AW22" s="317">
        <f>-'[1]TDR.2 (M2)'!AS7</f>
        <v>1291710.2399999998</v>
      </c>
      <c r="AX22" s="317">
        <f>-'[1]TDR.2 (M2)'!AT7</f>
        <v>1426440.21</v>
      </c>
      <c r="AY22" s="317">
        <f>-'[1]TDR.2 (M2)'!AU7</f>
        <v>836821.82000000007</v>
      </c>
      <c r="AZ22" s="317">
        <f>-'[1]TDR.2 (M2)'!AV7</f>
        <v>123502.59999999999</v>
      </c>
      <c r="BA22" s="317">
        <f>-'[1]TDR.2 (M2)'!AW7</f>
        <v>92675.74</v>
      </c>
      <c r="BB22" s="317">
        <f>-'[1]TDR.2 (M2)'!AX7</f>
        <v>82719.98000000001</v>
      </c>
      <c r="BC22" s="317">
        <f>-'[1]TDR.2 (M2)'!AY7</f>
        <v>109517.12</v>
      </c>
      <c r="BD22" s="317">
        <f>-'[1]TDR.2 (M2)'!AZ7</f>
        <v>147043.66000000003</v>
      </c>
      <c r="BE22" s="317">
        <f>-'[1]TDR.2 (M2)'!BA7</f>
        <v>137831</v>
      </c>
      <c r="BF22" s="317">
        <f>-'[1]TDR.2 (M2)'!BB7</f>
        <v>124319.87000000002</v>
      </c>
      <c r="BG22" s="317">
        <f>-'[1]TDR.2 (M2)'!BC7</f>
        <v>84008.529999999984</v>
      </c>
      <c r="BH22" s="107">
        <f>+'PCR (M2)'!BH28*'TDR (M2)'!$BK$22+BH36</f>
        <v>88182.340467541668</v>
      </c>
      <c r="BI22" s="111">
        <f>+'PCR (M2)'!BI28*'TDR (M2)'!$BK$22+BI36</f>
        <v>127269.78653983645</v>
      </c>
      <c r="BJ22" s="112">
        <f>+'PCR (M2)'!BJ28*'TDR (M2)'!$BK$22+BJ36</f>
        <v>158419.67759368985</v>
      </c>
      <c r="BK22" s="102">
        <v>1.08E-4</v>
      </c>
      <c r="BL22" s="103"/>
    </row>
    <row r="23" spans="1:64" x14ac:dyDescent="0.25">
      <c r="A23" s="69" t="s">
        <v>4</v>
      </c>
      <c r="B23" s="91">
        <v>0</v>
      </c>
      <c r="C23" s="92">
        <v>0</v>
      </c>
      <c r="D23" s="92">
        <v>0</v>
      </c>
      <c r="E23" s="92">
        <v>0</v>
      </c>
      <c r="F23" s="92">
        <v>856.28</v>
      </c>
      <c r="G23" s="92">
        <v>12419.27</v>
      </c>
      <c r="H23" s="92">
        <v>14760.05</v>
      </c>
      <c r="I23" s="92">
        <v>14736.25</v>
      </c>
      <c r="J23" s="92">
        <v>14174.52</v>
      </c>
      <c r="K23" s="92">
        <v>12053.27</v>
      </c>
      <c r="L23" s="92">
        <v>10707.26</v>
      </c>
      <c r="M23" s="92">
        <v>12431.58</v>
      </c>
      <c r="N23" s="92">
        <v>27338.89</v>
      </c>
      <c r="O23" s="92">
        <v>144726.28</v>
      </c>
      <c r="P23" s="92">
        <v>128485.97</v>
      </c>
      <c r="Q23" s="92">
        <v>121597.62</v>
      </c>
      <c r="R23" s="92">
        <v>120360.92</v>
      </c>
      <c r="S23" s="92">
        <v>143026.74</v>
      </c>
      <c r="T23" s="92">
        <v>165801.25</v>
      </c>
      <c r="U23" s="92">
        <v>167384.09</v>
      </c>
      <c r="V23" s="92">
        <v>149701.24</v>
      </c>
      <c r="W23" s="92">
        <v>141748.14000000001</v>
      </c>
      <c r="X23" s="92">
        <v>126699.78</v>
      </c>
      <c r="Y23" s="92">
        <v>139926.94</v>
      </c>
      <c r="Z23" s="92">
        <v>202221.15</v>
      </c>
      <c r="AA23" s="92">
        <v>343067.75</v>
      </c>
      <c r="AB23" s="92">
        <v>300632.48</v>
      </c>
      <c r="AC23" s="92">
        <v>296300.02</v>
      </c>
      <c r="AD23" s="92">
        <v>268199.42</v>
      </c>
      <c r="AE23" s="92">
        <v>337634.86</v>
      </c>
      <c r="AF23" s="92">
        <v>372521.79</v>
      </c>
      <c r="AG23" s="92">
        <v>348089.17</v>
      </c>
      <c r="AH23" s="92">
        <v>342034.51</v>
      </c>
      <c r="AI23" s="92">
        <v>301373.81</v>
      </c>
      <c r="AJ23" s="92">
        <v>271517.73</v>
      </c>
      <c r="AK23" s="92">
        <v>328156.33</v>
      </c>
      <c r="AL23" s="92">
        <v>377703.97</v>
      </c>
      <c r="AM23" s="92">
        <v>708077.88</v>
      </c>
      <c r="AN23" s="92">
        <v>666764.85</v>
      </c>
      <c r="AO23" s="92">
        <v>540522.54</v>
      </c>
      <c r="AP23" s="92">
        <v>509584.1</v>
      </c>
      <c r="AQ23" s="92">
        <v>594934.36</v>
      </c>
      <c r="AR23" s="92">
        <v>680484</v>
      </c>
      <c r="AS23" s="92">
        <v>699354.09</v>
      </c>
      <c r="AT23" s="92">
        <v>675136.56</v>
      </c>
      <c r="AU23" s="92">
        <v>608437.81999999995</v>
      </c>
      <c r="AV23" s="317">
        <f>-'[1]TDR.2 (M2)'!AR8</f>
        <v>545178.31000000006</v>
      </c>
      <c r="AW23" s="317">
        <f>-'[1]TDR.2 (M2)'!AS8</f>
        <v>640578.34</v>
      </c>
      <c r="AX23" s="317">
        <f>-'[1]TDR.2 (M2)'!AT8</f>
        <v>683111.7200000002</v>
      </c>
      <c r="AY23" s="317">
        <f>-'[1]TDR.2 (M2)'!AU8</f>
        <v>419075.86999999994</v>
      </c>
      <c r="AZ23" s="317">
        <f>-'[1]TDR.2 (M2)'!AV8</f>
        <v>88037.890000000014</v>
      </c>
      <c r="BA23" s="317">
        <f>-'[1]TDR.2 (M2)'!AW8</f>
        <v>65160.170000000013</v>
      </c>
      <c r="BB23" s="317">
        <f>-'[1]TDR.2 (M2)'!AX8</f>
        <v>59309.859999999993</v>
      </c>
      <c r="BC23" s="317">
        <f>-'[1]TDR.2 (M2)'!AY8</f>
        <v>74165.440000000017</v>
      </c>
      <c r="BD23" s="317">
        <f>-'[1]TDR.2 (M2)'!AZ8</f>
        <v>92442.400000000009</v>
      </c>
      <c r="BE23" s="317">
        <f>-'[1]TDR.2 (M2)'!BA8</f>
        <v>90973.54</v>
      </c>
      <c r="BF23" s="317">
        <f>-'[1]TDR.2 (M2)'!BB8</f>
        <v>86398.800000000047</v>
      </c>
      <c r="BG23" s="317">
        <f>-'[1]TDR.2 (M2)'!BC8</f>
        <v>70150.48000000001</v>
      </c>
      <c r="BH23" s="107">
        <f>+'PCR (M2)'!BH29*'TDR (M2)'!$BK$23</f>
        <v>68214.698990370322</v>
      </c>
      <c r="BI23" s="111">
        <f>+'PCR (M2)'!BI29*'TDR (M2)'!$BK$23</f>
        <v>79394.108542361122</v>
      </c>
      <c r="BJ23" s="112">
        <f>+'PCR (M2)'!BJ29*'TDR (M2)'!$BK$23</f>
        <v>95178.24885658003</v>
      </c>
      <c r="BK23" s="102">
        <v>3.21E-4</v>
      </c>
      <c r="BL23" s="103"/>
    </row>
    <row r="24" spans="1:64" x14ac:dyDescent="0.25">
      <c r="A24" s="69" t="s">
        <v>5</v>
      </c>
      <c r="B24" s="91">
        <v>0</v>
      </c>
      <c r="C24" s="92">
        <v>0</v>
      </c>
      <c r="D24" s="92">
        <v>0</v>
      </c>
      <c r="E24" s="92">
        <v>0</v>
      </c>
      <c r="F24" s="92">
        <v>2460.2199999999998</v>
      </c>
      <c r="G24" s="92">
        <v>40611.43</v>
      </c>
      <c r="H24" s="92">
        <v>46133.34</v>
      </c>
      <c r="I24" s="92">
        <v>46227.56</v>
      </c>
      <c r="J24" s="92">
        <v>46423.360000000001</v>
      </c>
      <c r="K24" s="92">
        <v>40852.160000000003</v>
      </c>
      <c r="L24" s="92">
        <v>37249.85</v>
      </c>
      <c r="M24" s="92">
        <v>38727.83</v>
      </c>
      <c r="N24" s="92">
        <v>63808.639999999999</v>
      </c>
      <c r="O24" s="92">
        <v>334912.75</v>
      </c>
      <c r="P24" s="92">
        <v>311859.65000000002</v>
      </c>
      <c r="Q24" s="92">
        <v>306431.03999999998</v>
      </c>
      <c r="R24" s="92">
        <v>315079.21999999997</v>
      </c>
      <c r="S24" s="92">
        <v>357143.49</v>
      </c>
      <c r="T24" s="92">
        <v>388918.74</v>
      </c>
      <c r="U24" s="92">
        <v>396209.91</v>
      </c>
      <c r="V24" s="92">
        <v>373506.75</v>
      </c>
      <c r="W24" s="92">
        <v>358646.38</v>
      </c>
      <c r="X24" s="92">
        <v>321927.84000000003</v>
      </c>
      <c r="Y24" s="92">
        <v>337190.07</v>
      </c>
      <c r="Z24" s="92">
        <v>406112.33</v>
      </c>
      <c r="AA24" s="92">
        <v>569283.56999999995</v>
      </c>
      <c r="AB24" s="92">
        <v>530638.37</v>
      </c>
      <c r="AC24" s="92">
        <v>535419.43000000005</v>
      </c>
      <c r="AD24" s="92">
        <v>530865.09</v>
      </c>
      <c r="AE24" s="92">
        <v>632987.31999999995</v>
      </c>
      <c r="AF24" s="92">
        <v>672168.03</v>
      </c>
      <c r="AG24" s="92">
        <v>636130.80000000005</v>
      </c>
      <c r="AH24" s="92">
        <v>647286.31999999995</v>
      </c>
      <c r="AI24" s="92">
        <v>588134.43000000005</v>
      </c>
      <c r="AJ24" s="92">
        <v>523066.9</v>
      </c>
      <c r="AK24" s="92">
        <v>569652.57999999996</v>
      </c>
      <c r="AL24" s="92">
        <v>622149.86</v>
      </c>
      <c r="AM24" s="92">
        <v>1121084.3899999999</v>
      </c>
      <c r="AN24" s="92">
        <v>1064143.96</v>
      </c>
      <c r="AO24" s="92">
        <v>956310.33</v>
      </c>
      <c r="AP24" s="92">
        <v>988397.62</v>
      </c>
      <c r="AQ24" s="92">
        <v>1099738.51</v>
      </c>
      <c r="AR24" s="92">
        <v>1183208.1399999999</v>
      </c>
      <c r="AS24" s="92">
        <v>1210589.8</v>
      </c>
      <c r="AT24" s="92">
        <v>1222150.02</v>
      </c>
      <c r="AU24" s="92">
        <v>1122226.3600000001</v>
      </c>
      <c r="AV24" s="317">
        <f>-'[1]TDR.2 (M2)'!AR9</f>
        <v>990572.77999999991</v>
      </c>
      <c r="AW24" s="317">
        <f>-'[1]TDR.2 (M2)'!AS9</f>
        <v>1074771.6100000001</v>
      </c>
      <c r="AX24" s="317">
        <f>-'[1]TDR.2 (M2)'!AT9</f>
        <v>1111703.5</v>
      </c>
      <c r="AY24" s="317">
        <f>-'[1]TDR.2 (M2)'!AU9</f>
        <v>772025.25999999966</v>
      </c>
      <c r="AZ24" s="317">
        <f>-'[1]TDR.2 (M2)'!AV9</f>
        <v>319798.53000000003</v>
      </c>
      <c r="BA24" s="317">
        <f>-'[1]TDR.2 (M2)'!AW9</f>
        <v>269033.2</v>
      </c>
      <c r="BB24" s="317">
        <f>-'[1]TDR.2 (M2)'!AX9</f>
        <v>249777.14000000004</v>
      </c>
      <c r="BC24" s="317">
        <f>-'[1]TDR.2 (M2)'!AY9</f>
        <v>297315.92999999988</v>
      </c>
      <c r="BD24" s="317">
        <f>-'[1]TDR.2 (M2)'!AZ9</f>
        <v>347144.50999999989</v>
      </c>
      <c r="BE24" s="317">
        <f>-'[1]TDR.2 (M2)'!BA9</f>
        <v>345440.08999999991</v>
      </c>
      <c r="BF24" s="317">
        <f>-'[1]TDR.2 (M2)'!BB9</f>
        <v>344230.10999999993</v>
      </c>
      <c r="BG24" s="317">
        <f>-'[1]TDR.2 (M2)'!BC9</f>
        <v>293731.97000000003</v>
      </c>
      <c r="BH24" s="107">
        <f>+'PCR (M2)'!BH30*'TDR (M2)'!$BK$24</f>
        <v>281005.82240172842</v>
      </c>
      <c r="BI24" s="111">
        <f>+'PCR (M2)'!BI30*'TDR (M2)'!$BK$24</f>
        <v>296393.94998433103</v>
      </c>
      <c r="BJ24" s="112">
        <f>+'PCR (M2)'!BJ30*'TDR (M2)'!$BK$24</f>
        <v>343805.16179083276</v>
      </c>
      <c r="BK24" s="102">
        <v>5.5599999999999996E-4</v>
      </c>
      <c r="BL24" s="103"/>
    </row>
    <row r="25" spans="1:64" x14ac:dyDescent="0.25">
      <c r="A25" s="69" t="s">
        <v>6</v>
      </c>
      <c r="B25" s="91">
        <v>0</v>
      </c>
      <c r="C25" s="92">
        <v>0</v>
      </c>
      <c r="D25" s="92">
        <v>0</v>
      </c>
      <c r="E25" s="92">
        <v>0</v>
      </c>
      <c r="F25" s="92">
        <v>1621.85</v>
      </c>
      <c r="G25" s="92">
        <v>15413.06</v>
      </c>
      <c r="H25" s="92">
        <v>19333.560000000001</v>
      </c>
      <c r="I25" s="92">
        <v>18858.009999999998</v>
      </c>
      <c r="J25" s="92">
        <v>20468.599999999999</v>
      </c>
      <c r="K25" s="92">
        <v>17365.72</v>
      </c>
      <c r="L25" s="92">
        <v>16669.060000000001</v>
      </c>
      <c r="M25" s="92">
        <v>16712.28</v>
      </c>
      <c r="N25" s="92">
        <v>31958.9</v>
      </c>
      <c r="O25" s="92">
        <v>328456.90999999997</v>
      </c>
      <c r="P25" s="92">
        <v>267175.5</v>
      </c>
      <c r="Q25" s="92">
        <v>287500.39</v>
      </c>
      <c r="R25" s="92">
        <v>291239.59000000003</v>
      </c>
      <c r="S25" s="92">
        <v>334700.84000000003</v>
      </c>
      <c r="T25" s="92">
        <v>327858.78000000003</v>
      </c>
      <c r="U25" s="92">
        <v>345877.98</v>
      </c>
      <c r="V25" s="92">
        <v>332796.82</v>
      </c>
      <c r="W25" s="92">
        <v>325738.77</v>
      </c>
      <c r="X25" s="92">
        <v>293261.37</v>
      </c>
      <c r="Y25" s="92">
        <v>307322.53000000003</v>
      </c>
      <c r="Z25" s="92">
        <v>339565.96</v>
      </c>
      <c r="AA25" s="92">
        <v>307869.25</v>
      </c>
      <c r="AB25" s="92">
        <v>306963.45</v>
      </c>
      <c r="AC25" s="92">
        <v>283370.14</v>
      </c>
      <c r="AD25" s="92">
        <v>326351.34000000003</v>
      </c>
      <c r="AE25" s="92">
        <v>353914.84</v>
      </c>
      <c r="AF25" s="92">
        <v>366503.78</v>
      </c>
      <c r="AG25" s="92">
        <v>360257.72</v>
      </c>
      <c r="AH25" s="92">
        <v>350605.05</v>
      </c>
      <c r="AI25" s="92">
        <v>328773.59000000003</v>
      </c>
      <c r="AJ25" s="92">
        <v>305971.46999999997</v>
      </c>
      <c r="AK25" s="92">
        <v>329009.21000000002</v>
      </c>
      <c r="AL25" s="92">
        <v>301972.13</v>
      </c>
      <c r="AM25" s="92">
        <v>361271.84</v>
      </c>
      <c r="AN25" s="92">
        <v>357649</v>
      </c>
      <c r="AO25" s="92">
        <v>342832.09</v>
      </c>
      <c r="AP25" s="92">
        <v>342002.7</v>
      </c>
      <c r="AQ25" s="92">
        <v>397393.17</v>
      </c>
      <c r="AR25" s="92">
        <v>399370.7</v>
      </c>
      <c r="AS25" s="92">
        <v>419257.53</v>
      </c>
      <c r="AT25" s="92">
        <v>416719</v>
      </c>
      <c r="AU25" s="92">
        <v>386141.21</v>
      </c>
      <c r="AV25" s="317">
        <f>-'[1]TDR.2 (M2)'!AR10</f>
        <v>357086.62000000005</v>
      </c>
      <c r="AW25" s="317">
        <f>-'[1]TDR.2 (M2)'!AS10</f>
        <v>359534.38999999996</v>
      </c>
      <c r="AX25" s="317">
        <f>-'[1]TDR.2 (M2)'!AT10</f>
        <v>369865.83</v>
      </c>
      <c r="AY25" s="317">
        <f>-'[1]TDR.2 (M2)'!AU10</f>
        <v>293791.12000000011</v>
      </c>
      <c r="AZ25" s="317">
        <f>-'[1]TDR.2 (M2)'!AV10</f>
        <v>123483.39000000001</v>
      </c>
      <c r="BA25" s="317">
        <f>-'[1]TDR.2 (M2)'!AW10</f>
        <v>118999.09</v>
      </c>
      <c r="BB25" s="317">
        <f>-'[1]TDR.2 (M2)'!AX10</f>
        <v>112027.34</v>
      </c>
      <c r="BC25" s="317">
        <f>-'[1]TDR.2 (M2)'!AY10</f>
        <v>130470.39999999999</v>
      </c>
      <c r="BD25" s="317">
        <f>-'[1]TDR.2 (M2)'!AZ10</f>
        <v>137323.88</v>
      </c>
      <c r="BE25" s="317">
        <f>-'[1]TDR.2 (M2)'!BA10</f>
        <v>143937.83000000002</v>
      </c>
      <c r="BF25" s="317">
        <f>-'[1]TDR.2 (M2)'!BB10</f>
        <v>143974.57</v>
      </c>
      <c r="BG25" s="317">
        <f>-'[1]TDR.2 (M2)'!BC10</f>
        <v>127974.64999999998</v>
      </c>
      <c r="BH25" s="107">
        <f>+'PCR (M2)'!BH31*'TDR (M2)'!$BK$25</f>
        <v>117848.62465148703</v>
      </c>
      <c r="BI25" s="111">
        <f>+'PCR (M2)'!BI31*'TDR (M2)'!$BK$25</f>
        <v>119155.67789735527</v>
      </c>
      <c r="BJ25" s="112">
        <f>+'PCR (M2)'!BJ31*'TDR (M2)'!$BK$25</f>
        <v>137245.63910174649</v>
      </c>
      <c r="BK25" s="102">
        <v>5.4100000000000003E-4</v>
      </c>
      <c r="BL25" s="103"/>
    </row>
    <row r="26" spans="1:64" x14ac:dyDescent="0.25">
      <c r="A26" s="69" t="s">
        <v>7</v>
      </c>
      <c r="B26" s="91">
        <v>0</v>
      </c>
      <c r="C26" s="92">
        <v>0</v>
      </c>
      <c r="D26" s="92">
        <v>0</v>
      </c>
      <c r="E26" s="92">
        <v>0</v>
      </c>
      <c r="F26" s="92"/>
      <c r="G26" s="92">
        <v>4867.8</v>
      </c>
      <c r="H26" s="92">
        <v>9528.7800000000007</v>
      </c>
      <c r="I26" s="92">
        <v>9622.07</v>
      </c>
      <c r="J26" s="92">
        <v>10571.65</v>
      </c>
      <c r="K26" s="92">
        <v>9276.2800000000007</v>
      </c>
      <c r="L26" s="92">
        <v>8552.14</v>
      </c>
      <c r="M26" s="92">
        <v>8040.28</v>
      </c>
      <c r="N26" s="92">
        <v>7958.8</v>
      </c>
      <c r="O26" s="92">
        <v>202699.47</v>
      </c>
      <c r="P26" s="92">
        <v>167678.56</v>
      </c>
      <c r="Q26" s="92">
        <v>185826.61</v>
      </c>
      <c r="R26" s="92">
        <v>189002.31</v>
      </c>
      <c r="S26" s="92">
        <v>225674.13</v>
      </c>
      <c r="T26" s="92">
        <v>213450.91</v>
      </c>
      <c r="U26" s="92">
        <v>236566.37</v>
      </c>
      <c r="V26" s="92">
        <v>225419.26</v>
      </c>
      <c r="W26" s="92">
        <v>214922.7</v>
      </c>
      <c r="X26" s="92">
        <v>204773.48</v>
      </c>
      <c r="Y26" s="92">
        <v>187770.83</v>
      </c>
      <c r="Z26" s="92">
        <v>190411.74</v>
      </c>
      <c r="AA26" s="92">
        <v>104692.59</v>
      </c>
      <c r="AB26" s="92">
        <v>18094.560000000001</v>
      </c>
      <c r="AC26" s="92">
        <v>17212.91</v>
      </c>
      <c r="AD26" s="92">
        <v>19682.41</v>
      </c>
      <c r="AE26" s="92">
        <v>21781.17</v>
      </c>
      <c r="AF26" s="92">
        <v>13233.54</v>
      </c>
      <c r="AG26" s="92">
        <v>22431.52</v>
      </c>
      <c r="AH26" s="92">
        <v>21067.32</v>
      </c>
      <c r="AI26" s="92">
        <v>20801.22</v>
      </c>
      <c r="AJ26" s="92">
        <v>19547.939999999999</v>
      </c>
      <c r="AK26" s="92">
        <v>19036.14</v>
      </c>
      <c r="AL26" s="92">
        <v>21300.85</v>
      </c>
      <c r="AM26" s="92">
        <v>41051.660000000003</v>
      </c>
      <c r="AN26" s="92">
        <v>64352.88</v>
      </c>
      <c r="AO26" s="92">
        <v>64072.1</v>
      </c>
      <c r="AP26" s="92">
        <v>62519.33</v>
      </c>
      <c r="AQ26" s="92">
        <v>78748.960000000006</v>
      </c>
      <c r="AR26" s="92">
        <v>73304.259999999995</v>
      </c>
      <c r="AS26" s="92">
        <v>81170.33</v>
      </c>
      <c r="AT26" s="92">
        <v>82260.42</v>
      </c>
      <c r="AU26" s="92">
        <v>77599.5</v>
      </c>
      <c r="AV26" s="317">
        <f>-'[1]TDR.2 (M2)'!AR11</f>
        <v>68913.849999999991</v>
      </c>
      <c r="AW26" s="317">
        <f>-'[1]TDR.2 (M2)'!AS11</f>
        <v>64843.479999999981</v>
      </c>
      <c r="AX26" s="317">
        <f>-'[1]TDR.2 (M2)'!AT11</f>
        <v>68622.930000000008</v>
      </c>
      <c r="AY26" s="317">
        <f>-'[1]TDR.2 (M2)'!AU11</f>
        <v>67842.5</v>
      </c>
      <c r="AZ26" s="317">
        <f>-'[1]TDR.2 (M2)'!AV11</f>
        <v>38688.329999999994</v>
      </c>
      <c r="BA26" s="317">
        <f>-'[1]TDR.2 (M2)'!AW11</f>
        <v>44298.869999999988</v>
      </c>
      <c r="BB26" s="317">
        <f>-'[1]TDR.2 (M2)'!AX11</f>
        <v>44976.560000000012</v>
      </c>
      <c r="BC26" s="317">
        <f>-'[1]TDR.2 (M2)'!AY11</f>
        <v>11431.369999999999</v>
      </c>
      <c r="BD26" s="317">
        <f>-'[1]TDR.2 (M2)'!AZ11</f>
        <v>50558.239999999998</v>
      </c>
      <c r="BE26" s="317">
        <f>-'[1]TDR.2 (M2)'!BA11</f>
        <v>52075.91</v>
      </c>
      <c r="BF26" s="317">
        <f>-'[1]TDR.2 (M2)'!BB11</f>
        <v>52816.959999999999</v>
      </c>
      <c r="BG26" s="317">
        <f>-'[1]TDR.2 (M2)'!BC11</f>
        <v>46523.240000000005</v>
      </c>
      <c r="BH26" s="107">
        <f>+'PCR (M2)'!BH32*'TDR (M2)'!$BK$26</f>
        <v>46018.620077067084</v>
      </c>
      <c r="BI26" s="111">
        <f>+'PCR (M2)'!BI32*'TDR (M2)'!$BK$26</f>
        <v>44962.077687221019</v>
      </c>
      <c r="BJ26" s="112">
        <f>+'PCR (M2)'!BJ32*'TDR (M2)'!$BK$26</f>
        <v>48895.492199035834</v>
      </c>
      <c r="BK26" s="102">
        <v>4.8099999999999998E-4</v>
      </c>
      <c r="BL26" s="103"/>
    </row>
    <row r="27" spans="1:64" x14ac:dyDescent="0.25"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4"/>
      <c r="BI27" s="105"/>
      <c r="BJ27" s="99"/>
      <c r="BL27" s="3"/>
    </row>
    <row r="28" spans="1:64" s="162" customFormat="1" x14ac:dyDescent="0.25">
      <c r="A28" s="47" t="s">
        <v>102</v>
      </c>
      <c r="B28" s="202"/>
      <c r="C28" s="199"/>
      <c r="D28" s="100"/>
      <c r="E28" s="96"/>
      <c r="F28" s="96"/>
      <c r="G28" s="96"/>
      <c r="H28" s="96"/>
      <c r="I28" s="96"/>
      <c r="J28" s="96"/>
      <c r="K28" s="105"/>
      <c r="L28" s="105"/>
      <c r="M28" s="105"/>
      <c r="N28" s="105"/>
      <c r="BH28" s="104"/>
      <c r="BI28" s="105"/>
      <c r="BJ28" s="99"/>
    </row>
    <row r="29" spans="1:64" s="162" customFormat="1" x14ac:dyDescent="0.25">
      <c r="A29" s="162" t="s">
        <v>0</v>
      </c>
      <c r="B29" s="107">
        <v>0</v>
      </c>
      <c r="C29" s="111">
        <v>0</v>
      </c>
      <c r="D29" s="111">
        <v>0</v>
      </c>
      <c r="E29" s="111">
        <v>0</v>
      </c>
      <c r="F29" s="134">
        <f>+(F22-F36)+(F36*F22/SUM(F22:F26))</f>
        <v>12454.76</v>
      </c>
      <c r="G29" s="111">
        <f>+(G22-G36)+(G36*G22/SUM(G22:G26))</f>
        <v>191642.45</v>
      </c>
      <c r="H29" s="111">
        <f t="shared" ref="H29:P29" si="51">+(H22-H36)+(H36*H22/SUM(H22:H26))</f>
        <v>257925.06</v>
      </c>
      <c r="I29" s="111">
        <f t="shared" si="51"/>
        <v>258848.42</v>
      </c>
      <c r="J29" s="111">
        <f t="shared" si="51"/>
        <v>234125.18</v>
      </c>
      <c r="K29" s="111">
        <f t="shared" si="51"/>
        <v>166948.49</v>
      </c>
      <c r="L29" s="111">
        <f t="shared" si="51"/>
        <v>136842.14000000001</v>
      </c>
      <c r="M29" s="111">
        <f t="shared" si="51"/>
        <v>210493.55</v>
      </c>
      <c r="N29" s="111">
        <f t="shared" si="51"/>
        <v>406285.42</v>
      </c>
      <c r="O29" s="111">
        <f t="shared" si="51"/>
        <v>1369889.78</v>
      </c>
      <c r="P29" s="111">
        <f t="shared" si="51"/>
        <v>1103029.06</v>
      </c>
      <c r="Q29" s="111">
        <f>+(Q22-Q36)+(Q36*'PCR (M2)'!Q28/SUM('PCR (M2)'!Q28:Q32))</f>
        <v>983976.8055998187</v>
      </c>
      <c r="R29" s="111">
        <f>+(R22-R36)+(R36*'PCR (M2)'!R28/SUM('PCR (M2)'!R28:R32))</f>
        <v>936126.67058040295</v>
      </c>
      <c r="S29" s="134">
        <f>+(S22-S36)+(S36*'PCR (M2)'!S28/SUM('PCR (M2)'!S28:S32))</f>
        <v>1254886.244789884</v>
      </c>
      <c r="T29" s="111">
        <f>+(T22-T36)+(T36*'PCR (M2)'!T28/SUM('PCR (M2)'!T28:T32))</f>
        <v>1666724.2213379955</v>
      </c>
      <c r="U29" s="111">
        <f>+(U22-U36)+(U36*'PCR (M2)'!U28/SUM('PCR (M2)'!U28:U32))</f>
        <v>1687867.967739454</v>
      </c>
      <c r="V29" s="111">
        <f>+(V22-V36)+(V36*'PCR (M2)'!V28/SUM('PCR (M2)'!V28:V32))</f>
        <v>1336984.8118306769</v>
      </c>
      <c r="W29" s="108">
        <f>+(W22-W36)+(W36*'PCR (M2)'!W28/SUM('PCR (M2)'!W28:W32))</f>
        <v>1174985.3507627479</v>
      </c>
      <c r="X29" s="108">
        <f>+(X22-X36)+(X36*'PCR (M2)'!X28/SUM('PCR (M2)'!X28:X32))</f>
        <v>1029531.6444714632</v>
      </c>
      <c r="Y29" s="108">
        <f>+(Y22-Y36)+(Y36*'PCR (M2)'!Y28/SUM('PCR (M2)'!Y28:Y32))</f>
        <v>1326453.2350570641</v>
      </c>
      <c r="Z29" s="108">
        <f>+(Z22-Z36)+(Z36*'PCR (M2)'!Z28/SUM('PCR (M2)'!Z28:Z32))</f>
        <v>2030661.7411402338</v>
      </c>
      <c r="AA29" s="108">
        <f>+(AA22-AA36)+(AA36*'PCR (M2)'!AA28/SUM('PCR (M2)'!AA28:AA32))</f>
        <v>1388250.351917315</v>
      </c>
      <c r="AB29" s="108">
        <f>+(AB22-AB36)+(AB36*'PCR (M2)'!AB28/SUM('PCR (M2)'!AB28:AB32))</f>
        <v>1120654.6531242458</v>
      </c>
      <c r="AC29" s="108">
        <f>+(AC22-AC36)+(AC36*'PCR (M2)'!AC28/SUM('PCR (M2)'!AC28:AC32))</f>
        <v>1082451.6725849968</v>
      </c>
      <c r="AD29" s="108">
        <f>+(AD22-AD36)+(AD36*'PCR (M2)'!AD28/SUM('PCR (M2)'!AD28:AD32))</f>
        <v>880251.85351460415</v>
      </c>
      <c r="AE29" s="108">
        <f>+(AE22-AE36)+(AE36*'PCR (M2)'!AE28/SUM('PCR (M2)'!AE28:AE32))</f>
        <v>1301284.1891339927</v>
      </c>
      <c r="AF29" s="108">
        <f>+(AF22-AF36)+(AF36*'PCR (M2)'!AF28/SUM('PCR (M2)'!AF28:AF32))</f>
        <v>1524704.8572049867</v>
      </c>
      <c r="AG29" s="108">
        <f>+(AG22-AG36)+(AG36*'PCR (M2)'!AG28/SUM('PCR (M2)'!AG28:AG32))</f>
        <v>1366723.6950669868</v>
      </c>
      <c r="AH29" s="108">
        <f>+(AH22-AH36)+(AH36*'PCR (M2)'!AH28/SUM('PCR (M2)'!AH28:AH32))</f>
        <v>1314605.108458352</v>
      </c>
      <c r="AI29" s="108">
        <f>+(AI22-AI36)+(AI36*'PCR (M2)'!AI28/SUM('PCR (M2)'!AI28:AI32))</f>
        <v>1020432.9529194708</v>
      </c>
      <c r="AJ29" s="108">
        <f>+(AJ22-AJ36)+(AJ36*'PCR (M2)'!AJ28/SUM('PCR (M2)'!AJ28:AJ32))</f>
        <v>950195.40735321853</v>
      </c>
      <c r="AK29" s="108">
        <f>+(AK22-AK36)+(AK36*'PCR (M2)'!AK28/SUM('PCR (M2)'!AK28:AK32))</f>
        <v>1320371.9817385538</v>
      </c>
      <c r="AL29" s="108">
        <f>+(AL22-AL36)+(AL36*'PCR (M2)'!AL28/SUM('PCR (M2)'!AL28:AL32))</f>
        <v>1462433.5546846255</v>
      </c>
      <c r="AM29" s="108">
        <f>+(AM22-AM36)+(AM36*'PCR (M2)'!AM28/SUM('PCR (M2)'!AM28:AM32))</f>
        <v>1529137.4028414818</v>
      </c>
      <c r="AN29" s="108">
        <f>+(AN22-AN36)+(AN36*'PCR (M2)'!AN28/SUM('PCR (M2)'!AN28:AN32))</f>
        <v>1378360.7270812315</v>
      </c>
      <c r="AO29" s="108">
        <f>+(AO22-AO36)+(AO36*'PCR (M2)'!AO28/SUM('PCR (M2)'!AO28:AO32))</f>
        <v>951160.98963883938</v>
      </c>
      <c r="AP29" s="108">
        <f>+(AP22-AP36)+(AP36*'PCR (M2)'!AP28/SUM('PCR (M2)'!AP28:AP32))</f>
        <v>807723.67786616471</v>
      </c>
      <c r="AQ29" s="108">
        <f>+(AQ22-AQ36)+(AQ36*'PCR (M2)'!AQ28/SUM('PCR (M2)'!AQ28:AQ32))</f>
        <v>1071830.4459348798</v>
      </c>
      <c r="AR29" s="108">
        <f>+(AR22-AR36)+(AR36*'PCR (M2)'!AR28/SUM('PCR (M2)'!AR28:AR32))</f>
        <v>1361027.792333117</v>
      </c>
      <c r="AS29" s="108">
        <f>+(AS22-AS36)+(AS36*'PCR (M2)'!AS28/SUM('PCR (M2)'!AS28:AS32))</f>
        <v>1432733.48651519</v>
      </c>
      <c r="AT29" s="108">
        <f>+(AT22-AT36)+(AT36*'PCR (M2)'!AT28/SUM('PCR (M2)'!AT28:AT32))</f>
        <v>1322179.2642833879</v>
      </c>
      <c r="AU29" s="108">
        <f>+(AU22-AU36)+(AU36*'PCR (M2)'!AU28/SUM('PCR (M2)'!AU28:AU32))</f>
        <v>1087865.4265500808</v>
      </c>
      <c r="AV29" s="108">
        <f>+(AV22-AV36)+(AV36*'PCR (M2)'!AV28/SUM('PCR (M2)'!AV28:AV32))</f>
        <v>979499.93887924915</v>
      </c>
      <c r="AW29" s="108">
        <f>+(AW22-AW36)+(AW36*'PCR (M2)'!AW28/SUM('PCR (M2)'!AW28:AW32))</f>
        <v>1315854.6359199635</v>
      </c>
      <c r="AX29" s="108">
        <f>+(AX22-AX36)+(AX36*'PCR (M2)'!AX28/SUM('PCR (M2)'!AX28:AX32))</f>
        <v>1452342.8430098211</v>
      </c>
      <c r="AY29" s="108">
        <f>+(AY22-AY36)+(AY36*'PCR (M2)'!AY28/SUM('PCR (M2)'!AY28:AY32))</f>
        <v>852786.52127385815</v>
      </c>
      <c r="AZ29" s="108">
        <f>+(AZ22-AZ36)+(AZ36*'PCR (M2)'!AZ28/SUM('PCR (M2)'!AZ28:AZ32))</f>
        <v>125873.38282544474</v>
      </c>
      <c r="BA29" s="108">
        <f>+(BA22-BA36)+(BA36*'PCR (M2)'!BA28/SUM('PCR (M2)'!BA28:BA32))</f>
        <v>94402.787188311384</v>
      </c>
      <c r="BB29" s="108">
        <f>+(BB22-BB36)+(BB36*'PCR (M2)'!BB28/SUM('PCR (M2)'!BB28:BB32))</f>
        <v>84175.513069788285</v>
      </c>
      <c r="BC29" s="108">
        <f>+(BC22-BC36)+(BC36*'PCR (M2)'!BC28/SUM('PCR (M2)'!BC28:BC32))</f>
        <v>111088.05405709325</v>
      </c>
      <c r="BD29" s="108">
        <f>+(BD22-BD36)+(BD36*'PCR (M2)'!BD28/SUM('PCR (M2)'!BD28:BD32))</f>
        <v>148912.49147732253</v>
      </c>
      <c r="BE29" s="108">
        <f>+(BE22-BE36)+(BE36*'PCR (M2)'!BE28/SUM('PCR (M2)'!BE28:BE32))</f>
        <v>139614.44094102815</v>
      </c>
      <c r="BF29" s="108">
        <f>+(BF22-BF36)+(BF36*'PCR (M2)'!BF28/SUM('PCR (M2)'!BF28:BF32))</f>
        <v>125976.71022904468</v>
      </c>
      <c r="BG29" s="108">
        <f>+(BG22-BG36)+(BG36*'PCR (M2)'!BG28/SUM('PCR (M2)'!BG28:BG32))</f>
        <v>85433.845861912763</v>
      </c>
      <c r="BH29" s="107">
        <f>+(BH22-BH36)+(BH36*'PCR (M2)'!BH28/SUM('PCR (M2)'!BH28:BH32))</f>
        <v>89759.719342710669</v>
      </c>
      <c r="BI29" s="111">
        <f>+(BI22-BI36)+(BI36*'PCR (M2)'!BI28/SUM('PCR (M2)'!BI28:BI32))</f>
        <v>129228.71822064555</v>
      </c>
      <c r="BJ29" s="112">
        <f>+(BJ22-BJ36)+(BJ36*'PCR (M2)'!BJ28/SUM('PCR (M2)'!BJ28:BJ32))</f>
        <v>160768.73934951209</v>
      </c>
    </row>
    <row r="30" spans="1:64" s="162" customFormat="1" x14ac:dyDescent="0.25">
      <c r="A30" s="162" t="s">
        <v>4</v>
      </c>
      <c r="B30" s="107">
        <v>0</v>
      </c>
      <c r="C30" s="111">
        <v>0</v>
      </c>
      <c r="D30" s="111">
        <v>0</v>
      </c>
      <c r="E30" s="111">
        <v>0</v>
      </c>
      <c r="F30" s="134">
        <f>+F23+(F36*F23/SUM(F22:F26))</f>
        <v>856.28</v>
      </c>
      <c r="G30" s="111">
        <f t="shared" ref="G30:P30" si="52">+G23+(G36*G23/SUM(G22:G26))</f>
        <v>12419.27</v>
      </c>
      <c r="H30" s="111">
        <f t="shared" si="52"/>
        <v>14760.05</v>
      </c>
      <c r="I30" s="111">
        <f t="shared" si="52"/>
        <v>14736.25</v>
      </c>
      <c r="J30" s="111">
        <f t="shared" si="52"/>
        <v>14174.52</v>
      </c>
      <c r="K30" s="111">
        <f t="shared" si="52"/>
        <v>12053.27</v>
      </c>
      <c r="L30" s="111">
        <f t="shared" si="52"/>
        <v>10707.26</v>
      </c>
      <c r="M30" s="111">
        <f t="shared" si="52"/>
        <v>12431.58</v>
      </c>
      <c r="N30" s="111">
        <f t="shared" si="52"/>
        <v>27338.89</v>
      </c>
      <c r="O30" s="111">
        <f t="shared" si="52"/>
        <v>144726.28</v>
      </c>
      <c r="P30" s="111">
        <f t="shared" si="52"/>
        <v>128485.97</v>
      </c>
      <c r="Q30" s="111">
        <f>+Q23+(Q36*'PCR (M2)'!Q29/SUM('PCR (M2)'!Q28:Q32))</f>
        <v>117754.86766427531</v>
      </c>
      <c r="R30" s="111">
        <f>+R23+(R36*'PCR (M2)'!R29/SUM('PCR (M2)'!R28:R32))</f>
        <v>117111.78358657917</v>
      </c>
      <c r="S30" s="111">
        <f>+S23+(S36*'PCR (M2)'!S29/SUM('PCR (M2)'!S28:S32))</f>
        <v>139211.1271761941</v>
      </c>
      <c r="T30" s="111">
        <f>+T23+(T36*'PCR (M2)'!T29/SUM('PCR (M2)'!T28:T32))</f>
        <v>160900.46992761682</v>
      </c>
      <c r="U30" s="111">
        <f>+U23+(U36*'PCR (M2)'!U29/SUM('PCR (M2)'!U28:U32))</f>
        <v>162415.72720926077</v>
      </c>
      <c r="V30" s="111">
        <f>+V23+(V36*'PCR (M2)'!V29/SUM('PCR (M2)'!V28:V32))</f>
        <v>145481.1603029698</v>
      </c>
      <c r="W30" s="108">
        <f>+W23+(W36*'PCR (M2)'!W29/SUM('PCR (M2)'!W28:W32))</f>
        <v>137867.15538119225</v>
      </c>
      <c r="X30" s="108">
        <f>+X23+(X36*'PCR (M2)'!X29/SUM('PCR (M2)'!X28:X32))</f>
        <v>122671.59779667509</v>
      </c>
      <c r="Y30" s="108">
        <f>+Y23+(Y36*'PCR (M2)'!Y29/SUM('PCR (M2)'!Y28:Y32))</f>
        <v>134648.09810155624</v>
      </c>
      <c r="Z30" s="108">
        <f>+Z23+(Z36*'PCR (M2)'!Z29/SUM('PCR (M2)'!Z28:Z32))</f>
        <v>193970.45230344273</v>
      </c>
      <c r="AA30" s="108">
        <f>+AA23+(AA36*'PCR (M2)'!AA29/SUM('PCR (M2)'!AA28:AA32))</f>
        <v>337014.48620173347</v>
      </c>
      <c r="AB30" s="108">
        <f>+AB23+(AB36*'PCR (M2)'!AB29/SUM('PCR (M2)'!AB28:AB32))</f>
        <v>295708.57620644657</v>
      </c>
      <c r="AC30" s="108">
        <f>+AC23+(AC36*'PCR (M2)'!AC29/SUM('PCR (M2)'!AC28:AC32))</f>
        <v>291406.59328999976</v>
      </c>
      <c r="AD30" s="108">
        <f>+AD23+(AD36*'PCR (M2)'!AD29/SUM('PCR (M2)'!AD28:AD32))</f>
        <v>264923.25566753082</v>
      </c>
      <c r="AE30" s="108">
        <f>+AE23+(AE36*'PCR (M2)'!AE29/SUM('PCR (M2)'!AE28:AE32))</f>
        <v>333657.21503767214</v>
      </c>
      <c r="AF30" s="108">
        <f>+AF23+(AF36*'PCR (M2)'!AF29/SUM('PCR (M2)'!AF28:AF32))</f>
        <v>367915.86365673423</v>
      </c>
      <c r="AG30" s="108">
        <f>+AG23+(AG36*'PCR (M2)'!AG29/SUM('PCR (M2)'!AG28:AG32))</f>
        <v>344001.06732957577</v>
      </c>
      <c r="AH30" s="108">
        <f>+AH23+(AH36*'PCR (M2)'!AH29/SUM('PCR (M2)'!AH28:AH32))</f>
        <v>338126.29031171976</v>
      </c>
      <c r="AI30" s="108">
        <f>+AI23+(AI36*'PCR (M2)'!AI29/SUM('PCR (M2)'!AI28:AI32))</f>
        <v>297845.76900715684</v>
      </c>
      <c r="AJ30" s="108">
        <f>+AJ23+(AJ36*'PCR (M2)'!AJ29/SUM('PCR (M2)'!AJ28:AJ32))</f>
        <v>267618.62093979405</v>
      </c>
      <c r="AK30" s="108">
        <f>+AK23+(AK36*'PCR (M2)'!AK29/SUM('PCR (M2)'!AK28:AK32))</f>
        <v>322555.10705520917</v>
      </c>
      <c r="AL30" s="108">
        <f>+AL23+(AL36*'PCR (M2)'!AL29/SUM('PCR (M2)'!AL28:AL32))</f>
        <v>371341.16797562933</v>
      </c>
      <c r="AM30" s="108">
        <f>+AM23+(AM36*'PCR (M2)'!AM29/SUM('PCR (M2)'!AM28:AM32))</f>
        <v>701136.2388481237</v>
      </c>
      <c r="AN30" s="108">
        <f>+AN23+(AN36*'PCR (M2)'!AN29/SUM('PCR (M2)'!AN28:AN32))</f>
        <v>660367.02395744435</v>
      </c>
      <c r="AO30" s="108">
        <f>+AO23+(AO36*'PCR (M2)'!AO29/SUM('PCR (M2)'!AO28:AO32))</f>
        <v>536256.50994038768</v>
      </c>
      <c r="AP30" s="108">
        <f>+AP23+(AP36*'PCR (M2)'!AP29/SUM('PCR (M2)'!AP28:AP32))</f>
        <v>506299.41162084811</v>
      </c>
      <c r="AQ30" s="108">
        <f>+AQ23+(AQ36*'PCR (M2)'!AQ29/SUM('PCR (M2)'!AQ28:AQ32))</f>
        <v>591277.49932374491</v>
      </c>
      <c r="AR30" s="108">
        <f>+AR23+(AR36*'PCR (M2)'!AR29/SUM('PCR (M2)'!AR28:AR32))</f>
        <v>676039.62753147224</v>
      </c>
      <c r="AS30" s="108">
        <f>+AS23+(AS36*'PCR (M2)'!AS29/SUM('PCR (M2)'!AS28:AS32))</f>
        <v>694696.60025960801</v>
      </c>
      <c r="AT30" s="108">
        <f>+AT23+(AT36*'PCR (M2)'!AT29/SUM('PCR (M2)'!AT28:AT32))</f>
        <v>670877.10139883822</v>
      </c>
      <c r="AU30" s="108">
        <f>+AU23+(AU36*'PCR (M2)'!AU29/SUM('PCR (M2)'!AU28:AU32))</f>
        <v>604713.02387172775</v>
      </c>
      <c r="AV30" s="108">
        <f>+AV23+(AV36*'PCR (M2)'!AV29/SUM('PCR (M2)'!AV28:AV32))</f>
        <v>541098.36747130833</v>
      </c>
      <c r="AW30" s="108">
        <f>+AW23+(AW36*'PCR (M2)'!AW29/SUM('PCR (M2)'!AW28:AW32))</f>
        <v>635047.56064080668</v>
      </c>
      <c r="AX30" s="108">
        <f>+AX23+(AX36*'PCR (M2)'!AX29/SUM('PCR (M2)'!AX28:AX32))</f>
        <v>677042.48835283821</v>
      </c>
      <c r="AY30" s="108">
        <f>+AY23+(AY36*'PCR (M2)'!AY29/SUM('PCR (M2)'!AY28:AY32))</f>
        <v>415381.06618172344</v>
      </c>
      <c r="AZ30" s="108">
        <f>+AZ23+(AZ36*'PCR (M2)'!AZ29/SUM('PCR (M2)'!AZ28:AZ32))</f>
        <v>87488.365088698498</v>
      </c>
      <c r="BA30" s="108">
        <f>+BA23+(BA36*'PCR (M2)'!BA29/SUM('PCR (M2)'!BA28:BA32))</f>
        <v>64808.481988011001</v>
      </c>
      <c r="BB30" s="108">
        <f>+BB23+(BB36*'PCR (M2)'!BB29/SUM('PCR (M2)'!BB28:BB32))</f>
        <v>59023.185490174168</v>
      </c>
      <c r="BC30" s="108">
        <f>+BC23+(BC36*'PCR (M2)'!BC29/SUM('PCR (M2)'!BC28:BC32))</f>
        <v>73834.94972054036</v>
      </c>
      <c r="BD30" s="108">
        <f>+BD23+(BD36*'PCR (M2)'!BD29/SUM('PCR (M2)'!BD28:BD32))</f>
        <v>92018.552084119598</v>
      </c>
      <c r="BE30" s="108">
        <f>+BE23+(BE36*'PCR (M2)'!BE29/SUM('PCR (M2)'!BE28:BE32))</f>
        <v>90580.739582948823</v>
      </c>
      <c r="BF30" s="108">
        <f>+BF23+(BF36*'PCR (M2)'!BF29/SUM('PCR (M2)'!BF28:BF32))</f>
        <v>86046.105340623835</v>
      </c>
      <c r="BG30" s="108">
        <f>+BG23+(BG36*'PCR (M2)'!BG29/SUM('PCR (M2)'!BG28:BG32))</f>
        <v>69862.512633552542</v>
      </c>
      <c r="BH30" s="107">
        <f>+BH23+(BH36*'PCR (M2)'!BH29/SUM('PCR (M2)'!BH28:BH32))</f>
        <v>67889.706631396417</v>
      </c>
      <c r="BI30" s="111">
        <f>+BI23+(BI36*'PCR (M2)'!BI29/SUM('PCR (M2)'!BI28:BI32))</f>
        <v>78951.287443390378</v>
      </c>
      <c r="BJ30" s="112">
        <f>+BJ23+(BJ36*'PCR (M2)'!BJ29/SUM('PCR (M2)'!BJ28:BJ32))</f>
        <v>94629.903605661151</v>
      </c>
    </row>
    <row r="31" spans="1:64" s="162" customFormat="1" x14ac:dyDescent="0.25">
      <c r="A31" s="162" t="s">
        <v>5</v>
      </c>
      <c r="B31" s="107">
        <v>0</v>
      </c>
      <c r="C31" s="111">
        <v>0</v>
      </c>
      <c r="D31" s="111">
        <v>0</v>
      </c>
      <c r="E31" s="111">
        <v>0</v>
      </c>
      <c r="F31" s="111">
        <f t="shared" ref="F31:P31" si="53">+F24+(F36*F24/SUM(F22:F26))</f>
        <v>2460.2199999999998</v>
      </c>
      <c r="G31" s="111">
        <f t="shared" si="53"/>
        <v>40611.43</v>
      </c>
      <c r="H31" s="111">
        <f t="shared" si="53"/>
        <v>46133.34</v>
      </c>
      <c r="I31" s="111">
        <f t="shared" si="53"/>
        <v>46227.56</v>
      </c>
      <c r="J31" s="111">
        <f t="shared" si="53"/>
        <v>46423.360000000001</v>
      </c>
      <c r="K31" s="111">
        <f t="shared" si="53"/>
        <v>40852.160000000003</v>
      </c>
      <c r="L31" s="111">
        <f t="shared" si="53"/>
        <v>37249.85</v>
      </c>
      <c r="M31" s="111">
        <f t="shared" si="53"/>
        <v>38727.83</v>
      </c>
      <c r="N31" s="111">
        <f t="shared" si="53"/>
        <v>63808.639999999999</v>
      </c>
      <c r="O31" s="111">
        <f t="shared" si="53"/>
        <v>334912.75</v>
      </c>
      <c r="P31" s="111">
        <f t="shared" si="53"/>
        <v>311859.65000000002</v>
      </c>
      <c r="Q31" s="111">
        <f>+Q24+(Q36*'PCR (M2)'!Q30/SUM('PCR (M2)'!Q28:Q32))</f>
        <v>297067.25661237026</v>
      </c>
      <c r="R31" s="111">
        <f>+R24+(R36*'PCR (M2)'!R30/SUM('PCR (M2)'!R28:R32))</f>
        <v>306858.76704664429</v>
      </c>
      <c r="S31" s="111">
        <f>+S24+(S36*'PCR (M2)'!S30/SUM('PCR (M2)'!S28:S32))</f>
        <v>347930.82125503593</v>
      </c>
      <c r="T31" s="111">
        <f>+T24+(T36*'PCR (M2)'!T30/SUM('PCR (M2)'!T28:T32))</f>
        <v>377801.41744412482</v>
      </c>
      <c r="U31" s="111">
        <f>+U24+(U36*'PCR (M2)'!U30/SUM('PCR (M2)'!U28:U32))</f>
        <v>384838.10767902108</v>
      </c>
      <c r="V31" s="111">
        <f>+V24+(V36*'PCR (M2)'!V30/SUM('PCR (M2)'!V28:V32))</f>
        <v>363327.24534638016</v>
      </c>
      <c r="W31" s="108">
        <f>+W24+(W36*'PCR (M2)'!W30/SUM('PCR (M2)'!W28:W32))</f>
        <v>349151.70540680212</v>
      </c>
      <c r="X31" s="108">
        <f>+X24+(X36*'PCR (M2)'!X30/SUM('PCR (M2)'!X28:X32))</f>
        <v>312029.63241835893</v>
      </c>
      <c r="Y31" s="108">
        <f>+Y24+(Y36*'PCR (M2)'!Y30/SUM('PCR (M2)'!Y28:Y32))</f>
        <v>324930.27431740938</v>
      </c>
      <c r="Z31" s="108">
        <f>+Z24+(Z36*'PCR (M2)'!Z30/SUM('PCR (M2)'!Z28:Z32))</f>
        <v>389339.8693849984</v>
      </c>
      <c r="AA31" s="108">
        <f>+AA24+(AA36*'PCR (M2)'!AA30/SUM('PCR (M2)'!AA28:AA32))</f>
        <v>556625.85708732984</v>
      </c>
      <c r="AB31" s="108">
        <f>+AB24+(AB36*'PCR (M2)'!AB30/SUM('PCR (M2)'!AB28:AB32))</f>
        <v>519727.84944586566</v>
      </c>
      <c r="AC31" s="108">
        <f>+AC24+(AC36*'PCR (M2)'!AC30/SUM('PCR (M2)'!AC28:AC32))</f>
        <v>524323.57207482436</v>
      </c>
      <c r="AD31" s="108">
        <f>+AD24+(AD36*'PCR (M2)'!AD30/SUM('PCR (M2)'!AD28:AD32))</f>
        <v>522730.47478252684</v>
      </c>
      <c r="AE31" s="108">
        <f>+AE24+(AE36*'PCR (M2)'!AE30/SUM('PCR (M2)'!AE28:AE32))</f>
        <v>623624.8655420111</v>
      </c>
      <c r="AF31" s="108">
        <f>+AF24+(AF36*'PCR (M2)'!AF30/SUM('PCR (M2)'!AF28:AF32))</f>
        <v>661725.50586693978</v>
      </c>
      <c r="AG31" s="108">
        <f>+AG24+(AG36*'PCR (M2)'!AG30/SUM('PCR (M2)'!AG28:AG32))</f>
        <v>626757.48216571088</v>
      </c>
      <c r="AH31" s="108">
        <f>+AH24+(AH36*'PCR (M2)'!AH30/SUM('PCR (M2)'!AH28:AH32))</f>
        <v>638007.84216665139</v>
      </c>
      <c r="AI31" s="108">
        <f>+AI24+(AI36*'PCR (M2)'!AI30/SUM('PCR (M2)'!AI28:AI32))</f>
        <v>579490.47761485481</v>
      </c>
      <c r="AJ31" s="108">
        <f>+AJ24+(AJ36*'PCR (M2)'!AJ30/SUM('PCR (M2)'!AJ28:AJ32))</f>
        <v>513641.84877388977</v>
      </c>
      <c r="AK31" s="108">
        <f>+AK24+(AK36*'PCR (M2)'!AK30/SUM('PCR (M2)'!AK28:AK32))</f>
        <v>557457.11362508603</v>
      </c>
      <c r="AL31" s="108">
        <f>+AL24+(AL36*'PCR (M2)'!AL30/SUM('PCR (M2)'!AL28:AL32))</f>
        <v>608808.22123092401</v>
      </c>
      <c r="AM31" s="108">
        <f>+AM24+(AM36*'PCR (M2)'!AM30/SUM('PCR (M2)'!AM28:AM32))</f>
        <v>1107018.1450648431</v>
      </c>
      <c r="AN31" s="108">
        <f>+AN24+(AN36*'PCR (M2)'!AN30/SUM('PCR (M2)'!AN28:AN32))</f>
        <v>1050923.1514029966</v>
      </c>
      <c r="AO31" s="108">
        <f>+AO24+(AO36*'PCR (M2)'!AO30/SUM('PCR (M2)'!AO28:AO32))</f>
        <v>946394.49189445085</v>
      </c>
      <c r="AP31" s="108">
        <f>+AP24+(AP36*'PCR (M2)'!AP30/SUM('PCR (M2)'!AP28:AP32))</f>
        <v>980269.66694109701</v>
      </c>
      <c r="AQ31" s="108">
        <f>+AQ24+(AQ36*'PCR (M2)'!AQ30/SUM('PCR (M2)'!AQ28:AQ32))</f>
        <v>1091122.5576982794</v>
      </c>
      <c r="AR31" s="108">
        <f>+AR24+(AR36*'PCR (M2)'!AR30/SUM('PCR (M2)'!AR28:AR32))</f>
        <v>1173345.4165751</v>
      </c>
      <c r="AS31" s="108">
        <f>+AS24+(AS36*'PCR (M2)'!AS30/SUM('PCR (M2)'!AS28:AS32))</f>
        <v>1200301.9882335844</v>
      </c>
      <c r="AT31" s="108">
        <f>+AT24+(AT36*'PCR (M2)'!AT30/SUM('PCR (M2)'!AT28:AT32))</f>
        <v>1212308.9277305761</v>
      </c>
      <c r="AU31" s="108">
        <f>+AU24+(AU36*'PCR (M2)'!AU30/SUM('PCR (M2)'!AU28:AU32))</f>
        <v>1113467.1918631792</v>
      </c>
      <c r="AV31" s="108">
        <f>+AV24+(AV36*'PCR (M2)'!AV30/SUM('PCR (M2)'!AV28:AV32))</f>
        <v>981117.22422696988</v>
      </c>
      <c r="AW31" s="108">
        <f>+AW24+(AW36*'PCR (M2)'!AW30/SUM('PCR (M2)'!AW28:AW32))</f>
        <v>1062930.0447087046</v>
      </c>
      <c r="AX31" s="108">
        <f>+AX24+(AX36*'PCR (M2)'!AX30/SUM('PCR (M2)'!AX28:AX32))</f>
        <v>1099098.7608177634</v>
      </c>
      <c r="AY31" s="108">
        <f>+AY24+(AY36*'PCR (M2)'!AY30/SUM('PCR (M2)'!AY28:AY32))</f>
        <v>764411.3959813976</v>
      </c>
      <c r="AZ31" s="108">
        <f>+AZ24+(AZ36*'PCR (M2)'!AZ30/SUM('PCR (M2)'!AZ28:AZ32))</f>
        <v>318623.73714683513</v>
      </c>
      <c r="BA31" s="108">
        <f>+BA24+(BA36*'PCR (M2)'!BA30/SUM('PCR (M2)'!BA28:BA32))</f>
        <v>268197.12227908301</v>
      </c>
      <c r="BB31" s="108">
        <f>+BB24+(BB36*'PCR (M2)'!BB30/SUM('PCR (M2)'!BB28:BB32))</f>
        <v>249075.16076692485</v>
      </c>
      <c r="BC31" s="108">
        <f>+BC24+(BC36*'PCR (M2)'!BC30/SUM('PCR (M2)'!BC28:BC32))</f>
        <v>296551.86746010324</v>
      </c>
      <c r="BD31" s="108">
        <f>+BD24+(BD36*'PCR (M2)'!BD30/SUM('PCR (M2)'!BD28:BD32))</f>
        <v>346227.00320999842</v>
      </c>
      <c r="BE31" s="108">
        <f>+BE24+(BE36*'PCR (M2)'!BE30/SUM('PCR (M2)'!BE28:BE32))</f>
        <v>344571.98080537352</v>
      </c>
      <c r="BF31" s="108">
        <f>+BF24+(BF36*'PCR (M2)'!BF30/SUM('PCR (M2)'!BF28:BF32))</f>
        <v>343418.65957003593</v>
      </c>
      <c r="BG31" s="108">
        <f>+BG24+(BG36*'PCR (M2)'!BG30/SUM('PCR (M2)'!BG28:BG32))</f>
        <v>293034.59528354998</v>
      </c>
      <c r="BH31" s="107">
        <f>+BH24+(BH36*'PCR (M2)'!BH30/SUM('PCR (M2)'!BH28:BH32))</f>
        <v>280232.89137223462</v>
      </c>
      <c r="BI31" s="111">
        <f>+BI24+(BI36*'PCR (M2)'!BI30/SUM('PCR (M2)'!BI28:BI32))</f>
        <v>295439.52982475312</v>
      </c>
      <c r="BJ31" s="112">
        <f>+BJ24+(BJ36*'PCR (M2)'!BJ30/SUM('PCR (M2)'!BJ28:BJ32))</f>
        <v>342661.60164871387</v>
      </c>
    </row>
    <row r="32" spans="1:64" s="162" customFormat="1" x14ac:dyDescent="0.25">
      <c r="A32" s="162" t="s">
        <v>6</v>
      </c>
      <c r="B32" s="107">
        <v>0</v>
      </c>
      <c r="C32" s="111">
        <v>0</v>
      </c>
      <c r="D32" s="111">
        <v>0</v>
      </c>
      <c r="E32" s="111">
        <v>0</v>
      </c>
      <c r="F32" s="111">
        <f t="shared" ref="F32:P32" si="54">+F25+(F36*F25/SUM(F22:F26))</f>
        <v>1621.85</v>
      </c>
      <c r="G32" s="111">
        <f t="shared" si="54"/>
        <v>15413.06</v>
      </c>
      <c r="H32" s="111">
        <f t="shared" si="54"/>
        <v>19333.560000000001</v>
      </c>
      <c r="I32" s="111">
        <f t="shared" si="54"/>
        <v>18858.009999999998</v>
      </c>
      <c r="J32" s="111">
        <f t="shared" si="54"/>
        <v>20468.599999999999</v>
      </c>
      <c r="K32" s="111">
        <f t="shared" si="54"/>
        <v>17365.72</v>
      </c>
      <c r="L32" s="111">
        <f t="shared" si="54"/>
        <v>16669.060000000001</v>
      </c>
      <c r="M32" s="111">
        <f t="shared" si="54"/>
        <v>16712.28</v>
      </c>
      <c r="N32" s="111">
        <f t="shared" si="54"/>
        <v>31958.9</v>
      </c>
      <c r="O32" s="111">
        <f t="shared" si="54"/>
        <v>328456.90999999997</v>
      </c>
      <c r="P32" s="111">
        <f t="shared" si="54"/>
        <v>267175.5</v>
      </c>
      <c r="Q32" s="111">
        <f>+Q25+(Q36*'PCR (M2)'!Q31/SUM('PCR (M2)'!Q28:Q32))</f>
        <v>283136.40886630391</v>
      </c>
      <c r="R32" s="111">
        <f>+R25+(R36*'PCR (M2)'!R31/SUM('PCR (M2)'!R28:R32))</f>
        <v>287460.81327816768</v>
      </c>
      <c r="S32" s="111">
        <f>+S25+(S36*'PCR (M2)'!S31/SUM('PCR (M2)'!S28:S32))</f>
        <v>330409.77575572423</v>
      </c>
      <c r="T32" s="111">
        <f>+T25+(T36*'PCR (M2)'!T31/SUM('PCR (M2)'!T28:T32))</f>
        <v>323201.37525993661</v>
      </c>
      <c r="U32" s="111">
        <f>+U25+(U36*'PCR (M2)'!U31/SUM('PCR (M2)'!U28:U32))</f>
        <v>340944.20704658219</v>
      </c>
      <c r="V32" s="111">
        <f>+V25+(V36*'PCR (M2)'!V31/SUM('PCR (M2)'!V28:V32))</f>
        <v>328289.08781066153</v>
      </c>
      <c r="W32" s="108">
        <f>+W25+(W36*'PCR (M2)'!W31/SUM('PCR (M2)'!W28:W32))</f>
        <v>321452.90171375725</v>
      </c>
      <c r="X32" s="108">
        <f>+X25+(X36*'PCR (M2)'!X31/SUM('PCR (M2)'!X28:X32))</f>
        <v>288778.65587559086</v>
      </c>
      <c r="Y32" s="108">
        <f>+Y25+(Y36*'PCR (M2)'!Y31/SUM('PCR (M2)'!Y28:Y32))</f>
        <v>301751.31193612184</v>
      </c>
      <c r="Z32" s="108">
        <f>+Z25+(Z36*'PCR (M2)'!Z31/SUM('PCR (M2)'!Z28:Z32))</f>
        <v>332299.53125242464</v>
      </c>
      <c r="AA32" s="108">
        <f>+AA25+(AA36*'PCR (M2)'!AA31/SUM('PCR (M2)'!AA28:AA32))</f>
        <v>302428.95514228137</v>
      </c>
      <c r="AB32" s="108">
        <f>+AB25+(AB36*'PCR (M2)'!AB31/SUM('PCR (M2)'!AB28:AB32))</f>
        <v>301943.60981245001</v>
      </c>
      <c r="AC32" s="108">
        <f>+AC25+(AC36*'PCR (M2)'!AC31/SUM('PCR (M2)'!AC28:AC32))</f>
        <v>278699.7057611302</v>
      </c>
      <c r="AD32" s="108">
        <f>+AD25+(AD36*'PCR (M2)'!AD31/SUM('PCR (M2)'!AD28:AD32))</f>
        <v>322370.88601313852</v>
      </c>
      <c r="AE32" s="108">
        <f>+AE25+(AE36*'PCR (M2)'!AE31/SUM('PCR (M2)'!AE28:AE32))</f>
        <v>349751.02773569047</v>
      </c>
      <c r="AF32" s="108">
        <f>+AF25+(AF36*'PCR (M2)'!AF31/SUM('PCR (M2)'!AF28:AF32))</f>
        <v>361975.97928185289</v>
      </c>
      <c r="AG32" s="108">
        <f>+AG25+(AG36*'PCR (M2)'!AG31/SUM('PCR (M2)'!AG28:AG32))</f>
        <v>356032.65352996916</v>
      </c>
      <c r="AH32" s="108">
        <f>+AH25+(AH36*'PCR (M2)'!AH31/SUM('PCR (M2)'!AH28:AH32))</f>
        <v>346604.60421828728</v>
      </c>
      <c r="AI32" s="108">
        <f>+AI25+(AI36*'PCR (M2)'!AI31/SUM('PCR (M2)'!AI28:AI32))</f>
        <v>324956.79952393915</v>
      </c>
      <c r="AJ32" s="108">
        <f>+AJ25+(AJ36*'PCR (M2)'!AJ31/SUM('PCR (M2)'!AJ28:AJ32))</f>
        <v>301584.85459624138</v>
      </c>
      <c r="AK32" s="108">
        <f>+AK25+(AK36*'PCR (M2)'!AK31/SUM('PCR (M2)'!AK28:AK32))</f>
        <v>323402.5858220082</v>
      </c>
      <c r="AL32" s="108">
        <f>+AL25+(AL36*'PCR (M2)'!AL31/SUM('PCR (M2)'!AL28:AL32))</f>
        <v>296745.40272335312</v>
      </c>
      <c r="AM32" s="108">
        <f>+AM25+(AM36*'PCR (M2)'!AM31/SUM('PCR (M2)'!AM28:AM32))</f>
        <v>355667.68860749144</v>
      </c>
      <c r="AN32" s="108">
        <f>+AN25+(AN36*'PCR (M2)'!AN31/SUM('PCR (M2)'!AN28:AN32))</f>
        <v>352302.39917248994</v>
      </c>
      <c r="AO32" s="108">
        <f>+AO25+(AO36*'PCR (M2)'!AO31/SUM('PCR (M2)'!AO28:AO32))</f>
        <v>338612.44673821039</v>
      </c>
      <c r="AP32" s="108">
        <f>+AP25+(AP36*'PCR (M2)'!AP31/SUM('PCR (M2)'!AP28:AP32))</f>
        <v>338607.64249172056</v>
      </c>
      <c r="AQ32" s="108">
        <f>+AQ25+(AQ36*'PCR (M2)'!AQ31/SUM('PCR (M2)'!AQ28:AQ32))</f>
        <v>393628.70516997529</v>
      </c>
      <c r="AR32" s="108">
        <f>+AR25+(AR36*'PCR (M2)'!AR31/SUM('PCR (M2)'!AR28:AR32))</f>
        <v>395351.29305083206</v>
      </c>
      <c r="AS32" s="108">
        <f>+AS25+(AS36*'PCR (M2)'!AS31/SUM('PCR (M2)'!AS28:AS32))</f>
        <v>414954.8489846529</v>
      </c>
      <c r="AT32" s="108">
        <f>+AT25+(AT36*'PCR (M2)'!AT31/SUM('PCR (M2)'!AT28:AT32))</f>
        <v>412666.27260449337</v>
      </c>
      <c r="AU32" s="108">
        <f>+AU25+(AU36*'PCR (M2)'!AU31/SUM('PCR (M2)'!AU28:AU32))</f>
        <v>382499.83186560834</v>
      </c>
      <c r="AV32" s="108">
        <f>+AV25+(AV36*'PCR (M2)'!AV31/SUM('PCR (M2)'!AV28:AV32))</f>
        <v>352969.01405759115</v>
      </c>
      <c r="AW32" s="108">
        <f>+AW25+(AW36*'PCR (M2)'!AW31/SUM('PCR (M2)'!AW28:AW32))</f>
        <v>354749.07044000475</v>
      </c>
      <c r="AX32" s="108">
        <f>+AX25+(AX36*'PCR (M2)'!AX31/SUM('PCR (M2)'!AX28:AX32))</f>
        <v>364800.86761435715</v>
      </c>
      <c r="AY32" s="108">
        <f>+AY25+(AY36*'PCR (M2)'!AY31/SUM('PCR (M2)'!AY28:AY32))</f>
        <v>290547.34153219225</v>
      </c>
      <c r="AZ32" s="108">
        <f>+AZ25+(AZ36*'PCR (M2)'!AZ31/SUM('PCR (M2)'!AZ28:AZ32))</f>
        <v>123016.66955581114</v>
      </c>
      <c r="BA32" s="108">
        <f>+BA25+(BA36*'PCR (M2)'!BA31/SUM('PCR (M2)'!BA28:BA32))</f>
        <v>118618.96587713738</v>
      </c>
      <c r="BB32" s="108">
        <f>+BB25+(BB36*'PCR (M2)'!BB31/SUM('PCR (M2)'!BB28:BB32))</f>
        <v>111705.70022132192</v>
      </c>
      <c r="BC32" s="108">
        <f>+BC25+(BC36*'PCR (M2)'!BC31/SUM('PCR (M2)'!BC28:BC32))</f>
        <v>130125.71091968814</v>
      </c>
      <c r="BD32" s="108">
        <f>+BD25+(BD36*'PCR (M2)'!BD31/SUM('PCR (M2)'!BD28:BD32))</f>
        <v>136950.86579751672</v>
      </c>
      <c r="BE32" s="108">
        <f>+BE25+(BE36*'PCR (M2)'!BE31/SUM('PCR (M2)'!BE28:BE32))</f>
        <v>143566.43039610711</v>
      </c>
      <c r="BF32" s="108">
        <f>+BF25+(BF36*'PCR (M2)'!BF31/SUM('PCR (M2)'!BF28:BF32))</f>
        <v>143625.78644107448</v>
      </c>
      <c r="BG32" s="108">
        <f>+BG25+(BG36*'PCR (M2)'!BG31/SUM('PCR (M2)'!BG28:BG32))</f>
        <v>127662.31996824291</v>
      </c>
      <c r="BH32" s="107">
        <f>+BH25+(BH36*'PCR (M2)'!BH31/SUM('PCR (M2)'!BH28:BH32))</f>
        <v>117515.48412410043</v>
      </c>
      <c r="BI32" s="111">
        <f>+BI25+(BI36*'PCR (M2)'!BI31/SUM('PCR (M2)'!BI28:BI32))</f>
        <v>118761.34542854104</v>
      </c>
      <c r="BJ32" s="112">
        <f>+BJ25+(BJ36*'PCR (M2)'!BJ31/SUM('PCR (M2)'!BJ28:BJ32))</f>
        <v>136776.47724371887</v>
      </c>
    </row>
    <row r="33" spans="1:64" s="162" customFormat="1" x14ac:dyDescent="0.25">
      <c r="A33" s="162" t="s">
        <v>7</v>
      </c>
      <c r="B33" s="107">
        <v>0</v>
      </c>
      <c r="C33" s="111">
        <v>0</v>
      </c>
      <c r="D33" s="111">
        <v>0</v>
      </c>
      <c r="E33" s="111">
        <v>0</v>
      </c>
      <c r="F33" s="111">
        <f t="shared" ref="F33:P33" si="55">+F26+(F36*F26/SUM(F22:F26))</f>
        <v>0</v>
      </c>
      <c r="G33" s="111">
        <f t="shared" si="55"/>
        <v>4867.8</v>
      </c>
      <c r="H33" s="111">
        <f t="shared" si="55"/>
        <v>9528.7800000000007</v>
      </c>
      <c r="I33" s="111">
        <f t="shared" si="55"/>
        <v>9622.07</v>
      </c>
      <c r="J33" s="111">
        <f t="shared" si="55"/>
        <v>10571.65</v>
      </c>
      <c r="K33" s="111">
        <f t="shared" si="55"/>
        <v>9276.2800000000007</v>
      </c>
      <c r="L33" s="111">
        <f t="shared" si="55"/>
        <v>8552.14</v>
      </c>
      <c r="M33" s="111">
        <f t="shared" si="55"/>
        <v>8040.28</v>
      </c>
      <c r="N33" s="111">
        <f t="shared" si="55"/>
        <v>7958.8</v>
      </c>
      <c r="O33" s="111">
        <f t="shared" si="55"/>
        <v>202699.47</v>
      </c>
      <c r="P33" s="111">
        <f t="shared" si="55"/>
        <v>167678.56</v>
      </c>
      <c r="Q33" s="111">
        <f>+Q26+(Q36*'PCR (M2)'!Q32/SUM('PCR (M2)'!Q28:Q32))</f>
        <v>183651.06125723169</v>
      </c>
      <c r="R33" s="111">
        <f>+R26+(R36*'PCR (M2)'!R32/SUM('PCR (M2)'!R28:R32))</f>
        <v>187110.90550820582</v>
      </c>
      <c r="S33" s="111">
        <f>+S26+(S36*'PCR (M2)'!S32/SUM('PCR (M2)'!S28:S32))</f>
        <v>223442.58102316182</v>
      </c>
      <c r="T33" s="111">
        <f>+T26+(T36*'PCR (M2)'!T32/SUM('PCR (M2)'!T28:T32))</f>
        <v>211112.22603032622</v>
      </c>
      <c r="U33" s="111">
        <f>+U26+(U36*'PCR (M2)'!U32/SUM('PCR (M2)'!U28:U32))</f>
        <v>233963.66032568182</v>
      </c>
      <c r="V33" s="111">
        <f>+V26+(V36*'PCR (M2)'!V32/SUM('PCR (M2)'!V28:V32))</f>
        <v>223064.28470931173</v>
      </c>
      <c r="W33" s="108">
        <f>+W26+(W36*'PCR (M2)'!W32/SUM('PCR (M2)'!W28:W32))</f>
        <v>212741.63673550039</v>
      </c>
      <c r="X33" s="108">
        <f>+X26+(X36*'PCR (M2)'!X32/SUM('PCR (M2)'!X28:X32))</f>
        <v>202298.65943791193</v>
      </c>
      <c r="Y33" s="108">
        <f>+Y26+(Y36*'PCR (M2)'!Y32/SUM('PCR (M2)'!Y28:Y32))</f>
        <v>185145.40058784836</v>
      </c>
      <c r="Z33" s="108">
        <f>+Z26+(Z36*'PCR (M2)'!Z32/SUM('PCR (M2)'!Z28:Z32))</f>
        <v>187242.02591890033</v>
      </c>
      <c r="AA33" s="108">
        <f>+AA26+(AA36*'PCR (M2)'!AA32/SUM('PCR (M2)'!AA28:AA32))</f>
        <v>102199.66965133997</v>
      </c>
      <c r="AB33" s="108">
        <f>+AB26+(AB36*'PCR (M2)'!AB32/SUM('PCR (M2)'!AB28:AB32))</f>
        <v>15774.991410991883</v>
      </c>
      <c r="AC33" s="108">
        <f>+AC26+(AC36*'PCR (M2)'!AC32/SUM('PCR (M2)'!AC28:AC32))</f>
        <v>14999.076289049191</v>
      </c>
      <c r="AD33" s="108">
        <f>+AD26+(AD36*'PCR (M2)'!AD32/SUM('PCR (M2)'!AD28:AD32))</f>
        <v>17802.440022199695</v>
      </c>
      <c r="AE33" s="108">
        <f>+AE26+(AE36*'PCR (M2)'!AE32/SUM('PCR (M2)'!AE28:AE32))</f>
        <v>19775.612550633668</v>
      </c>
      <c r="AF33" s="108">
        <f>+AF26+(AF36*'PCR (M2)'!AF32/SUM('PCR (M2)'!AF28:AF32))</f>
        <v>11062.273989486501</v>
      </c>
      <c r="AG33" s="108">
        <f>+AG26+(AG36*'PCR (M2)'!AG32/SUM('PCR (M2)'!AG28:AG32))</f>
        <v>20313.771907757455</v>
      </c>
      <c r="AH33" s="108">
        <f>+AH26+(AH36*'PCR (M2)'!AH32/SUM('PCR (M2)'!AH28:AH32))</f>
        <v>19132.25484498954</v>
      </c>
      <c r="AI33" s="108">
        <f>+AI26+(AI36*'PCR (M2)'!AI32/SUM('PCR (M2)'!AI28:AI32))</f>
        <v>18842.570934578442</v>
      </c>
      <c r="AJ33" s="108">
        <f>+AJ26+(AJ36*'PCR (M2)'!AJ32/SUM('PCR (M2)'!AJ28:AJ32))</f>
        <v>17291.908336856264</v>
      </c>
      <c r="AK33" s="108">
        <f>+AK26+(AK36*'PCR (M2)'!AK32/SUM('PCR (M2)'!AK28:AK32))</f>
        <v>16424.771759142779</v>
      </c>
      <c r="AL33" s="108">
        <f>+AL26+(AL36*'PCR (M2)'!AL32/SUM('PCR (M2)'!AL28:AL32))</f>
        <v>19194.293385468092</v>
      </c>
      <c r="AM33" s="108">
        <f>+AM26+(AM36*'PCR (M2)'!AM32/SUM('PCR (M2)'!AM28:AM32))</f>
        <v>38886.814638059877</v>
      </c>
      <c r="AN33" s="108">
        <f>+AN26+(AN36*'PCR (M2)'!AN32/SUM('PCR (M2)'!AN28:AN32))</f>
        <v>62163.30838583759</v>
      </c>
      <c r="AO33" s="108">
        <f>+AO26+(AO36*'PCR (M2)'!AO32/SUM('PCR (M2)'!AO28:AO32))</f>
        <v>62277.891788111709</v>
      </c>
      <c r="AP33" s="108">
        <f>+AP26+(AP36*'PCR (M2)'!AP32/SUM('PCR (M2)'!AP28:AP32))</f>
        <v>61090.351080169654</v>
      </c>
      <c r="AQ33" s="108">
        <f>+AQ26+(AQ36*'PCR (M2)'!AQ32/SUM('PCR (M2)'!AQ28:AQ32))</f>
        <v>77031.361873120681</v>
      </c>
      <c r="AR33" s="108">
        <f>+AR26+(AR36*'PCR (M2)'!AR32/SUM('PCR (M2)'!AR28:AR32))</f>
        <v>71605.590509478847</v>
      </c>
      <c r="AS33" s="108">
        <f>+AS26+(AS36*'PCR (M2)'!AS32/SUM('PCR (M2)'!AS28:AS32))</f>
        <v>79252.326006964737</v>
      </c>
      <c r="AT33" s="108">
        <f>+AT26+(AT36*'PCR (M2)'!AT32/SUM('PCR (M2)'!AT28:AT32))</f>
        <v>80418.423982704393</v>
      </c>
      <c r="AU33" s="108">
        <f>+AU26+(AU36*'PCR (M2)'!AU32/SUM('PCR (M2)'!AU28:AU32))</f>
        <v>75914.605849404077</v>
      </c>
      <c r="AV33" s="108">
        <f>+AV26+(AV36*'PCR (M2)'!AV32/SUM('PCR (M2)'!AV28:AV32))</f>
        <v>67084.185364881589</v>
      </c>
      <c r="AW33" s="108">
        <f>+AW26+(AW36*'PCR (M2)'!AW32/SUM('PCR (M2)'!AW28:AW32))</f>
        <v>62856.748290520263</v>
      </c>
      <c r="AX33" s="108">
        <f>+AX26+(AX36*'PCR (M2)'!AX32/SUM('PCR (M2)'!AX28:AX32))</f>
        <v>66459.23020522017</v>
      </c>
      <c r="AY33" s="108">
        <f>+AY26+(AY36*'PCR (M2)'!AY32/SUM('PCR (M2)'!AY28:AY32))</f>
        <v>66430.245030828315</v>
      </c>
      <c r="AZ33" s="108">
        <f>+AZ26+(AZ36*'PCR (M2)'!AZ32/SUM('PCR (M2)'!AZ28:AZ32))</f>
        <v>38508.58538321052</v>
      </c>
      <c r="BA33" s="108">
        <f>+BA26+(BA36*'PCR (M2)'!BA32/SUM('PCR (M2)'!BA28:BA32))</f>
        <v>44139.712667457257</v>
      </c>
      <c r="BB33" s="108">
        <f>+BB26+(BB36*'PCR (M2)'!BB32/SUM('PCR (M2)'!BB28:BB32))</f>
        <v>44831.320451790831</v>
      </c>
      <c r="BC33" s="108">
        <f>+BC26+(BC36*'PCR (M2)'!BC32/SUM('PCR (M2)'!BC28:BC32))</f>
        <v>11299.677842574869</v>
      </c>
      <c r="BD33" s="108">
        <f>+BD26+(BD36*'PCR (M2)'!BD32/SUM('PCR (M2)'!BD28:BD32))</f>
        <v>50403.777431042647</v>
      </c>
      <c r="BE33" s="108">
        <f>+BE26+(BE36*'PCR (M2)'!BE32/SUM('PCR (M2)'!BE28:BE32))</f>
        <v>51924.778274542303</v>
      </c>
      <c r="BF33" s="108">
        <f>+BF26+(BF36*'PCR (M2)'!BF32/SUM('PCR (M2)'!BF28:BF32))</f>
        <v>52673.048419221035</v>
      </c>
      <c r="BG33" s="108">
        <f>+BG26+(BG36*'PCR (M2)'!BG32/SUM('PCR (M2)'!BG28:BG32))</f>
        <v>46395.596252741845</v>
      </c>
      <c r="BH33" s="107">
        <f>+BH26+(BH36*'PCR (M2)'!BH32/SUM('PCR (M2)'!BH28:BH32))</f>
        <v>45872.30511775241</v>
      </c>
      <c r="BI33" s="111">
        <f>+BI26+(BI36*'PCR (M2)'!BI32/SUM('PCR (M2)'!BI28:BI32))</f>
        <v>44794.719733774829</v>
      </c>
      <c r="BJ33" s="112">
        <f>+BJ26+(BJ36*'PCR (M2)'!BJ32/SUM('PCR (M2)'!BJ28:BJ32))</f>
        <v>48707.497694278994</v>
      </c>
    </row>
    <row r="34" spans="1:64" s="47" customFormat="1" x14ac:dyDescent="0.25">
      <c r="B34" s="203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95"/>
      <c r="BI34" s="96"/>
      <c r="BJ34" s="99"/>
    </row>
    <row r="35" spans="1:64" s="162" customFormat="1" x14ac:dyDescent="0.25">
      <c r="A35" s="47" t="s">
        <v>106</v>
      </c>
      <c r="B35" s="202"/>
      <c r="C35" s="199"/>
      <c r="D35" s="100" t="s">
        <v>86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5"/>
      <c r="BI35" s="96"/>
      <c r="BJ35" s="99"/>
    </row>
    <row r="36" spans="1:64" s="162" customFormat="1" x14ac:dyDescent="0.25">
      <c r="A36" s="47" t="str">
        <f>A22</f>
        <v>RES</v>
      </c>
      <c r="B36" s="91">
        <v>0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-32811.980000000003</v>
      </c>
      <c r="R36" s="92">
        <v>-27741.819999999996</v>
      </c>
      <c r="S36" s="92">
        <v>-33591.72</v>
      </c>
      <c r="T36" s="92">
        <v>-43701.210000000006</v>
      </c>
      <c r="U36" s="92">
        <v>-44913.150000000016</v>
      </c>
      <c r="V36" s="92">
        <v>-37075.26</v>
      </c>
      <c r="W36" s="101">
        <v>-33337.619999999995</v>
      </c>
      <c r="X36" s="101">
        <v>-34636.379999999997</v>
      </c>
      <c r="Y36" s="101">
        <v>-46816.780000000006</v>
      </c>
      <c r="Z36" s="101">
        <v>-74379.199999999997</v>
      </c>
      <c r="AA36" s="101">
        <v>-53026.439999999981</v>
      </c>
      <c r="AB36" s="101">
        <v>-42925.730000000018</v>
      </c>
      <c r="AC36" s="101">
        <v>-42106.7</v>
      </c>
      <c r="AD36" s="101">
        <v>-28791.749999999996</v>
      </c>
      <c r="AE36" s="101">
        <v>-35930.130000000005</v>
      </c>
      <c r="AF36" s="101">
        <v>-41963.429999999993</v>
      </c>
      <c r="AG36" s="101">
        <v>-36995.590000000011</v>
      </c>
      <c r="AH36" s="101">
        <v>-35204.390000000014</v>
      </c>
      <c r="AI36" s="101">
        <v>-30748.660000000003</v>
      </c>
      <c r="AJ36" s="101">
        <v>-34618.679999999993</v>
      </c>
      <c r="AK36" s="101">
        <v>-50285.73</v>
      </c>
      <c r="AL36" s="101">
        <v>-55873.150000000009</v>
      </c>
      <c r="AM36" s="101">
        <v>-60492.49</v>
      </c>
      <c r="AN36" s="101">
        <v>-55114.33</v>
      </c>
      <c r="AO36" s="101">
        <v>-36035.890000000007</v>
      </c>
      <c r="AP36" s="101">
        <v>-27170.16</v>
      </c>
      <c r="AQ36" s="101">
        <v>-31591.29</v>
      </c>
      <c r="AR36" s="101">
        <v>-38703.740000000005</v>
      </c>
      <c r="AS36" s="101">
        <v>-41224.720000000001</v>
      </c>
      <c r="AT36" s="101">
        <v>-37524.060000000005</v>
      </c>
      <c r="AU36" s="101">
        <v>-31789.249999999996</v>
      </c>
      <c r="AV36" s="101">
        <f>'[1]TDR.3 (M2)'!AG5</f>
        <v>-34917.82</v>
      </c>
      <c r="AW36" s="101">
        <f>'[1]TDR.3 (M2)'!AH5</f>
        <v>-48130.950000000004</v>
      </c>
      <c r="AX36" s="101">
        <f>'[1]TDR.3 (M2)'!AI5</f>
        <v>-53162.189999999995</v>
      </c>
      <c r="AY36" s="101">
        <f>'[1]TDR.3 (M2)'!AJ5</f>
        <v>-32508.630000000005</v>
      </c>
      <c r="AZ36" s="101">
        <f>'[1]TDR.3 (M2)'!AK5</f>
        <v>-4700.05</v>
      </c>
      <c r="BA36" s="101">
        <f>'[1]TDR.3 (M2)'!AL5</f>
        <v>-3259.1800000000003</v>
      </c>
      <c r="BB36" s="101">
        <f>'[1]TDR.3 (M2)'!AM5</f>
        <v>-2682.7599999999998</v>
      </c>
      <c r="BC36" s="101">
        <f>'[1]TDR.3 (M2)'!AN5</f>
        <v>-3058.82</v>
      </c>
      <c r="BD36" s="101">
        <f>'[1]TDR.3 (M2)'!AO5</f>
        <v>-3921.83</v>
      </c>
      <c r="BE36" s="101">
        <f>'[1]TDR.3 (M2)'!AP5</f>
        <v>-3613.12</v>
      </c>
      <c r="BF36" s="101">
        <f>'[1]TDR.3 (M2)'!AQ5</f>
        <v>-3328.0600000000004</v>
      </c>
      <c r="BG36" s="101">
        <f>'[1]TDR.3 (M2)'!AR5</f>
        <v>-2482.1</v>
      </c>
      <c r="BH36" s="107">
        <f>-('PCR (M2)'!BH28*'TDR (M2)'!$BK$22*PPC!$B$14)</f>
        <v>-2866.672099411338</v>
      </c>
      <c r="BI36" s="111">
        <f>-('PCR (M2)'!BI28*'TDR (M2)'!$BK$22*PPC!$B$14)</f>
        <v>-4137.3447817035103</v>
      </c>
      <c r="BJ36" s="112">
        <f>-('PCR (M2)'!BJ28*'TDR (M2)'!$BK$22*PPC!$B$14)</f>
        <v>-5149.9797731353019</v>
      </c>
    </row>
    <row r="37" spans="1:64" s="162" customFormat="1" x14ac:dyDescent="0.25"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4"/>
      <c r="BI37" s="105"/>
      <c r="BJ37" s="99"/>
      <c r="BL37" s="3"/>
    </row>
    <row r="38" spans="1:64" x14ac:dyDescent="0.25">
      <c r="B38" s="104"/>
      <c r="C38" s="105"/>
      <c r="D38" s="100" t="s">
        <v>68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4"/>
      <c r="BI38" s="105"/>
      <c r="BJ38" s="109"/>
      <c r="BK38" s="3"/>
    </row>
    <row r="39" spans="1:64" ht="15.75" thickBot="1" x14ac:dyDescent="0.3">
      <c r="A39" s="113" t="s">
        <v>88</v>
      </c>
      <c r="B39" s="114">
        <v>0</v>
      </c>
      <c r="C39" s="115">
        <v>0</v>
      </c>
      <c r="D39" s="115">
        <v>0</v>
      </c>
      <c r="E39" s="115">
        <v>0.83</v>
      </c>
      <c r="F39" s="115">
        <v>-4.12</v>
      </c>
      <c r="G39" s="115">
        <v>-72.86</v>
      </c>
      <c r="H39" s="115">
        <v>-100.31</v>
      </c>
      <c r="I39" s="115">
        <v>-72.75</v>
      </c>
      <c r="J39" s="115">
        <v>200.51</v>
      </c>
      <c r="K39" s="115">
        <v>172.02</v>
      </c>
      <c r="L39" s="115">
        <v>217.02</v>
      </c>
      <c r="M39" s="115">
        <v>395.25</v>
      </c>
      <c r="N39" s="115">
        <v>349.23</v>
      </c>
      <c r="O39" s="115">
        <v>9085.07</v>
      </c>
      <c r="P39" s="115">
        <v>10214.99</v>
      </c>
      <c r="Q39" s="115">
        <v>8736.59</v>
      </c>
      <c r="R39" s="115">
        <v>7362.86</v>
      </c>
      <c r="S39" s="115">
        <v>7923.4</v>
      </c>
      <c r="T39" s="115">
        <v>6924.77</v>
      </c>
      <c r="U39" s="115">
        <v>6462.66</v>
      </c>
      <c r="V39" s="115">
        <v>5489.98</v>
      </c>
      <c r="W39" s="115">
        <v>3758.58</v>
      </c>
      <c r="X39" s="115">
        <v>2383.46</v>
      </c>
      <c r="Y39" s="115">
        <v>1195.4000000000001</v>
      </c>
      <c r="Z39" s="115">
        <v>-1558.24</v>
      </c>
      <c r="AA39" s="115">
        <v>-4135.4799999999996</v>
      </c>
      <c r="AB39" s="115">
        <v>-6601.54</v>
      </c>
      <c r="AC39" s="115">
        <v>-9814.07</v>
      </c>
      <c r="AD39" s="115">
        <v>-10424.57</v>
      </c>
      <c r="AE39" s="115">
        <v>-8592.41</v>
      </c>
      <c r="AF39" s="115">
        <v>-4589.53</v>
      </c>
      <c r="AG39" s="115">
        <v>-680.13</v>
      </c>
      <c r="AH39" s="115">
        <v>1145.49</v>
      </c>
      <c r="AI39" s="115">
        <v>131.71</v>
      </c>
      <c r="AJ39" s="115">
        <v>-872.83</v>
      </c>
      <c r="AK39" s="115">
        <v>-2378.1799999999998</v>
      </c>
      <c r="AL39" s="115">
        <v>-4152.67</v>
      </c>
      <c r="AM39" s="115">
        <v>-8693.64</v>
      </c>
      <c r="AN39" s="115">
        <v>-11321.04</v>
      </c>
      <c r="AO39" s="115">
        <v>-12444.34</v>
      </c>
      <c r="AP39" s="115">
        <v>-14340.93</v>
      </c>
      <c r="AQ39" s="115">
        <v>-7824.47</v>
      </c>
      <c r="AR39" s="115">
        <v>-9334.36</v>
      </c>
      <c r="AS39" s="115">
        <v>6436.46</v>
      </c>
      <c r="AT39" s="115">
        <v>8716.57</v>
      </c>
      <c r="AU39" s="115">
        <v>6493.08</v>
      </c>
      <c r="AV39" s="115">
        <f>-'[1]TDR.4 (M2)'!$W$52</f>
        <v>4311.46</v>
      </c>
      <c r="AW39" s="115">
        <f>-'[1]TDR.4 (M2)'!$W$53</f>
        <v>2634.36</v>
      </c>
      <c r="AX39" s="115">
        <f>-'[1]TDR.4 (M2)'!$W$54</f>
        <v>571.99</v>
      </c>
      <c r="AY39" s="115">
        <f>-'[1]TDR.4 (M2)'!$W$55</f>
        <v>-2717.53</v>
      </c>
      <c r="AZ39" s="115">
        <f>-'[1]TDR.4 (M2)'!$W$56</f>
        <v>-887.86</v>
      </c>
      <c r="BA39" s="115">
        <f>-'[1]TDR.4 (M2)'!$W$57</f>
        <v>-901.63</v>
      </c>
      <c r="BB39" s="115">
        <f>-'[1]TDR.4 (M2)'!$W$58</f>
        <v>-183.12</v>
      </c>
      <c r="BC39" s="115">
        <f>-'[1]TDR.4 (M2)'!$W$59</f>
        <v>-242.2</v>
      </c>
      <c r="BD39" s="115">
        <f>-'[1]TDR.4 (M2)'!$W$60</f>
        <v>-494.7</v>
      </c>
      <c r="BE39" s="115">
        <f>-'[1]TDR.4 (M2)'!$W$61</f>
        <v>-432.38</v>
      </c>
      <c r="BF39" s="115">
        <f>-'[1]TDR.4 (M2)'!$W$62</f>
        <v>-466.39</v>
      </c>
      <c r="BG39" s="115">
        <f>-'[1]TDR.4 (M2)'!$W$63</f>
        <v>-854.31</v>
      </c>
      <c r="BH39" s="299">
        <f>'[2]MEEIA 2 calcs'!$BI$21</f>
        <v>-952.52105380270245</v>
      </c>
      <c r="BI39" s="300">
        <f>'[2]MEEIA 2 calcs'!$BJ$21</f>
        <v>-1060.1337390868537</v>
      </c>
      <c r="BJ39" s="303">
        <f>'[2]MEEIA 2 calcs'!$BK$21</f>
        <v>-1185.8653913003491</v>
      </c>
      <c r="BK39" s="47"/>
    </row>
    <row r="40" spans="1:64" x14ac:dyDescent="0.25">
      <c r="B40" s="164"/>
      <c r="C40" s="117"/>
      <c r="D40" s="117"/>
      <c r="E40" s="117"/>
      <c r="F40" s="117"/>
      <c r="G40" s="18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64"/>
      <c r="BI40" s="117"/>
      <c r="BJ40" s="118"/>
    </row>
    <row r="41" spans="1:64" x14ac:dyDescent="0.25">
      <c r="A41" s="69" t="s">
        <v>69</v>
      </c>
      <c r="B41" s="119"/>
      <c r="C41" s="48"/>
      <c r="D41" s="48"/>
      <c r="E41" s="48"/>
      <c r="F41" s="48"/>
      <c r="G41" s="18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95"/>
      <c r="BI41" s="96"/>
      <c r="BJ41" s="99"/>
    </row>
    <row r="42" spans="1:64" x14ac:dyDescent="0.25">
      <c r="A42" s="69" t="s">
        <v>0</v>
      </c>
      <c r="B42" s="107">
        <f>B15-B29</f>
        <v>0</v>
      </c>
      <c r="C42" s="111">
        <f t="shared" ref="C42:BJ46" si="56">C15-C29</f>
        <v>0</v>
      </c>
      <c r="D42" s="111">
        <f t="shared" si="56"/>
        <v>0</v>
      </c>
      <c r="E42" s="111">
        <f t="shared" si="56"/>
        <v>1328.78</v>
      </c>
      <c r="F42" s="111">
        <f t="shared" si="56"/>
        <v>-2928.2299999999996</v>
      </c>
      <c r="G42" s="111">
        <f t="shared" si="56"/>
        <v>-71289.570000000007</v>
      </c>
      <c r="H42" s="111">
        <f t="shared" si="56"/>
        <v>-1844.4099999999744</v>
      </c>
      <c r="I42" s="111">
        <f t="shared" si="56"/>
        <v>114544.92435846673</v>
      </c>
      <c r="J42" s="111">
        <f t="shared" si="56"/>
        <v>437611.03363575385</v>
      </c>
      <c r="K42" s="111">
        <f t="shared" si="56"/>
        <v>-46108.639999999985</v>
      </c>
      <c r="L42" s="111">
        <f t="shared" si="56"/>
        <v>48251.358816492691</v>
      </c>
      <c r="M42" s="111">
        <f t="shared" si="56"/>
        <v>92791.644528529549</v>
      </c>
      <c r="N42" s="111">
        <f t="shared" si="56"/>
        <v>-76541.62899647688</v>
      </c>
      <c r="O42" s="111">
        <f t="shared" si="56"/>
        <v>-1050300.6538526569</v>
      </c>
      <c r="P42" s="111">
        <f t="shared" si="56"/>
        <v>-795612.54377562623</v>
      </c>
      <c r="Q42" s="111">
        <f t="shared" si="56"/>
        <v>-781966.80801192264</v>
      </c>
      <c r="R42" s="111">
        <f t="shared" si="56"/>
        <v>-734608.66210439603</v>
      </c>
      <c r="S42" s="111">
        <f t="shared" si="56"/>
        <v>-370689.72777560423</v>
      </c>
      <c r="T42" s="111">
        <f t="shared" si="56"/>
        <v>-384119.88133799564</v>
      </c>
      <c r="U42" s="111">
        <f t="shared" si="56"/>
        <v>-275107.38358755549</v>
      </c>
      <c r="V42" s="111">
        <f t="shared" si="56"/>
        <v>-424940.93852856522</v>
      </c>
      <c r="W42" s="111">
        <f t="shared" si="56"/>
        <v>-895008.88456685981</v>
      </c>
      <c r="X42" s="111">
        <f t="shared" ref="X42:AH42" si="57">X15-X29</f>
        <v>-652093.16687273735</v>
      </c>
      <c r="Y42" s="111">
        <f t="shared" si="57"/>
        <v>-761185.28928755154</v>
      </c>
      <c r="Z42" s="111">
        <f t="shared" si="57"/>
        <v>-1423446.7136634206</v>
      </c>
      <c r="AA42" s="111">
        <f t="shared" si="57"/>
        <v>-872933.81364122406</v>
      </c>
      <c r="AB42" s="111">
        <f t="shared" si="57"/>
        <v>-647504.14396264404</v>
      </c>
      <c r="AC42" s="111">
        <f t="shared" si="57"/>
        <v>-811719.89299649675</v>
      </c>
      <c r="AD42" s="111">
        <f t="shared" si="57"/>
        <v>-388655.70517212211</v>
      </c>
      <c r="AE42" s="111">
        <f t="shared" si="57"/>
        <v>723672.47680510976</v>
      </c>
      <c r="AF42" s="111">
        <f t="shared" si="57"/>
        <v>1229078.5787427053</v>
      </c>
      <c r="AG42" s="111">
        <f t="shared" si="57"/>
        <v>1288463.5757057199</v>
      </c>
      <c r="AH42" s="111">
        <f t="shared" si="57"/>
        <v>271065.67566829198</v>
      </c>
      <c r="AI42" s="111">
        <f t="shared" ref="AI42:AU42" si="58">AI15-AI29</f>
        <v>-464314.22299920814</v>
      </c>
      <c r="AJ42" s="111">
        <f t="shared" si="58"/>
        <v>-436737.34684611688</v>
      </c>
      <c r="AK42" s="111">
        <f t="shared" si="58"/>
        <v>-617572.08405505202</v>
      </c>
      <c r="AL42" s="111">
        <f t="shared" si="58"/>
        <v>-757166.54526625574</v>
      </c>
      <c r="AM42" s="111">
        <f t="shared" si="58"/>
        <v>-902323.78320456308</v>
      </c>
      <c r="AN42" s="111">
        <f t="shared" si="58"/>
        <v>-644984.27791673772</v>
      </c>
      <c r="AO42" s="111">
        <f t="shared" si="58"/>
        <v>-371208.95703957358</v>
      </c>
      <c r="AP42" s="111">
        <f t="shared" si="58"/>
        <v>-436712.1860460249</v>
      </c>
      <c r="AQ42" s="111">
        <f t="shared" si="58"/>
        <v>1651426.2498654767</v>
      </c>
      <c r="AR42" s="111">
        <f t="shared" si="58"/>
        <v>1729212.3236625164</v>
      </c>
      <c r="AS42" s="111">
        <f>AS15-AS29</f>
        <v>1886501.8465768229</v>
      </c>
      <c r="AT42" s="111">
        <f t="shared" si="58"/>
        <v>550244.65205842978</v>
      </c>
      <c r="AU42" s="111">
        <f t="shared" si="58"/>
        <v>-619226.02641074557</v>
      </c>
      <c r="AV42" s="111">
        <f t="shared" ref="AV42:BF42" si="59">AV15-AV29</f>
        <v>-406069.8759449994</v>
      </c>
      <c r="AW42" s="111">
        <f t="shared" si="59"/>
        <v>-586852.95091818122</v>
      </c>
      <c r="AX42" s="111">
        <f t="shared" si="59"/>
        <v>-720893.84375789552</v>
      </c>
      <c r="AY42" s="111">
        <f t="shared" si="59"/>
        <v>-1954298.2858568672</v>
      </c>
      <c r="AZ42" s="111">
        <f t="shared" si="59"/>
        <v>376424.54789936566</v>
      </c>
      <c r="BA42" s="111">
        <f t="shared" si="59"/>
        <v>-94402.787188311384</v>
      </c>
      <c r="BB42" s="111">
        <f t="shared" si="59"/>
        <v>-85377.45219762405</v>
      </c>
      <c r="BC42" s="111">
        <f t="shared" si="59"/>
        <v>-111088.05405709325</v>
      </c>
      <c r="BD42" s="111">
        <f t="shared" si="59"/>
        <v>-148912.49147732253</v>
      </c>
      <c r="BE42" s="111">
        <f t="shared" si="59"/>
        <v>-139614.44094102815</v>
      </c>
      <c r="BF42" s="111">
        <f t="shared" si="59"/>
        <v>-125976.71022904468</v>
      </c>
      <c r="BG42" s="111">
        <f t="shared" ref="BG42" si="60">BG15-BG29</f>
        <v>-85433.845861912763</v>
      </c>
      <c r="BH42" s="107">
        <f>BH15-BH29</f>
        <v>-89759.719342710669</v>
      </c>
      <c r="BI42" s="111">
        <f t="shared" si="56"/>
        <v>-129228.71822064555</v>
      </c>
      <c r="BJ42" s="112">
        <f t="shared" si="56"/>
        <v>-160768.73934951209</v>
      </c>
    </row>
    <row r="43" spans="1:64" x14ac:dyDescent="0.25">
      <c r="A43" s="69" t="s">
        <v>4</v>
      </c>
      <c r="B43" s="107">
        <f t="shared" ref="B43:Q46" si="61">B16-B30</f>
        <v>0</v>
      </c>
      <c r="C43" s="111">
        <f t="shared" si="61"/>
        <v>0</v>
      </c>
      <c r="D43" s="111">
        <f t="shared" si="61"/>
        <v>0</v>
      </c>
      <c r="E43" s="111">
        <f t="shared" si="61"/>
        <v>0</v>
      </c>
      <c r="F43" s="111">
        <f t="shared" si="61"/>
        <v>-856.28</v>
      </c>
      <c r="G43" s="111">
        <f t="shared" si="61"/>
        <v>-8251.3300000000017</v>
      </c>
      <c r="H43" s="111">
        <f t="shared" si="61"/>
        <v>-1402.1099999999969</v>
      </c>
      <c r="I43" s="111">
        <f t="shared" si="61"/>
        <v>-65.264761224685572</v>
      </c>
      <c r="J43" s="111">
        <f t="shared" si="61"/>
        <v>8427.9456749210331</v>
      </c>
      <c r="K43" s="111">
        <f t="shared" si="61"/>
        <v>11617.59</v>
      </c>
      <c r="L43" s="111">
        <f t="shared" si="61"/>
        <v>17046.048601536655</v>
      </c>
      <c r="M43" s="111">
        <f t="shared" si="61"/>
        <v>24826.995758638252</v>
      </c>
      <c r="N43" s="111">
        <f t="shared" si="61"/>
        <v>20240.432188278435</v>
      </c>
      <c r="O43" s="111">
        <f t="shared" si="61"/>
        <v>-101815.23827073371</v>
      </c>
      <c r="P43" s="111">
        <f t="shared" si="61"/>
        <v>-75662.968837742344</v>
      </c>
      <c r="Q43" s="111">
        <f t="shared" si="61"/>
        <v>-91804.560030101668</v>
      </c>
      <c r="R43" s="111">
        <f t="shared" si="56"/>
        <v>-68128.224455245159</v>
      </c>
      <c r="S43" s="111">
        <f t="shared" si="56"/>
        <v>-48589.637835607791</v>
      </c>
      <c r="T43" s="111">
        <f t="shared" si="56"/>
        <v>-21968.569927616802</v>
      </c>
      <c r="U43" s="111">
        <f t="shared" si="56"/>
        <v>-28715.458669831074</v>
      </c>
      <c r="V43" s="111">
        <f t="shared" si="56"/>
        <v>6276.6530995404464</v>
      </c>
      <c r="W43" s="111">
        <f t="shared" si="56"/>
        <v>-21029.362806484423</v>
      </c>
      <c r="X43" s="111">
        <f t="shared" ref="X43:AH43" si="62">X16-X30</f>
        <v>-34538.080526789403</v>
      </c>
      <c r="Y43" s="111">
        <f t="shared" si="62"/>
        <v>-7659.090907654303</v>
      </c>
      <c r="Z43" s="111">
        <f t="shared" si="62"/>
        <v>-42593.533596648835</v>
      </c>
      <c r="AA43" s="111">
        <f t="shared" si="62"/>
        <v>-206001.8335522181</v>
      </c>
      <c r="AB43" s="111">
        <f t="shared" si="62"/>
        <v>-133723.8395783462</v>
      </c>
      <c r="AC43" s="111">
        <f t="shared" si="62"/>
        <v>-104521.60706289703</v>
      </c>
      <c r="AD43" s="111">
        <f t="shared" si="62"/>
        <v>-4214.1796664728899</v>
      </c>
      <c r="AE43" s="111">
        <f t="shared" si="62"/>
        <v>60618.685361135169</v>
      </c>
      <c r="AF43" s="111">
        <f t="shared" si="62"/>
        <v>149648.72067955992</v>
      </c>
      <c r="AG43" s="111">
        <f t="shared" si="62"/>
        <v>112641.30665656802</v>
      </c>
      <c r="AH43" s="111">
        <f t="shared" si="62"/>
        <v>157250.8063429466</v>
      </c>
      <c r="AI43" s="111">
        <f t="shared" ref="AI43:AU43" si="63">AI16-AI30</f>
        <v>50394.117705575947</v>
      </c>
      <c r="AJ43" s="111">
        <f t="shared" si="63"/>
        <v>47785.738240385894</v>
      </c>
      <c r="AK43" s="111">
        <f t="shared" si="63"/>
        <v>26812.776423145784</v>
      </c>
      <c r="AL43" s="111">
        <f t="shared" si="63"/>
        <v>5329.6397879027063</v>
      </c>
      <c r="AM43" s="111">
        <f t="shared" si="63"/>
        <v>-385470.08172739437</v>
      </c>
      <c r="AN43" s="111">
        <f t="shared" si="63"/>
        <v>-234131.02815485816</v>
      </c>
      <c r="AO43" s="111">
        <f t="shared" si="63"/>
        <v>-106451.00316548307</v>
      </c>
      <c r="AP43" s="111">
        <f t="shared" si="63"/>
        <v>-80796.707221269025</v>
      </c>
      <c r="AQ43" s="111">
        <f t="shared" si="63"/>
        <v>119748.6338400637</v>
      </c>
      <c r="AR43" s="111">
        <f t="shared" si="63"/>
        <v>230591.13180803775</v>
      </c>
      <c r="AS43" s="111">
        <f t="shared" si="63"/>
        <v>40607.117085032864</v>
      </c>
      <c r="AT43" s="111">
        <f t="shared" si="63"/>
        <v>94805.055079190759</v>
      </c>
      <c r="AU43" s="111">
        <f t="shared" si="63"/>
        <v>-81991.941769096185</v>
      </c>
      <c r="AV43" s="111">
        <f t="shared" ref="AV43:BF43" si="64">AV16-AV30</f>
        <v>-95205.368568211212</v>
      </c>
      <c r="AW43" s="111">
        <f t="shared" si="64"/>
        <v>-254080.90393668582</v>
      </c>
      <c r="AX43" s="111">
        <f t="shared" si="64"/>
        <v>-225483.57850258716</v>
      </c>
      <c r="AY43" s="111">
        <f t="shared" si="64"/>
        <v>-66220.840186268324</v>
      </c>
      <c r="AZ43" s="111">
        <f t="shared" si="64"/>
        <v>301226.64294110646</v>
      </c>
      <c r="BA43" s="111">
        <f t="shared" si="64"/>
        <v>-64808.481988011001</v>
      </c>
      <c r="BB43" s="111">
        <f t="shared" si="64"/>
        <v>-59303.95288683923</v>
      </c>
      <c r="BC43" s="111">
        <f t="shared" si="64"/>
        <v>-73834.94972054036</v>
      </c>
      <c r="BD43" s="111">
        <f t="shared" si="64"/>
        <v>-92018.552084119598</v>
      </c>
      <c r="BE43" s="111">
        <f t="shared" si="64"/>
        <v>-90580.739582948823</v>
      </c>
      <c r="BF43" s="111">
        <f t="shared" si="64"/>
        <v>-86046.105340623835</v>
      </c>
      <c r="BG43" s="111">
        <f t="shared" ref="BG43" si="65">BG16-BG30</f>
        <v>-69862.512633552542</v>
      </c>
      <c r="BH43" s="107">
        <f t="shared" si="56"/>
        <v>-67889.706631396417</v>
      </c>
      <c r="BI43" s="111">
        <f t="shared" si="56"/>
        <v>-78814.36744339038</v>
      </c>
      <c r="BJ43" s="112">
        <f t="shared" si="56"/>
        <v>-94364.413605661146</v>
      </c>
    </row>
    <row r="44" spans="1:64" x14ac:dyDescent="0.25">
      <c r="A44" s="69" t="s">
        <v>5</v>
      </c>
      <c r="B44" s="107">
        <f t="shared" si="61"/>
        <v>0</v>
      </c>
      <c r="C44" s="111">
        <f t="shared" si="56"/>
        <v>0</v>
      </c>
      <c r="D44" s="111">
        <f t="shared" si="56"/>
        <v>0</v>
      </c>
      <c r="E44" s="111">
        <f t="shared" si="56"/>
        <v>0</v>
      </c>
      <c r="F44" s="111">
        <f t="shared" si="56"/>
        <v>-2460.2199999999998</v>
      </c>
      <c r="G44" s="111">
        <f t="shared" si="56"/>
        <v>-33758.050000000003</v>
      </c>
      <c r="H44" s="111">
        <f t="shared" si="56"/>
        <v>-21639.839999999997</v>
      </c>
      <c r="I44" s="111">
        <f t="shared" si="56"/>
        <v>-12324.613120248869</v>
      </c>
      <c r="J44" s="111">
        <f t="shared" si="56"/>
        <v>10707.581306139036</v>
      </c>
      <c r="K44" s="111">
        <f t="shared" si="56"/>
        <v>7716.2699999999968</v>
      </c>
      <c r="L44" s="111">
        <f t="shared" si="56"/>
        <v>19152.98271623841</v>
      </c>
      <c r="M44" s="111">
        <f t="shared" si="56"/>
        <v>37688.57344597984</v>
      </c>
      <c r="N44" s="111">
        <f t="shared" si="56"/>
        <v>34655.832713338357</v>
      </c>
      <c r="O44" s="111">
        <f t="shared" si="56"/>
        <v>-242092.50256055058</v>
      </c>
      <c r="P44" s="111">
        <f t="shared" si="56"/>
        <v>-195981.13140874798</v>
      </c>
      <c r="Q44" s="111">
        <f t="shared" si="56"/>
        <v>-232888.91236901932</v>
      </c>
      <c r="R44" s="111">
        <f t="shared" si="56"/>
        <v>-203991.54845207804</v>
      </c>
      <c r="S44" s="111">
        <f t="shared" si="56"/>
        <v>-122904.71343148759</v>
      </c>
      <c r="T44" s="111">
        <f t="shared" si="56"/>
        <v>-45595.367444124771</v>
      </c>
      <c r="U44" s="111">
        <f t="shared" si="56"/>
        <v>-58272.669394945318</v>
      </c>
      <c r="V44" s="111">
        <f t="shared" si="56"/>
        <v>-6175.1120859243674</v>
      </c>
      <c r="W44" s="111">
        <f t="shared" si="56"/>
        <v>-115986.35542651551</v>
      </c>
      <c r="X44" s="111">
        <f t="shared" ref="X44:AH44" si="66">X17-X31</f>
        <v>-69294.433327207837</v>
      </c>
      <c r="Y44" s="111">
        <f t="shared" si="66"/>
        <v>-54669.383200100274</v>
      </c>
      <c r="Z44" s="111">
        <f t="shared" si="66"/>
        <v>-70407.882028048742</v>
      </c>
      <c r="AA44" s="111">
        <f t="shared" si="66"/>
        <v>-278199.91199827904</v>
      </c>
      <c r="AB44" s="111">
        <f t="shared" si="66"/>
        <v>-194553.80264377588</v>
      </c>
      <c r="AC44" s="111">
        <f t="shared" si="66"/>
        <v>-181165.27958706097</v>
      </c>
      <c r="AD44" s="111">
        <f t="shared" si="66"/>
        <v>-65612.444639366528</v>
      </c>
      <c r="AE44" s="111">
        <f t="shared" si="66"/>
        <v>263200.71750933642</v>
      </c>
      <c r="AF44" s="111">
        <f t="shared" si="66"/>
        <v>535792.77625822683</v>
      </c>
      <c r="AG44" s="111">
        <f t="shared" si="66"/>
        <v>403517.90316562622</v>
      </c>
      <c r="AH44" s="111">
        <f t="shared" si="66"/>
        <v>395778.97101029358</v>
      </c>
      <c r="AI44" s="111">
        <f t="shared" ref="AI44:AU44" si="67">AI17-AI31</f>
        <v>-14353.052894642577</v>
      </c>
      <c r="AJ44" s="111">
        <f t="shared" si="67"/>
        <v>1744.6990926700528</v>
      </c>
      <c r="AK44" s="111">
        <f t="shared" si="67"/>
        <v>43164.493867260288</v>
      </c>
      <c r="AL44" s="111">
        <f t="shared" si="67"/>
        <v>69032.617636874435</v>
      </c>
      <c r="AM44" s="111">
        <f t="shared" si="67"/>
        <v>-516448.80428918765</v>
      </c>
      <c r="AN44" s="111">
        <f t="shared" si="67"/>
        <v>-265389.93410872563</v>
      </c>
      <c r="AO44" s="111">
        <f t="shared" si="67"/>
        <v>-186671.6012031635</v>
      </c>
      <c r="AP44" s="111">
        <f t="shared" si="67"/>
        <v>-249695.80261101574</v>
      </c>
      <c r="AQ44" s="111">
        <f t="shared" si="67"/>
        <v>610138.74075894407</v>
      </c>
      <c r="AR44" s="111">
        <f t="shared" si="67"/>
        <v>964983.89764747978</v>
      </c>
      <c r="AS44" s="111">
        <f t="shared" si="67"/>
        <v>607446.53375909547</v>
      </c>
      <c r="AT44" s="111">
        <f t="shared" si="67"/>
        <v>438365.52108722716</v>
      </c>
      <c r="AU44" s="111">
        <f t="shared" si="67"/>
        <v>-267302.80112048553</v>
      </c>
      <c r="AV44" s="111">
        <f t="shared" ref="AV44:BF44" si="68">AV17-AV31</f>
        <v>-258204.70387424075</v>
      </c>
      <c r="AW44" s="111">
        <f t="shared" si="68"/>
        <v>-275480.9965688755</v>
      </c>
      <c r="AX44" s="111">
        <f t="shared" si="68"/>
        <v>-277221.77676880977</v>
      </c>
      <c r="AY44" s="111">
        <f t="shared" si="68"/>
        <v>-101268.39351805218</v>
      </c>
      <c r="AZ44" s="111">
        <f t="shared" si="68"/>
        <v>399241.40100704756</v>
      </c>
      <c r="BA44" s="111">
        <f t="shared" si="68"/>
        <v>-265910.81227908062</v>
      </c>
      <c r="BB44" s="111">
        <f t="shared" si="68"/>
        <v>-247101.80526517576</v>
      </c>
      <c r="BC44" s="111">
        <f t="shared" si="68"/>
        <v>-284328.55746010086</v>
      </c>
      <c r="BD44" s="111">
        <f t="shared" si="68"/>
        <v>-323373.82320999872</v>
      </c>
      <c r="BE44" s="111">
        <f t="shared" si="68"/>
        <v>-324031.71080537396</v>
      </c>
      <c r="BF44" s="111">
        <f t="shared" si="68"/>
        <v>-328396.44957003504</v>
      </c>
      <c r="BG44" s="111">
        <f t="shared" ref="BG44" si="69">BG17-BG31</f>
        <v>-286323.50528355013</v>
      </c>
      <c r="BH44" s="107">
        <f t="shared" si="56"/>
        <v>-273530.05137223459</v>
      </c>
      <c r="BI44" s="111">
        <f t="shared" si="56"/>
        <v>-282520.4498247531</v>
      </c>
      <c r="BJ44" s="112">
        <f t="shared" si="56"/>
        <v>-324796.14164871385</v>
      </c>
    </row>
    <row r="45" spans="1:64" x14ac:dyDescent="0.25">
      <c r="A45" s="69" t="s">
        <v>6</v>
      </c>
      <c r="B45" s="107">
        <f t="shared" si="61"/>
        <v>0</v>
      </c>
      <c r="C45" s="111">
        <f t="shared" si="56"/>
        <v>0</v>
      </c>
      <c r="D45" s="111">
        <f t="shared" si="56"/>
        <v>0</v>
      </c>
      <c r="E45" s="111">
        <f t="shared" si="56"/>
        <v>0</v>
      </c>
      <c r="F45" s="111">
        <f t="shared" si="56"/>
        <v>-1621.85</v>
      </c>
      <c r="G45" s="111">
        <f t="shared" si="56"/>
        <v>-14886.83</v>
      </c>
      <c r="H45" s="111">
        <f t="shared" si="56"/>
        <v>-17626.32</v>
      </c>
      <c r="I45" s="111">
        <f t="shared" si="56"/>
        <v>-16627.989274539053</v>
      </c>
      <c r="J45" s="111">
        <f t="shared" si="56"/>
        <v>-15673.941858251583</v>
      </c>
      <c r="K45" s="111">
        <f t="shared" si="56"/>
        <v>-12991.86</v>
      </c>
      <c r="L45" s="111">
        <f t="shared" si="56"/>
        <v>-9215.8170176639032</v>
      </c>
      <c r="M45" s="111">
        <f t="shared" si="56"/>
        <v>1372.297784318449</v>
      </c>
      <c r="N45" s="111">
        <f t="shared" si="56"/>
        <v>-3995.0892387392923</v>
      </c>
      <c r="O45" s="111">
        <f t="shared" si="56"/>
        <v>-304000.85004735005</v>
      </c>
      <c r="P45" s="111">
        <f t="shared" si="56"/>
        <v>-237560.18932731223</v>
      </c>
      <c r="Q45" s="111">
        <f t="shared" si="56"/>
        <v>-270969.97217664868</v>
      </c>
      <c r="R45" s="111">
        <f t="shared" si="56"/>
        <v>-259352.7289176824</v>
      </c>
      <c r="S45" s="111">
        <f t="shared" si="56"/>
        <v>-202261.62434077309</v>
      </c>
      <c r="T45" s="111">
        <f t="shared" si="56"/>
        <v>-147511.63525993662</v>
      </c>
      <c r="U45" s="111">
        <f t="shared" si="56"/>
        <v>-122541.67894562634</v>
      </c>
      <c r="V45" s="111">
        <f t="shared" si="56"/>
        <v>-123221.18931087491</v>
      </c>
      <c r="W45" s="111">
        <f t="shared" si="56"/>
        <v>-220265.81874101982</v>
      </c>
      <c r="X45" s="111">
        <f t="shared" ref="X45:AH45" si="70">X18-X32</f>
        <v>-191005.21786957013</v>
      </c>
      <c r="Y45" s="111">
        <f t="shared" si="70"/>
        <v>-188005.20883714195</v>
      </c>
      <c r="Z45" s="111">
        <f t="shared" si="70"/>
        <v>-200503.50323993355</v>
      </c>
      <c r="AA45" s="111">
        <f t="shared" si="70"/>
        <v>-186338.57353980344</v>
      </c>
      <c r="AB45" s="111">
        <f t="shared" si="70"/>
        <v>-169875.44483674748</v>
      </c>
      <c r="AC45" s="111">
        <f t="shared" si="70"/>
        <v>-145378.61898659961</v>
      </c>
      <c r="AD45" s="111">
        <f t="shared" si="70"/>
        <v>-142266.06809872741</v>
      </c>
      <c r="AE45" s="111">
        <f t="shared" si="70"/>
        <v>73240.586517746502</v>
      </c>
      <c r="AF45" s="111">
        <f t="shared" si="70"/>
        <v>181633.88145182672</v>
      </c>
      <c r="AG45" s="111">
        <f t="shared" si="70"/>
        <v>130230.35779464053</v>
      </c>
      <c r="AH45" s="111">
        <f t="shared" si="70"/>
        <v>67502.841347931884</v>
      </c>
      <c r="AI45" s="111">
        <f t="shared" ref="AI45:AU45" si="71">AI18-AI32</f>
        <v>-117748.44529398013</v>
      </c>
      <c r="AJ45" s="111">
        <f t="shared" si="71"/>
        <v>-110277.67032792341</v>
      </c>
      <c r="AK45" s="111">
        <f t="shared" si="71"/>
        <v>-99577.289493904042</v>
      </c>
      <c r="AL45" s="111">
        <f t="shared" si="71"/>
        <v>-45030.541968987585</v>
      </c>
      <c r="AM45" s="111">
        <f t="shared" si="71"/>
        <v>-134825.6919202162</v>
      </c>
      <c r="AN45" s="111">
        <f t="shared" si="71"/>
        <v>-46651.286517600529</v>
      </c>
      <c r="AO45" s="111">
        <f t="shared" si="71"/>
        <v>-54338.200422683032</v>
      </c>
      <c r="AP45" s="111">
        <f t="shared" si="71"/>
        <v>-43825.839606522641</v>
      </c>
      <c r="AQ45" s="111">
        <f t="shared" si="71"/>
        <v>398285.62603206246</v>
      </c>
      <c r="AR45" s="111">
        <f t="shared" si="71"/>
        <v>582992.76012694114</v>
      </c>
      <c r="AS45" s="111">
        <f t="shared" si="71"/>
        <v>459822.81218621496</v>
      </c>
      <c r="AT45" s="111">
        <f t="shared" si="71"/>
        <v>274139.20776520291</v>
      </c>
      <c r="AU45" s="111">
        <f t="shared" si="71"/>
        <v>-60697.38078627811</v>
      </c>
      <c r="AV45" s="111">
        <f t="shared" ref="AV45:BF45" si="72">AV18-AV32</f>
        <v>-72940.122547219275</v>
      </c>
      <c r="AW45" s="111">
        <f t="shared" si="72"/>
        <v>-80604.853118786006</v>
      </c>
      <c r="AX45" s="111">
        <f t="shared" si="72"/>
        <v>-61089.748492774612</v>
      </c>
      <c r="AY45" s="111">
        <f t="shared" si="72"/>
        <v>-38548.875420085358</v>
      </c>
      <c r="AZ45" s="111">
        <f t="shared" si="72"/>
        <v>153052.68701831874</v>
      </c>
      <c r="BA45" s="111">
        <f t="shared" si="72"/>
        <v>-118618.96587713738</v>
      </c>
      <c r="BB45" s="111">
        <f t="shared" si="72"/>
        <v>-112020.71240492428</v>
      </c>
      <c r="BC45" s="111">
        <f t="shared" si="72"/>
        <v>-130125.71091968814</v>
      </c>
      <c r="BD45" s="111">
        <f t="shared" si="72"/>
        <v>-136950.86579751672</v>
      </c>
      <c r="BE45" s="111">
        <f t="shared" si="72"/>
        <v>-126752.85039610704</v>
      </c>
      <c r="BF45" s="111">
        <f t="shared" si="72"/>
        <v>-124238.38644107411</v>
      </c>
      <c r="BG45" s="111">
        <f t="shared" ref="BG45" si="73">BG18-BG32</f>
        <v>-120877.24996824261</v>
      </c>
      <c r="BH45" s="107">
        <f t="shared" si="56"/>
        <v>-111348.25412410044</v>
      </c>
      <c r="BI45" s="111">
        <f t="shared" si="56"/>
        <v>-109365.33542854105</v>
      </c>
      <c r="BJ45" s="112">
        <f t="shared" si="56"/>
        <v>-124692.98724371888</v>
      </c>
    </row>
    <row r="46" spans="1:64" x14ac:dyDescent="0.25">
      <c r="A46" s="69" t="s">
        <v>7</v>
      </c>
      <c r="B46" s="107">
        <f t="shared" si="61"/>
        <v>0</v>
      </c>
      <c r="C46" s="111">
        <f t="shared" si="56"/>
        <v>0</v>
      </c>
      <c r="D46" s="111">
        <f t="shared" si="56"/>
        <v>0</v>
      </c>
      <c r="E46" s="111">
        <f t="shared" si="56"/>
        <v>0</v>
      </c>
      <c r="F46" s="111">
        <f t="shared" si="56"/>
        <v>0</v>
      </c>
      <c r="G46" s="111">
        <f t="shared" si="56"/>
        <v>-4867.8</v>
      </c>
      <c r="H46" s="111">
        <f t="shared" si="56"/>
        <v>-9168.5600000000013</v>
      </c>
      <c r="I46" s="111">
        <f t="shared" si="56"/>
        <v>-8265.5672024542127</v>
      </c>
      <c r="J46" s="111">
        <f t="shared" si="56"/>
        <v>-8316.2787585622791</v>
      </c>
      <c r="K46" s="111">
        <f t="shared" si="56"/>
        <v>-7378.56</v>
      </c>
      <c r="L46" s="111">
        <f t="shared" si="56"/>
        <v>-6146.6731166039754</v>
      </c>
      <c r="M46" s="111">
        <f t="shared" si="56"/>
        <v>-4777.3815174660513</v>
      </c>
      <c r="N46" s="111">
        <f t="shared" si="56"/>
        <v>-2049.3166664006667</v>
      </c>
      <c r="O46" s="111">
        <f t="shared" si="56"/>
        <v>-196274.45526870835</v>
      </c>
      <c r="P46" s="111">
        <f t="shared" si="56"/>
        <v>-158572.54665057128</v>
      </c>
      <c r="Q46" s="111">
        <f t="shared" si="56"/>
        <v>-175260.29741230787</v>
      </c>
      <c r="R46" s="111">
        <f t="shared" si="56"/>
        <v>-176113.52607059845</v>
      </c>
      <c r="S46" s="111">
        <f t="shared" si="56"/>
        <v>-202586.48661652688</v>
      </c>
      <c r="T46" s="111">
        <f t="shared" si="56"/>
        <v>-181774.18603032624</v>
      </c>
      <c r="U46" s="111">
        <f t="shared" si="56"/>
        <v>-206040.28940204179</v>
      </c>
      <c r="V46" s="111">
        <f t="shared" si="56"/>
        <v>-196080.56317417626</v>
      </c>
      <c r="W46" s="111">
        <f t="shared" si="56"/>
        <v>-193270.44845911989</v>
      </c>
      <c r="X46" s="111">
        <f t="shared" ref="X46:AH46" si="74">X19-X33</f>
        <v>-183327.18140369625</v>
      </c>
      <c r="Y46" s="111">
        <f t="shared" si="74"/>
        <v>-164307.36776755113</v>
      </c>
      <c r="Z46" s="111">
        <f t="shared" si="74"/>
        <v>-163134.57747194907</v>
      </c>
      <c r="AA46" s="111">
        <f t="shared" si="74"/>
        <v>-80306.607268475083</v>
      </c>
      <c r="AB46" s="111">
        <f t="shared" si="74"/>
        <v>8305.2410215153686</v>
      </c>
      <c r="AC46" s="111">
        <f t="shared" si="74"/>
        <v>10698.258633053718</v>
      </c>
      <c r="AD46" s="111">
        <f t="shared" si="74"/>
        <v>16900.587576688344</v>
      </c>
      <c r="AE46" s="111">
        <f t="shared" si="74"/>
        <v>55743.863806674082</v>
      </c>
      <c r="AF46" s="111">
        <f t="shared" si="74"/>
        <v>89211.152867682249</v>
      </c>
      <c r="AG46" s="111">
        <f t="shared" si="74"/>
        <v>65185.736677447916</v>
      </c>
      <c r="AH46" s="111">
        <f t="shared" si="74"/>
        <v>50265.565630534838</v>
      </c>
      <c r="AI46" s="111">
        <f t="shared" ref="AI46:AU46" si="75">AI19-AI33</f>
        <v>18978.573482252643</v>
      </c>
      <c r="AJ46" s="111">
        <f t="shared" si="75"/>
        <v>18573.189840982588</v>
      </c>
      <c r="AK46" s="111">
        <f t="shared" si="75"/>
        <v>26480.473258549871</v>
      </c>
      <c r="AL46" s="111">
        <f t="shared" si="75"/>
        <v>29746.95981046333</v>
      </c>
      <c r="AM46" s="111">
        <f t="shared" si="75"/>
        <v>6849.3911413641254</v>
      </c>
      <c r="AN46" s="111">
        <f t="shared" si="75"/>
        <v>-368.31330207322753</v>
      </c>
      <c r="AO46" s="111">
        <f t="shared" si="75"/>
        <v>-6118.5681690972779</v>
      </c>
      <c r="AP46" s="111">
        <f t="shared" si="75"/>
        <v>5025.7454848302732</v>
      </c>
      <c r="AQ46" s="111">
        <f t="shared" si="75"/>
        <v>119304.81950345435</v>
      </c>
      <c r="AR46" s="111">
        <f t="shared" si="75"/>
        <v>190161.95675502185</v>
      </c>
      <c r="AS46" s="111">
        <f t="shared" si="75"/>
        <v>152954.66039283545</v>
      </c>
      <c r="AT46" s="111">
        <f t="shared" si="75"/>
        <v>69283.064009947717</v>
      </c>
      <c r="AU46" s="111">
        <f t="shared" si="75"/>
        <v>-11932.929913396387</v>
      </c>
      <c r="AV46" s="111">
        <f t="shared" ref="AV46:BF46" si="76">AV19-AV33</f>
        <v>-10952.929065326825</v>
      </c>
      <c r="AW46" s="111">
        <f t="shared" si="76"/>
        <v>-5683.6754574721854</v>
      </c>
      <c r="AX46" s="111">
        <f t="shared" si="76"/>
        <v>-5207.2924779333189</v>
      </c>
      <c r="AY46" s="111">
        <f t="shared" si="76"/>
        <v>-11664.785018727831</v>
      </c>
      <c r="AZ46" s="111">
        <f t="shared" si="76"/>
        <v>16716.831134158565</v>
      </c>
      <c r="BA46" s="111">
        <f t="shared" si="76"/>
        <v>-44139.712667457257</v>
      </c>
      <c r="BB46" s="111">
        <f t="shared" si="76"/>
        <v>-44973.567245439408</v>
      </c>
      <c r="BC46" s="111">
        <f t="shared" si="76"/>
        <v>-11299.677842574869</v>
      </c>
      <c r="BD46" s="111">
        <f t="shared" si="76"/>
        <v>-50403.777431042647</v>
      </c>
      <c r="BE46" s="111">
        <f t="shared" si="76"/>
        <v>-51924.778274542303</v>
      </c>
      <c r="BF46" s="111">
        <f t="shared" si="76"/>
        <v>-52673.048419221035</v>
      </c>
      <c r="BG46" s="111">
        <f t="shared" ref="BG46" si="77">BG19-BG33</f>
        <v>-46395.596252741845</v>
      </c>
      <c r="BH46" s="107">
        <f t="shared" si="56"/>
        <v>-45872.30511775241</v>
      </c>
      <c r="BI46" s="111">
        <f t="shared" si="56"/>
        <v>-44794.719733774829</v>
      </c>
      <c r="BJ46" s="112">
        <f t="shared" si="56"/>
        <v>-48707.497694278994</v>
      </c>
    </row>
    <row r="47" spans="1:64" x14ac:dyDescent="0.25">
      <c r="B47" s="95"/>
      <c r="C47" s="96"/>
      <c r="D47" s="96"/>
      <c r="E47" s="96"/>
      <c r="F47" s="98"/>
      <c r="G47" s="98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5"/>
      <c r="BI47" s="96"/>
      <c r="BJ47" s="99"/>
    </row>
    <row r="48" spans="1:64" x14ac:dyDescent="0.25">
      <c r="A48" s="69" t="s">
        <v>70</v>
      </c>
      <c r="B48" s="95"/>
      <c r="C48" s="96"/>
      <c r="D48" s="96"/>
      <c r="E48" s="96"/>
      <c r="F48" s="98"/>
      <c r="G48" s="98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5"/>
      <c r="BI48" s="96"/>
      <c r="BJ48" s="99"/>
    </row>
    <row r="49" spans="1:62" x14ac:dyDescent="0.25">
      <c r="A49" s="69" t="s">
        <v>0</v>
      </c>
      <c r="B49" s="107">
        <f>B42</f>
        <v>0</v>
      </c>
      <c r="C49" s="111">
        <f>B49+C42+B56</f>
        <v>0</v>
      </c>
      <c r="D49" s="111">
        <f t="shared" ref="D49:J49" si="78">C49+D42+C56</f>
        <v>0</v>
      </c>
      <c r="E49" s="111">
        <f t="shared" si="78"/>
        <v>1328.78</v>
      </c>
      <c r="F49" s="111">
        <f>E49+F42+E56</f>
        <v>-1598.6244190201496</v>
      </c>
      <c r="G49" s="111">
        <f t="shared" si="78"/>
        <v>-72889.201277973625</v>
      </c>
      <c r="H49" s="111">
        <f t="shared" si="78"/>
        <v>-74771.654703242617</v>
      </c>
      <c r="I49" s="111">
        <f t="shared" si="78"/>
        <v>39734.074166899532</v>
      </c>
      <c r="J49" s="111">
        <f t="shared" si="78"/>
        <v>477370.42390444461</v>
      </c>
      <c r="K49" s="111">
        <f>J49+K42+J56</f>
        <v>431562.31245481368</v>
      </c>
      <c r="L49" s="111">
        <f t="shared" ref="L49:T53" si="79">K49+L42+K56</f>
        <v>480087.05520718865</v>
      </c>
      <c r="M49" s="111">
        <f t="shared" si="79"/>
        <v>573184.413171386</v>
      </c>
      <c r="N49" s="111">
        <f t="shared" si="79"/>
        <v>497102.38445415173</v>
      </c>
      <c r="O49" s="111">
        <f>N49+O42+N56+N66</f>
        <v>7059079.5573898349</v>
      </c>
      <c r="P49" s="111">
        <f t="shared" si="79"/>
        <v>6268761.3232822511</v>
      </c>
      <c r="Q49" s="111">
        <f t="shared" si="79"/>
        <v>5492802.0782051403</v>
      </c>
      <c r="R49" s="111">
        <f t="shared" si="79"/>
        <v>4763457.3514256906</v>
      </c>
      <c r="S49" s="111">
        <f t="shared" si="79"/>
        <v>4397332.6036118688</v>
      </c>
      <c r="T49" s="111">
        <f t="shared" si="79"/>
        <v>4018379.5880831173</v>
      </c>
      <c r="U49" s="111">
        <f t="shared" ref="U49:W49" si="80">T49+U42+T56</f>
        <v>3747933.0225202898</v>
      </c>
      <c r="V49" s="111">
        <f t="shared" si="80"/>
        <v>3327573.8571530953</v>
      </c>
      <c r="W49" s="111">
        <f t="shared" si="80"/>
        <v>2436581.0103825205</v>
      </c>
      <c r="X49" s="111">
        <f t="shared" ref="X49:X53" si="81">W49+X42+W56</f>
        <v>1787433.7308658608</v>
      </c>
      <c r="Y49" s="111">
        <f t="shared" ref="Y49:Y53" si="82">X49+Y42+X56</f>
        <v>1028397.6353625404</v>
      </c>
      <c r="Z49" s="111">
        <f t="shared" ref="Z49:Z53" si="83">Y49+Z42+Y56</f>
        <v>-393529.15715869819</v>
      </c>
      <c r="AA49" s="111">
        <f t="shared" ref="AA49:AA53" si="84">Z49+AA42+Z56</f>
        <v>-1267025.5161389071</v>
      </c>
      <c r="AB49" s="111">
        <f t="shared" ref="AB49:AB53" si="85">AA49+AB42+AA56</f>
        <v>-1916459.3040635744</v>
      </c>
      <c r="AC49" s="111">
        <f t="shared" ref="AC49:AC53" si="86">AB49+AC42+AB56</f>
        <v>-2731459.4503281913</v>
      </c>
      <c r="AD49" s="111">
        <f t="shared" ref="AD49:AD53" si="87">AC49+AD42+AC56</f>
        <v>-3125375.9372967808</v>
      </c>
      <c r="AE49" s="111">
        <f t="shared" ref="AE49:AE53" si="88">AD49+AE42+AD56</f>
        <v>-2407430.1779783783</v>
      </c>
      <c r="AF49" s="111">
        <f t="shared" ref="AF49:AF53" si="89">AE49+AF42+AE56</f>
        <v>-1182924.8358556251</v>
      </c>
      <c r="AG49" s="111">
        <f t="shared" ref="AG49:AG53" si="90">AF49+AG42+AF56</f>
        <v>103224.96943005276</v>
      </c>
      <c r="AH49" s="111">
        <f t="shared" ref="AH49:AH53" si="91">AG49+AH42+AG56</f>
        <v>374490.6818418958</v>
      </c>
      <c r="AI49" s="111">
        <f t="shared" ref="AI49:AI53" si="92">AH49+AI42+AH56</f>
        <v>-89096.729017842459</v>
      </c>
      <c r="AJ49" s="111">
        <f t="shared" ref="AJ49:AJ53" si="93">AI49+AJ42+AI56</f>
        <v>-526016.53208074765</v>
      </c>
      <c r="AK49" s="111">
        <f t="shared" ref="AK49:AK53" si="94">AJ49+AK42+AJ56</f>
        <v>-1144696.3701312046</v>
      </c>
      <c r="AL49" s="111">
        <f t="shared" ref="AL49:AL53" si="95">AK49+AL42+AK56</f>
        <v>-1904490.54588291</v>
      </c>
      <c r="AM49" s="111">
        <f t="shared" ref="AM49:AM53" si="96">AL49+AM42+AL56</f>
        <v>-2811368.7515850291</v>
      </c>
      <c r="AN49" s="111">
        <f t="shared" ref="AN49:AN53" si="97">AM49+AN42+AM56</f>
        <v>-3463007.5182515029</v>
      </c>
      <c r="AO49" s="111">
        <f t="shared" ref="AO49:AO53" si="98">AN49+AO42+AN56</f>
        <v>-3842261.6622114885</v>
      </c>
      <c r="AP49" s="111">
        <f t="shared" ref="AP49:AP53" si="99">AO49+AP42+AO56</f>
        <v>-4287498.142694599</v>
      </c>
      <c r="AQ49" s="111">
        <f t="shared" ref="AQ49:AQ53" si="100">AP49+AQ42+AP56</f>
        <v>-2645637.8764248076</v>
      </c>
      <c r="AR49" s="111">
        <f t="shared" ref="AR49:AR53" si="101">AQ49+AR42+AQ56</f>
        <v>-922268.12874052837</v>
      </c>
      <c r="AS49" s="111">
        <f>AR49+AS42+AR56</f>
        <v>952587.0936888305</v>
      </c>
      <c r="AT49" s="111">
        <f t="shared" ref="AT49:AT53" si="102">AS49+AT42+AS56</f>
        <v>1504698.1734546022</v>
      </c>
      <c r="AU49" s="111">
        <f t="shared" ref="AU49:AU53" si="103">AT49+AU42+AT56</f>
        <v>888251.91391034529</v>
      </c>
      <c r="AV49" s="111">
        <f t="shared" ref="AV49:AV53" si="104">AU49+AV42+AU56</f>
        <v>483746.79141940951</v>
      </c>
      <c r="AW49" s="111">
        <f t="shared" ref="AW49:AW53" si="105">AV49+AW42+AV56</f>
        <v>-102374.09378876926</v>
      </c>
      <c r="AX49" s="111">
        <f t="shared" ref="AX49:AX53" si="106">AW49+AX42+AW56</f>
        <v>-823431.32651503989</v>
      </c>
      <c r="AY49" s="111">
        <f t="shared" ref="AY49:AY53" si="107">AX49+AY42+AX56</f>
        <v>-2779025.8840414323</v>
      </c>
      <c r="AZ49" s="111">
        <f t="shared" ref="AZ49:AZ53" si="108">AY49+AZ42+AY56</f>
        <v>-2406778.172676248</v>
      </c>
      <c r="BA49" s="111">
        <f t="shared" ref="BA49:BA53" si="109">AZ49+BA42+AZ56</f>
        <v>-2504968.8115334688</v>
      </c>
      <c r="BB49" s="111">
        <f t="shared" ref="BB49:BB53" si="110">BA49+BB42+BA56</f>
        <v>-2592305.2745901523</v>
      </c>
      <c r="BC49" s="111">
        <f t="shared" ref="BC49:BC53" si="111">BB49+BC42+BB56</f>
        <v>-2703672.1462013088</v>
      </c>
      <c r="BD49" s="111">
        <f t="shared" ref="BD49:BD53" si="112">BC49+BD42+BC56</f>
        <v>-2852867.6918747979</v>
      </c>
      <c r="BE49" s="111">
        <f t="shared" ref="BE49:BE53" si="113">BD49+BE42+BD56</f>
        <v>-2992942.5452456693</v>
      </c>
      <c r="BF49" s="111">
        <f t="shared" ref="BF49:BG53" si="114">BE49+BF42+BE56</f>
        <v>-3119259.9146893327</v>
      </c>
      <c r="BG49" s="111">
        <f t="shared" si="114"/>
        <v>-3205015.8657275694</v>
      </c>
      <c r="BH49" s="107">
        <f>BG49+BH42+BG56</f>
        <v>-3295309.7543812343</v>
      </c>
      <c r="BI49" s="111">
        <f t="shared" ref="BI49:BJ53" si="115">BH49+BI42+BH56</f>
        <v>-3425087.6908942768</v>
      </c>
      <c r="BJ49" s="112">
        <f>BI49+BJ42+BI56</f>
        <v>-3586427.278192271</v>
      </c>
    </row>
    <row r="50" spans="1:62" x14ac:dyDescent="0.25">
      <c r="A50" s="69" t="s">
        <v>4</v>
      </c>
      <c r="B50" s="107">
        <f>B43</f>
        <v>0</v>
      </c>
      <c r="C50" s="111">
        <f t="shared" ref="C50:K53" si="116">B50+C43+B57</f>
        <v>0</v>
      </c>
      <c r="D50" s="111">
        <f t="shared" si="116"/>
        <v>0</v>
      </c>
      <c r="E50" s="111">
        <f t="shared" si="116"/>
        <v>0</v>
      </c>
      <c r="F50" s="111">
        <f t="shared" si="116"/>
        <v>-856.28</v>
      </c>
      <c r="G50" s="111">
        <f t="shared" si="116"/>
        <v>-9108.1493094052694</v>
      </c>
      <c r="H50" s="111">
        <f t="shared" si="116"/>
        <v>-10515.013171315071</v>
      </c>
      <c r="I50" s="111">
        <f t="shared" si="116"/>
        <v>-10585.789928731692</v>
      </c>
      <c r="J50" s="111">
        <f t="shared" si="116"/>
        <v>-2164.588866362868</v>
      </c>
      <c r="K50" s="111">
        <f t="shared" si="116"/>
        <v>9451.6384167163123</v>
      </c>
      <c r="L50" s="111">
        <f t="shared" si="79"/>
        <v>26503.674394898997</v>
      </c>
      <c r="M50" s="111">
        <f t="shared" si="79"/>
        <v>51347.547362095989</v>
      </c>
      <c r="N50" s="111">
        <f t="shared" si="79"/>
        <v>71629.151896592753</v>
      </c>
      <c r="O50" s="111">
        <f t="shared" ref="O50:O53" si="117">N50+O43+N57+N67</f>
        <v>638255.6354897815</v>
      </c>
      <c r="P50" s="111">
        <f t="shared" si="79"/>
        <v>563071.35837865644</v>
      </c>
      <c r="Q50" s="111">
        <f t="shared" si="79"/>
        <v>471806.4084003343</v>
      </c>
      <c r="R50" s="111">
        <f t="shared" si="79"/>
        <v>404130.33175313944</v>
      </c>
      <c r="S50" s="111">
        <f t="shared" si="79"/>
        <v>355927.98548546172</v>
      </c>
      <c r="T50" s="111">
        <f t="shared" si="79"/>
        <v>334377.63094079035</v>
      </c>
      <c r="U50" s="111">
        <f t="shared" ref="U50:W50" si="118">T50+U43+T57</f>
        <v>306050.0085256467</v>
      </c>
      <c r="V50" s="111">
        <f t="shared" si="118"/>
        <v>312700.80163960956</v>
      </c>
      <c r="W50" s="111">
        <f t="shared" si="118"/>
        <v>292048.83638828801</v>
      </c>
      <c r="X50" s="111">
        <f t="shared" si="81"/>
        <v>257863.85020591295</v>
      </c>
      <c r="Y50" s="111">
        <f t="shared" si="82"/>
        <v>250514.8124065056</v>
      </c>
      <c r="Z50" s="111">
        <f t="shared" si="83"/>
        <v>208291.52738561531</v>
      </c>
      <c r="AA50" s="111">
        <f t="shared" si="84"/>
        <v>2587.4441417271241</v>
      </c>
      <c r="AB50" s="111">
        <f t="shared" si="85"/>
        <v>-131132.45483250215</v>
      </c>
      <c r="AC50" s="111">
        <f t="shared" si="86"/>
        <v>-235878.51104629369</v>
      </c>
      <c r="AD50" s="111">
        <f t="shared" si="87"/>
        <v>-240546.99193878003</v>
      </c>
      <c r="AE50" s="111">
        <f t="shared" si="88"/>
        <v>-180369.06784692823</v>
      </c>
      <c r="AF50" s="111">
        <f t="shared" si="89"/>
        <v>-31062.982411260153</v>
      </c>
      <c r="AG50" s="111">
        <f t="shared" si="90"/>
        <v>81517.565854171829</v>
      </c>
      <c r="AH50" s="111">
        <f t="shared" si="91"/>
        <v>238926.34277832284</v>
      </c>
      <c r="AI50" s="111">
        <f t="shared" si="92"/>
        <v>289784.1691281735</v>
      </c>
      <c r="AJ50" s="111">
        <f t="shared" si="93"/>
        <v>338163.34018890088</v>
      </c>
      <c r="AK50" s="111">
        <f t="shared" si="94"/>
        <v>365688.26493505068</v>
      </c>
      <c r="AL50" s="111">
        <f t="shared" si="95"/>
        <v>371857.33573556715</v>
      </c>
      <c r="AM50" s="111">
        <f t="shared" si="96"/>
        <v>-12723.48171093249</v>
      </c>
      <c r="AN50" s="111">
        <f t="shared" si="97"/>
        <v>-246884.62625157429</v>
      </c>
      <c r="AO50" s="111">
        <f t="shared" si="98"/>
        <v>-353909.18663733534</v>
      </c>
      <c r="AP50" s="111">
        <f t="shared" si="99"/>
        <v>-435491.06321355916</v>
      </c>
      <c r="AQ50" s="111">
        <f t="shared" si="100"/>
        <v>-316714.0683639092</v>
      </c>
      <c r="AR50" s="111">
        <f t="shared" si="101"/>
        <v>-86822.361834093332</v>
      </c>
      <c r="AS50" s="111">
        <f t="shared" ref="AS50:AS53" si="119">AR50+AS43+AR57</f>
        <v>-46402.988628418861</v>
      </c>
      <c r="AT50" s="111">
        <f t="shared" si="102"/>
        <v>48311.147915077519</v>
      </c>
      <c r="AU50" s="111">
        <f t="shared" si="103"/>
        <v>-33591.544241953248</v>
      </c>
      <c r="AV50" s="111">
        <f t="shared" si="104"/>
        <v>-128856.08801041653</v>
      </c>
      <c r="AW50" s="111">
        <f t="shared" si="105"/>
        <v>-383131.99297911063</v>
      </c>
      <c r="AX50" s="111">
        <f t="shared" si="106"/>
        <v>-609227.0498232157</v>
      </c>
      <c r="AY50" s="111">
        <f t="shared" si="107"/>
        <v>-676406.95452350564</v>
      </c>
      <c r="AZ50" s="111">
        <f t="shared" si="108"/>
        <v>-376196.94165261614</v>
      </c>
      <c r="BA50" s="111">
        <f t="shared" si="109"/>
        <v>-441597.49241931847</v>
      </c>
      <c r="BB50" s="111">
        <f t="shared" si="110"/>
        <v>-501246.79662510421</v>
      </c>
      <c r="BC50" s="111">
        <f t="shared" si="111"/>
        <v>-575135.65836256125</v>
      </c>
      <c r="BD50" s="111">
        <f t="shared" si="112"/>
        <v>-667214.42283659405</v>
      </c>
      <c r="BE50" s="111">
        <f t="shared" si="113"/>
        <v>-757902.84137518436</v>
      </c>
      <c r="BF50" s="111">
        <f t="shared" si="114"/>
        <v>-844035.21184879926</v>
      </c>
      <c r="BG50" s="111">
        <f t="shared" si="114"/>
        <v>-913984.88237177802</v>
      </c>
      <c r="BH50" s="107">
        <f t="shared" ref="BH50:BH53" si="120">BG50+BH43+BG57</f>
        <v>-982026.91981690307</v>
      </c>
      <c r="BI50" s="111">
        <f t="shared" si="115"/>
        <v>-1061004.9584135963</v>
      </c>
      <c r="BJ50" s="112">
        <f t="shared" si="115"/>
        <v>-1155546.206178993</v>
      </c>
    </row>
    <row r="51" spans="1:62" x14ac:dyDescent="0.25">
      <c r="A51" s="69" t="s">
        <v>5</v>
      </c>
      <c r="B51" s="107">
        <f>B44</f>
        <v>0</v>
      </c>
      <c r="C51" s="111">
        <f t="shared" si="116"/>
        <v>0</v>
      </c>
      <c r="D51" s="111">
        <f t="shared" si="116"/>
        <v>0</v>
      </c>
      <c r="E51" s="111">
        <f t="shared" si="116"/>
        <v>0</v>
      </c>
      <c r="F51" s="111">
        <f t="shared" si="116"/>
        <v>-2460.2199999999998</v>
      </c>
      <c r="G51" s="111">
        <f t="shared" si="116"/>
        <v>-36219.819516262236</v>
      </c>
      <c r="H51" s="111">
        <f t="shared" si="116"/>
        <v>-57878.563907761454</v>
      </c>
      <c r="I51" s="111">
        <f t="shared" si="116"/>
        <v>-70233.517115907176</v>
      </c>
      <c r="J51" s="111">
        <f t="shared" si="116"/>
        <v>-59570.684275807507</v>
      </c>
      <c r="K51" s="111">
        <f t="shared" si="116"/>
        <v>-51891.917000093345</v>
      </c>
      <c r="L51" s="111">
        <f t="shared" si="79"/>
        <v>-32771.806515976568</v>
      </c>
      <c r="M51" s="111">
        <f t="shared" si="79"/>
        <v>4895.89825326148</v>
      </c>
      <c r="N51" s="111">
        <f t="shared" si="79"/>
        <v>39555.656677335573</v>
      </c>
      <c r="O51" s="111">
        <f t="shared" si="117"/>
        <v>703373.82085929299</v>
      </c>
      <c r="P51" s="111">
        <f t="shared" si="79"/>
        <v>507920.21981618949</v>
      </c>
      <c r="Q51" s="111">
        <f t="shared" si="79"/>
        <v>275518.06432449399</v>
      </c>
      <c r="R51" s="111">
        <f t="shared" si="79"/>
        <v>71790.554017393588</v>
      </c>
      <c r="S51" s="111">
        <f t="shared" si="79"/>
        <v>-51045.360133160662</v>
      </c>
      <c r="T51" s="111">
        <f t="shared" si="79"/>
        <v>-96700.705875441898</v>
      </c>
      <c r="U51" s="111">
        <f t="shared" ref="U51:W51" si="121">T51+U44+T58</f>
        <v>-155085.5360016145</v>
      </c>
      <c r="V51" s="111">
        <f t="shared" si="121"/>
        <v>-161450.23705359013</v>
      </c>
      <c r="W51" s="111">
        <f t="shared" si="121"/>
        <v>-277631.44623303815</v>
      </c>
      <c r="X51" s="111">
        <f t="shared" si="81"/>
        <v>-347261.54291952791</v>
      </c>
      <c r="Y51" s="111">
        <f t="shared" si="82"/>
        <v>-402348.47018666536</v>
      </c>
      <c r="Z51" s="111">
        <f t="shared" si="83"/>
        <v>-473351.00347151689</v>
      </c>
      <c r="AA51" s="111">
        <f t="shared" si="84"/>
        <v>-752227.56520683004</v>
      </c>
      <c r="AB51" s="111">
        <f t="shared" si="85"/>
        <v>-947926.98911930155</v>
      </c>
      <c r="AC51" s="111">
        <f t="shared" si="86"/>
        <v>-1130714.7610793572</v>
      </c>
      <c r="AD51" s="111">
        <f t="shared" si="87"/>
        <v>-1198504.9585795135</v>
      </c>
      <c r="AE51" s="111">
        <f t="shared" si="88"/>
        <v>-937500.29666217696</v>
      </c>
      <c r="AF51" s="111">
        <f t="shared" si="89"/>
        <v>-403488.42799874971</v>
      </c>
      <c r="AG51" s="111">
        <f t="shared" si="90"/>
        <v>-759.73777483798847</v>
      </c>
      <c r="AH51" s="111">
        <f t="shared" si="91"/>
        <v>395017.76096114761</v>
      </c>
      <c r="AI51" s="111">
        <f t="shared" si="92"/>
        <v>381431.35919534136</v>
      </c>
      <c r="AJ51" s="111">
        <f t="shared" si="93"/>
        <v>383957.1702719233</v>
      </c>
      <c r="AK51" s="111">
        <f t="shared" si="94"/>
        <v>427930.25106277433</v>
      </c>
      <c r="AL51" s="111">
        <f t="shared" si="95"/>
        <v>497945.17510218394</v>
      </c>
      <c r="AM51" s="111">
        <f t="shared" si="96"/>
        <v>-17312.836870949657</v>
      </c>
      <c r="AN51" s="111">
        <f t="shared" si="97"/>
        <v>-282743.75033470255</v>
      </c>
      <c r="AO51" s="111">
        <f t="shared" si="98"/>
        <v>-470072.21592814883</v>
      </c>
      <c r="AP51" s="111">
        <f t="shared" si="99"/>
        <v>-720810.90273798781</v>
      </c>
      <c r="AQ51" s="111">
        <f t="shared" si="100"/>
        <v>-112280.38781184831</v>
      </c>
      <c r="AR51" s="111">
        <f t="shared" si="101"/>
        <v>852455.5519792285</v>
      </c>
      <c r="AS51" s="111">
        <f t="shared" si="119"/>
        <v>1461745.4278097481</v>
      </c>
      <c r="AT51" s="111">
        <f t="shared" si="102"/>
        <v>1902974.9832573186</v>
      </c>
      <c r="AU51" s="111">
        <f t="shared" si="103"/>
        <v>1639187.7222627779</v>
      </c>
      <c r="AV51" s="111">
        <f t="shared" si="104"/>
        <v>1383870.6278719525</v>
      </c>
      <c r="AW51" s="111">
        <f t="shared" si="105"/>
        <v>1110483.8761677758</v>
      </c>
      <c r="AX51" s="111">
        <f t="shared" si="106"/>
        <v>835034.43073992664</v>
      </c>
      <c r="AY51" s="111">
        <f t="shared" si="107"/>
        <v>735080.57486550219</v>
      </c>
      <c r="AZ51" s="111">
        <f t="shared" si="108"/>
        <v>1135426.7915629311</v>
      </c>
      <c r="BA51" s="111">
        <f t="shared" si="109"/>
        <v>871302.94424645999</v>
      </c>
      <c r="BB51" s="111">
        <f t="shared" si="110"/>
        <v>624882.54144883214</v>
      </c>
      <c r="BC51" s="111">
        <f t="shared" si="111"/>
        <v>340621.19375121227</v>
      </c>
      <c r="BD51" s="111">
        <f t="shared" si="112"/>
        <v>17283.031025540346</v>
      </c>
      <c r="BE51" s="111">
        <f t="shared" si="113"/>
        <v>-306745.89054346905</v>
      </c>
      <c r="BF51" s="111">
        <f t="shared" si="114"/>
        <v>-635177.25418638729</v>
      </c>
      <c r="BG51" s="111">
        <f t="shared" si="114"/>
        <v>-921566.34999046219</v>
      </c>
      <c r="BH51" s="107">
        <f t="shared" si="120"/>
        <v>-1195249.9957543619</v>
      </c>
      <c r="BI51" s="111">
        <f t="shared" si="115"/>
        <v>-1477969.6539117405</v>
      </c>
      <c r="BJ51" s="112">
        <f t="shared" si="115"/>
        <v>-1803012.1238361064</v>
      </c>
    </row>
    <row r="52" spans="1:62" x14ac:dyDescent="0.25">
      <c r="A52" s="69" t="s">
        <v>6</v>
      </c>
      <c r="B52" s="107">
        <f>B45</f>
        <v>0</v>
      </c>
      <c r="C52" s="111">
        <f t="shared" si="116"/>
        <v>0</v>
      </c>
      <c r="D52" s="111">
        <f t="shared" si="116"/>
        <v>0</v>
      </c>
      <c r="E52" s="111">
        <f t="shared" si="116"/>
        <v>0</v>
      </c>
      <c r="F52" s="111">
        <f t="shared" si="116"/>
        <v>-1621.85</v>
      </c>
      <c r="G52" s="111">
        <f t="shared" si="116"/>
        <v>-16509.701487082417</v>
      </c>
      <c r="H52" s="111">
        <f t="shared" si="116"/>
        <v>-34144.638478128072</v>
      </c>
      <c r="I52" s="111">
        <f t="shared" si="116"/>
        <v>-50790.526457518958</v>
      </c>
      <c r="J52" s="111">
        <f t="shared" si="116"/>
        <v>-66496.828907146817</v>
      </c>
      <c r="K52" s="111">
        <f t="shared" si="116"/>
        <v>-79530.551985785307</v>
      </c>
      <c r="L52" s="111">
        <f t="shared" si="79"/>
        <v>-88796.749619868409</v>
      </c>
      <c r="M52" s="111">
        <f t="shared" si="79"/>
        <v>-87480.996495748521</v>
      </c>
      <c r="N52" s="111">
        <f t="shared" si="79"/>
        <v>-91546.231205114644</v>
      </c>
      <c r="O52" s="111">
        <f t="shared" si="117"/>
        <v>2081846.2590741315</v>
      </c>
      <c r="P52" s="111">
        <f t="shared" si="79"/>
        <v>1845847.454441125</v>
      </c>
      <c r="Q52" s="111">
        <f t="shared" si="79"/>
        <v>1576646.4194083158</v>
      </c>
      <c r="R52" s="111">
        <f t="shared" si="79"/>
        <v>1318804.643309233</v>
      </c>
      <c r="S52" s="111">
        <f t="shared" si="79"/>
        <v>1117806.8734182979</v>
      </c>
      <c r="T52" s="111">
        <f t="shared" si="79"/>
        <v>971608.66123462783</v>
      </c>
      <c r="U52" s="111">
        <f t="shared" ref="U52:W52" si="122">T52+U45+T59</f>
        <v>850193.92688495095</v>
      </c>
      <c r="V52" s="111">
        <f t="shared" si="122"/>
        <v>728012.0826458144</v>
      </c>
      <c r="W52" s="111">
        <f t="shared" si="122"/>
        <v>508624.89926063287</v>
      </c>
      <c r="X52" s="111">
        <f t="shared" si="81"/>
        <v>318234.6216098913</v>
      </c>
      <c r="Y52" s="111">
        <f t="shared" si="82"/>
        <v>130612.05513810283</v>
      </c>
      <c r="Z52" s="111">
        <f t="shared" si="83"/>
        <v>-69698.409906095971</v>
      </c>
      <c r="AA52" s="111">
        <f t="shared" si="84"/>
        <v>-256136.61650971207</v>
      </c>
      <c r="AB52" s="111">
        <f t="shared" si="85"/>
        <v>-426402.1501561997</v>
      </c>
      <c r="AC52" s="111">
        <f t="shared" si="86"/>
        <v>-572510.60830171988</v>
      </c>
      <c r="AD52" s="111">
        <f t="shared" si="87"/>
        <v>-715879.32992366771</v>
      </c>
      <c r="AE52" s="111">
        <f t="shared" si="88"/>
        <v>-643950.46998195408</v>
      </c>
      <c r="AF52" s="111">
        <f t="shared" si="89"/>
        <v>-463539.85884454614</v>
      </c>
      <c r="AG52" s="111">
        <f t="shared" si="90"/>
        <v>-334216.17303902586</v>
      </c>
      <c r="AH52" s="111">
        <f t="shared" si="91"/>
        <v>-267360.99974336807</v>
      </c>
      <c r="AI52" s="111">
        <f t="shared" si="92"/>
        <v>-385628.33971125179</v>
      </c>
      <c r="AJ52" s="111">
        <f t="shared" si="93"/>
        <v>-496695.71678515419</v>
      </c>
      <c r="AK52" s="111">
        <f t="shared" si="94"/>
        <v>-597319.01268990769</v>
      </c>
      <c r="AL52" s="111">
        <f t="shared" si="95"/>
        <v>-643720.6899994422</v>
      </c>
      <c r="AM52" s="111">
        <f t="shared" si="96"/>
        <v>-780085.7836242317</v>
      </c>
      <c r="AN52" s="111">
        <f t="shared" si="97"/>
        <v>-828583.52734102739</v>
      </c>
      <c r="AO52" s="111">
        <f t="shared" si="98"/>
        <v>-884846.67575227225</v>
      </c>
      <c r="AP52" s="111">
        <f t="shared" si="99"/>
        <v>-930635.60227449634</v>
      </c>
      <c r="AQ52" s="111">
        <f t="shared" si="100"/>
        <v>-534426.34913138498</v>
      </c>
      <c r="AR52" s="111">
        <f t="shared" si="101"/>
        <v>47386.194089306096</v>
      </c>
      <c r="AS52" s="111">
        <f t="shared" si="119"/>
        <v>507311.47374724632</v>
      </c>
      <c r="AT52" s="111">
        <f t="shared" si="102"/>
        <v>782444.66956574901</v>
      </c>
      <c r="AU52" s="111">
        <f t="shared" si="103"/>
        <v>723192.77054165432</v>
      </c>
      <c r="AV52" s="111">
        <f t="shared" si="104"/>
        <v>651526.63161094894</v>
      </c>
      <c r="AW52" s="111">
        <f t="shared" si="105"/>
        <v>571907.7494890067</v>
      </c>
      <c r="AX52" s="111">
        <f t="shared" si="106"/>
        <v>511730.76528782677</v>
      </c>
      <c r="AY52" s="111">
        <f t="shared" si="107"/>
        <v>473987.47264326504</v>
      </c>
      <c r="AZ52" s="111">
        <f t="shared" si="108"/>
        <v>627752.55611814419</v>
      </c>
      <c r="BA52" s="111">
        <f t="shared" si="109"/>
        <v>510121.56395389372</v>
      </c>
      <c r="BB52" s="111">
        <f t="shared" si="110"/>
        <v>398499.79211805959</v>
      </c>
      <c r="BC52" s="111">
        <f t="shared" si="111"/>
        <v>268416.9421755959</v>
      </c>
      <c r="BD52" s="111">
        <f t="shared" si="112"/>
        <v>131494.1776187979</v>
      </c>
      <c r="BE52" s="111">
        <f t="shared" si="113"/>
        <v>4762.54852012435</v>
      </c>
      <c r="BF52" s="111">
        <f t="shared" si="114"/>
        <v>-119475.29584370842</v>
      </c>
      <c r="BG52" s="111">
        <f t="shared" si="114"/>
        <v>-240364.88322925085</v>
      </c>
      <c r="BH52" s="107">
        <f t="shared" si="120"/>
        <v>-351753.19816722284</v>
      </c>
      <c r="BI52" s="111">
        <f t="shared" si="115"/>
        <v>-461177.15912879177</v>
      </c>
      <c r="BJ52" s="112">
        <f t="shared" si="115"/>
        <v>-585947.00923236541</v>
      </c>
    </row>
    <row r="53" spans="1:62" x14ac:dyDescent="0.25">
      <c r="A53" s="69" t="s">
        <v>7</v>
      </c>
      <c r="B53" s="107">
        <f>B46</f>
        <v>0</v>
      </c>
      <c r="C53" s="111">
        <f t="shared" si="116"/>
        <v>0</v>
      </c>
      <c r="D53" s="111">
        <f t="shared" si="116"/>
        <v>0</v>
      </c>
      <c r="E53" s="111">
        <f t="shared" si="116"/>
        <v>0</v>
      </c>
      <c r="F53" s="111">
        <f t="shared" si="116"/>
        <v>0</v>
      </c>
      <c r="G53" s="111">
        <f t="shared" si="116"/>
        <v>-4867.8</v>
      </c>
      <c r="H53" s="111">
        <f t="shared" si="116"/>
        <v>-14038.900675193001</v>
      </c>
      <c r="I53" s="111">
        <f t="shared" si="116"/>
        <v>-22311.827104478401</v>
      </c>
      <c r="J53" s="111">
        <f t="shared" si="116"/>
        <v>-30642.321583375648</v>
      </c>
      <c r="K53" s="111">
        <f t="shared" si="116"/>
        <v>-38040.172456928456</v>
      </c>
      <c r="L53" s="111">
        <f t="shared" si="79"/>
        <v>-44210.943071779584</v>
      </c>
      <c r="M53" s="111">
        <f t="shared" si="79"/>
        <v>-49016.477565156951</v>
      </c>
      <c r="N53" s="111">
        <f t="shared" si="79"/>
        <v>-51105.097440540201</v>
      </c>
      <c r="O53" s="111">
        <f t="shared" si="117"/>
        <v>1630868.1184676711</v>
      </c>
      <c r="P53" s="111">
        <f t="shared" si="79"/>
        <v>1473518.7229059506</v>
      </c>
      <c r="Q53" s="111">
        <f t="shared" si="79"/>
        <v>1299670.5476030943</v>
      </c>
      <c r="R53" s="111">
        <f t="shared" si="79"/>
        <v>1124802.5391406154</v>
      </c>
      <c r="S53" s="111">
        <f t="shared" si="79"/>
        <v>923293.98829076497</v>
      </c>
      <c r="T53" s="111">
        <f t="shared" si="79"/>
        <v>742604.6726966803</v>
      </c>
      <c r="U53" s="111">
        <f t="shared" ref="U53:W53" si="123">T53+U46+T60</f>
        <v>537425.71188938257</v>
      </c>
      <c r="V53" s="111">
        <f t="shared" si="123"/>
        <v>342002.14089947683</v>
      </c>
      <c r="W53" s="111">
        <f t="shared" si="123"/>
        <v>149144.45368420138</v>
      </c>
      <c r="X53" s="111">
        <f t="shared" si="81"/>
        <v>-34002.408346379329</v>
      </c>
      <c r="Y53" s="111">
        <f t="shared" si="82"/>
        <v>-198350.66029520385</v>
      </c>
      <c r="Z53" s="111">
        <f t="shared" si="83"/>
        <v>-361778.39029082848</v>
      </c>
      <c r="AA53" s="111">
        <f t="shared" si="84"/>
        <v>-442602.15554747637</v>
      </c>
      <c r="AB53" s="111">
        <f t="shared" si="85"/>
        <v>-434970.98506846535</v>
      </c>
      <c r="AC53" s="111">
        <f t="shared" si="86"/>
        <v>-425017.23219782615</v>
      </c>
      <c r="AD53" s="111">
        <f t="shared" si="87"/>
        <v>-408935.22639362671</v>
      </c>
      <c r="AE53" s="111">
        <f t="shared" si="88"/>
        <v>-353940.66652955109</v>
      </c>
      <c r="AF53" s="111">
        <f t="shared" si="89"/>
        <v>-265401.8714449812</v>
      </c>
      <c r="AG53" s="111">
        <f t="shared" si="90"/>
        <v>-200735.25397186464</v>
      </c>
      <c r="AH53" s="111">
        <f t="shared" si="91"/>
        <v>-150858.68750250302</v>
      </c>
      <c r="AI53" s="111">
        <f t="shared" si="92"/>
        <v>-132172.90081238639</v>
      </c>
      <c r="AJ53" s="111">
        <f t="shared" si="93"/>
        <v>-113870.38047532387</v>
      </c>
      <c r="AK53" s="111">
        <f t="shared" si="94"/>
        <v>-87629.710267128394</v>
      </c>
      <c r="AL53" s="111">
        <f t="shared" si="95"/>
        <v>-58083.902923063324</v>
      </c>
      <c r="AM53" s="111">
        <f t="shared" si="96"/>
        <v>-51373.414353198197</v>
      </c>
      <c r="AN53" s="111">
        <f t="shared" si="97"/>
        <v>-51863.328141744838</v>
      </c>
      <c r="AO53" s="111">
        <f t="shared" si="98"/>
        <v>-58102.384114295011</v>
      </c>
      <c r="AP53" s="111">
        <f t="shared" si="99"/>
        <v>-53205.542351602657</v>
      </c>
      <c r="AQ53" s="111">
        <f t="shared" si="100"/>
        <v>65980.568448454986</v>
      </c>
      <c r="AR53" s="111">
        <f t="shared" si="101"/>
        <v>256288.23542621083</v>
      </c>
      <c r="AS53" s="111">
        <f t="shared" si="119"/>
        <v>409797.0911500231</v>
      </c>
      <c r="AT53" s="111">
        <f t="shared" si="102"/>
        <v>479883.08084558829</v>
      </c>
      <c r="AU53" s="111">
        <f t="shared" si="103"/>
        <v>468836.68293672038</v>
      </c>
      <c r="AV53" s="111">
        <f t="shared" si="104"/>
        <v>458709.66126042174</v>
      </c>
      <c r="AW53" s="111">
        <f t="shared" si="105"/>
        <v>453720.16221881838</v>
      </c>
      <c r="AX53" s="111">
        <f t="shared" si="106"/>
        <v>449237.00674168614</v>
      </c>
      <c r="AY53" s="111">
        <f t="shared" si="107"/>
        <v>438279.42484480963</v>
      </c>
      <c r="AZ53" s="111">
        <f t="shared" si="108"/>
        <v>455654.98374555144</v>
      </c>
      <c r="BA53" s="111">
        <f t="shared" si="109"/>
        <v>412232.39304231253</v>
      </c>
      <c r="BB53" s="111">
        <f t="shared" si="110"/>
        <v>367581.21213985188</v>
      </c>
      <c r="BC53" s="111">
        <f t="shared" si="111"/>
        <v>356321.06980086636</v>
      </c>
      <c r="BD53" s="111">
        <f t="shared" si="112"/>
        <v>305954.59651342384</v>
      </c>
      <c r="BE53" s="111">
        <f t="shared" si="113"/>
        <v>254079.19497640201</v>
      </c>
      <c r="BF53" s="111">
        <f t="shared" si="114"/>
        <v>201435.06606288583</v>
      </c>
      <c r="BG53" s="111">
        <f t="shared" si="114"/>
        <v>155060.27066651586</v>
      </c>
      <c r="BH53" s="107">
        <f t="shared" si="120"/>
        <v>109213.80892720788</v>
      </c>
      <c r="BI53" s="111">
        <f t="shared" si="115"/>
        <v>64437.291494920915</v>
      </c>
      <c r="BJ53" s="112">
        <f t="shared" si="115"/>
        <v>15740.533349224408</v>
      </c>
    </row>
    <row r="54" spans="1:62" x14ac:dyDescent="0.25">
      <c r="B54" s="95"/>
      <c r="C54" s="96"/>
      <c r="D54" s="96"/>
      <c r="E54" s="96"/>
      <c r="F54" s="98"/>
      <c r="G54" s="98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5"/>
      <c r="BI54" s="96"/>
      <c r="BJ54" s="99"/>
    </row>
    <row r="55" spans="1:62" x14ac:dyDescent="0.25">
      <c r="A55" s="69" t="s">
        <v>65</v>
      </c>
      <c r="B55" s="120">
        <f>'PCR (M2)'!B67</f>
        <v>0</v>
      </c>
      <c r="C55" s="121">
        <f>'PCR (M2)'!C67</f>
        <v>0</v>
      </c>
      <c r="D55" s="121">
        <f>'PCR (M2)'!D67</f>
        <v>6.0997666666666656E-4</v>
      </c>
      <c r="E55" s="121">
        <f>'PCR (M2)'!E67</f>
        <v>6.2130750000000004E-4</v>
      </c>
      <c r="F55" s="121">
        <f>'PCR (M2)'!F67</f>
        <v>6.2982833333333329E-4</v>
      </c>
      <c r="G55" s="208">
        <f>'PCR (M2)'!G67</f>
        <v>5.2193500000000006E-4</v>
      </c>
      <c r="H55" s="121">
        <f>'PCR (M2)'!H67</f>
        <v>5.2420250000000004E-4</v>
      </c>
      <c r="I55" s="121">
        <f>'PCR (M2)'!I67</f>
        <v>6.3713833333333325E-4</v>
      </c>
      <c r="J55" s="121">
        <f>'PCR (M2)'!J67</f>
        <v>6.2954999999999999E-4</v>
      </c>
      <c r="K55" s="122">
        <f>'PCR (M2)'!K67</f>
        <v>6.3347499999999999E-4</v>
      </c>
      <c r="L55" s="122">
        <f>'PCR (M2)'!L67</f>
        <v>6.3678749999999994E-4</v>
      </c>
      <c r="M55" s="122">
        <f>'PCR (M2)'!M67</f>
        <v>8.0183666666666664E-4</v>
      </c>
      <c r="N55" s="122">
        <f>'PCR (M2)'!N67</f>
        <v>7.5000000000000012E-4</v>
      </c>
      <c r="O55" s="122">
        <f>'PCR (M2)'!O67</f>
        <v>7.5000000000000012E-4</v>
      </c>
      <c r="P55" s="122">
        <f>'PCR (M2)'!P67</f>
        <v>9.5833333333333328E-4</v>
      </c>
      <c r="Q55" s="122">
        <f>'PCR (M2)'!Q67</f>
        <v>9.5833333333333328E-4</v>
      </c>
      <c r="R55" s="122">
        <f>'PCR (M2)'!R67</f>
        <v>9.5833333333333328E-4</v>
      </c>
      <c r="S55" s="122">
        <f>'PCR (M2)'!S67</f>
        <v>1.175E-3</v>
      </c>
      <c r="T55" s="122">
        <f>'PCR (M2)'!T67</f>
        <v>1.1598750000000001E-3</v>
      </c>
      <c r="U55" s="122">
        <f>'PCR (M2)'!U67</f>
        <v>1.22248E-3</v>
      </c>
      <c r="V55" s="122">
        <f>'PCR (M2)'!V67</f>
        <v>1.2068966666666666E-3</v>
      </c>
      <c r="W55" s="122">
        <f>'PCR (M2)'!W67</f>
        <v>1.2090250000000001E-3</v>
      </c>
      <c r="X55" s="122">
        <f>'PCR (M2)'!X67</f>
        <v>1.2023907500000001E-3</v>
      </c>
      <c r="Y55" s="122">
        <f>'PCR (M2)'!Y67</f>
        <v>1.4779508333333333E-3</v>
      </c>
      <c r="Z55" s="122">
        <f>'PCR (M2)'!Z67</f>
        <v>1.4294883333333334E-3</v>
      </c>
      <c r="AA55" s="122">
        <f>'PCR (M2)'!AA67</f>
        <v>1.5229716666666667E-3</v>
      </c>
      <c r="AB55" s="122">
        <f>'PCR (M2)'!AB67</f>
        <v>1.7116216666666665E-3</v>
      </c>
      <c r="AC55" s="122">
        <f>'PCR (M2)'!AC67</f>
        <v>1.9259966666666664E-3</v>
      </c>
      <c r="AD55" s="122">
        <f>'PCR (M2)'!AD67</f>
        <v>1.8323291666666665E-3</v>
      </c>
      <c r="AE55" s="122">
        <f>'PCR (M2)'!AE67</f>
        <v>1.8996341666666667E-3</v>
      </c>
      <c r="AF55" s="122">
        <f>'PCR (M2)'!AF67</f>
        <v>1.9559741666666667E-3</v>
      </c>
      <c r="AG55" s="122">
        <f>'PCR (M2)'!AG67</f>
        <v>1.9378716666666664E-3</v>
      </c>
      <c r="AH55" s="122">
        <f>'PCR (M2)'!AH67</f>
        <v>1.9408016666666668E-3</v>
      </c>
      <c r="AI55" s="122">
        <f>'PCR (M2)'!AI67</f>
        <v>2.0478441666666666E-3</v>
      </c>
      <c r="AJ55" s="122">
        <f>'PCR (M2)'!AJ67</f>
        <v>2.1059300000000002E-3</v>
      </c>
      <c r="AK55" s="122">
        <f>'PCR (M2)'!AK67</f>
        <v>2.2954824999999999E-3</v>
      </c>
      <c r="AL55" s="122">
        <f>'PCR (M2)'!AL67</f>
        <v>2.3914125E-3</v>
      </c>
      <c r="AM55" s="122">
        <f>'PCR (M2)'!AM67</f>
        <v>2.3669924999999998E-3</v>
      </c>
      <c r="AN55" s="122">
        <f>'PCR (M2)'!AN67</f>
        <v>2.3231791666666669E-3</v>
      </c>
      <c r="AO55" s="122">
        <f>'PCR (M2)'!AO67</f>
        <v>2.2185616666666667E-3</v>
      </c>
      <c r="AP55" s="122">
        <f>'PCR (M2)'!AP67</f>
        <v>2.2311341666666666E-3</v>
      </c>
      <c r="AQ55" s="122">
        <f>'PCR (M2)'!AQ67</f>
        <v>2.2083808333333331E-3</v>
      </c>
      <c r="AR55" s="122">
        <f>'PCR (M2)'!AR67</f>
        <v>2.1623908333333335E-3</v>
      </c>
      <c r="AS55" s="122">
        <f>'PCR (M2)'!AS67</f>
        <v>1.959325E-3</v>
      </c>
      <c r="AT55" s="122">
        <f>'PCR (M2)'!AT67</f>
        <v>1.8473916666666666E-3</v>
      </c>
      <c r="AU55" s="122">
        <f>'PCR (M2)'!AU67</f>
        <v>1.7616100000000003E-3</v>
      </c>
      <c r="AV55" s="122">
        <f>'PCR (M2)'!AV67</f>
        <v>1.5133241666666667E-3</v>
      </c>
      <c r="AW55" s="122">
        <f>'PCR (M2)'!AW67</f>
        <v>1.5959991666666667E-3</v>
      </c>
      <c r="AX55" s="122">
        <f>'PCR (M2)'!AX67</f>
        <v>1.5742316666666667E-3</v>
      </c>
      <c r="AY55" s="122">
        <f>'PCR (M2)'!AY67</f>
        <v>1.5029858333333332E-3</v>
      </c>
      <c r="AZ55" s="122">
        <f>'PCR (M2)'!AZ67</f>
        <v>1.5738266666666667E-3</v>
      </c>
      <c r="BA55" s="122">
        <f>'PCR (M2)'!BA67</f>
        <v>7.8204999999999995E-4</v>
      </c>
      <c r="BB55" s="122">
        <f>'PCR (M2)'!BB67</f>
        <v>1.0755583333333334E-4</v>
      </c>
      <c r="BC55" s="122">
        <f>'PCR (M2)'!BC67</f>
        <v>1.046925E-4</v>
      </c>
      <c r="BD55" s="122">
        <f>'PCR (M2)'!BD67</f>
        <v>1.6138583333333333E-4</v>
      </c>
      <c r="BE55" s="122">
        <f>'PCR (M2)'!BE67</f>
        <v>1.1382083333333333E-4</v>
      </c>
      <c r="BF55" s="122">
        <f>'PCR (M2)'!BF67</f>
        <v>1.0326333333333334E-4</v>
      </c>
      <c r="BG55" s="323">
        <f>'PCR (M2)'!BG67</f>
        <v>1.6666666666666666E-4</v>
      </c>
      <c r="BH55" s="324">
        <f>'PCR (M2)'!BH67</f>
        <v>1.6666666666666666E-4</v>
      </c>
      <c r="BI55" s="325">
        <f>'PCR (M2)'!BI67</f>
        <v>1.6666666666666666E-4</v>
      </c>
      <c r="BJ55" s="326">
        <f>'PCR (M2)'!BJ67</f>
        <v>1.6666666666666666E-4</v>
      </c>
    </row>
    <row r="56" spans="1:62" x14ac:dyDescent="0.25">
      <c r="A56" s="69" t="s">
        <v>0</v>
      </c>
      <c r="B56" s="107">
        <f t="shared" ref="B56:K56" si="124">B49*B$55</f>
        <v>0</v>
      </c>
      <c r="C56" s="111">
        <f t="shared" si="124"/>
        <v>0</v>
      </c>
      <c r="D56" s="111">
        <f t="shared" si="124"/>
        <v>0</v>
      </c>
      <c r="E56" s="111">
        <f t="shared" si="124"/>
        <v>0.82558097985000001</v>
      </c>
      <c r="F56" s="111">
        <f t="shared" si="124"/>
        <v>-1.006858953457429</v>
      </c>
      <c r="G56" s="111">
        <f t="shared" si="124"/>
        <v>-38.043425269019167</v>
      </c>
      <c r="H56" s="111">
        <f t="shared" si="124"/>
        <v>-39.195488324576544</v>
      </c>
      <c r="I56" s="111">
        <f t="shared" si="124"/>
        <v>25.316101791241419</v>
      </c>
      <c r="J56" s="111">
        <f t="shared" si="124"/>
        <v>300.5285503690431</v>
      </c>
      <c r="K56" s="111">
        <f t="shared" si="124"/>
        <v>273.3839358823131</v>
      </c>
      <c r="L56" s="111">
        <f t="shared" ref="L56:T56" si="125">L49*L$55</f>
        <v>305.7134356677476</v>
      </c>
      <c r="M56" s="111">
        <f t="shared" si="125"/>
        <v>459.60027924263358</v>
      </c>
      <c r="N56" s="111">
        <f t="shared" si="125"/>
        <v>372.82678834061386</v>
      </c>
      <c r="O56" s="111">
        <f t="shared" si="125"/>
        <v>5294.3096680423769</v>
      </c>
      <c r="P56" s="111">
        <f t="shared" si="125"/>
        <v>6007.5629348121574</v>
      </c>
      <c r="Q56" s="111">
        <f t="shared" si="125"/>
        <v>5263.9353249465921</v>
      </c>
      <c r="R56" s="111">
        <f t="shared" si="125"/>
        <v>4564.9799617829531</v>
      </c>
      <c r="S56" s="111">
        <f>S49*S$55</f>
        <v>5166.8658092439464</v>
      </c>
      <c r="T56" s="111">
        <f t="shared" si="125"/>
        <v>4660.818024727906</v>
      </c>
      <c r="U56" s="111">
        <f t="shared" ref="U56:W56" si="126">U49*U$55</f>
        <v>4581.7731613706037</v>
      </c>
      <c r="V56" s="111">
        <f t="shared" si="126"/>
        <v>4016.0377962852131</v>
      </c>
      <c r="W56" s="111">
        <f t="shared" si="126"/>
        <v>2945.887356077727</v>
      </c>
      <c r="X56" s="111">
        <f t="shared" ref="X56:AH56" si="127">X49*X$55</f>
        <v>2149.1937842311008</v>
      </c>
      <c r="Y56" s="111">
        <f t="shared" si="127"/>
        <v>1519.921142182096</v>
      </c>
      <c r="Z56" s="111">
        <f t="shared" si="127"/>
        <v>-562.54533898485886</v>
      </c>
      <c r="AA56" s="111">
        <f t="shared" si="127"/>
        <v>-1929.6439620232647</v>
      </c>
      <c r="AB56" s="111">
        <f t="shared" si="127"/>
        <v>-3280.2532681201351</v>
      </c>
      <c r="AC56" s="111">
        <f t="shared" si="127"/>
        <v>-5260.7817964672613</v>
      </c>
      <c r="AD56" s="111">
        <f t="shared" si="127"/>
        <v>-5726.7174867070617</v>
      </c>
      <c r="AE56" s="111">
        <f t="shared" si="127"/>
        <v>-4573.2366199521412</v>
      </c>
      <c r="AF56" s="111">
        <f t="shared" si="127"/>
        <v>-2313.7704200420098</v>
      </c>
      <c r="AG56" s="111">
        <f t="shared" si="127"/>
        <v>200.03674355103203</v>
      </c>
      <c r="AH56" s="111">
        <f t="shared" si="127"/>
        <v>726.81213946988782</v>
      </c>
      <c r="AI56" s="111">
        <f t="shared" ref="AI56" si="128">AI49*AI$55</f>
        <v>-182.45621678826942</v>
      </c>
      <c r="AJ56" s="111">
        <f t="shared" ref="AJ56:AU56" si="129">AJ49*AJ$55</f>
        <v>-1107.7539954048091</v>
      </c>
      <c r="AK56" s="111">
        <f t="shared" si="129"/>
        <v>-2627.630485449703</v>
      </c>
      <c r="AL56" s="111">
        <f t="shared" si="129"/>
        <v>-4554.4224975562147</v>
      </c>
      <c r="AM56" s="111">
        <f t="shared" si="129"/>
        <v>-6654.488749736126</v>
      </c>
      <c r="AN56" s="111">
        <f t="shared" si="129"/>
        <v>-8045.1869204119284</v>
      </c>
      <c r="AO56" s="111">
        <f t="shared" si="129"/>
        <v>-8524.2944370853565</v>
      </c>
      <c r="AP56" s="111">
        <f t="shared" si="129"/>
        <v>-9565.9835956857951</v>
      </c>
      <c r="AQ56" s="111">
        <f t="shared" si="129"/>
        <v>-5842.5759782372461</v>
      </c>
      <c r="AR56" s="111">
        <f>AR49*AR$55-9652.32</f>
        <v>-11646.624147464005</v>
      </c>
      <c r="AS56" s="111">
        <f>AS49*AS$55</f>
        <v>1866.427707341868</v>
      </c>
      <c r="AT56" s="111">
        <f t="shared" si="129"/>
        <v>2779.7668664885869</v>
      </c>
      <c r="AU56" s="111">
        <f t="shared" si="129"/>
        <v>1564.7534540636036</v>
      </c>
      <c r="AV56" s="111">
        <f t="shared" ref="AV56:BF56" si="130">AV49*AV$55</f>
        <v>732.06571000245174</v>
      </c>
      <c r="AW56" s="111">
        <f t="shared" si="130"/>
        <v>-163.3889683751309</v>
      </c>
      <c r="AX56" s="111">
        <f t="shared" si="130"/>
        <v>-1296.2716695253155</v>
      </c>
      <c r="AY56" s="111">
        <f t="shared" si="130"/>
        <v>-4176.8365341809149</v>
      </c>
      <c r="AZ56" s="111">
        <f t="shared" si="130"/>
        <v>-3787.8516689091507</v>
      </c>
      <c r="BA56" s="111">
        <f t="shared" si="130"/>
        <v>-1959.0108590597492</v>
      </c>
      <c r="BB56" s="111">
        <f t="shared" si="130"/>
        <v>-278.81755406293934</v>
      </c>
      <c r="BC56" s="111">
        <f t="shared" si="130"/>
        <v>-283.05419616618053</v>
      </c>
      <c r="BD56" s="111">
        <f t="shared" si="130"/>
        <v>-460.41242984295747</v>
      </c>
      <c r="BE56" s="111">
        <f t="shared" si="130"/>
        <v>-340.6592146186498</v>
      </c>
      <c r="BF56" s="111">
        <f t="shared" si="130"/>
        <v>-322.1051763238695</v>
      </c>
      <c r="BG56" s="111">
        <f t="shared" ref="BG56" si="131">BG49*BG$55</f>
        <v>-534.16931095459483</v>
      </c>
      <c r="BH56" s="107">
        <f>BH49*BH$55</f>
        <v>-549.21829239687236</v>
      </c>
      <c r="BI56" s="111">
        <f t="shared" ref="BH56:BJ60" si="132">BI49*BI$55</f>
        <v>-570.84794848237948</v>
      </c>
      <c r="BJ56" s="112">
        <f t="shared" si="132"/>
        <v>-597.73787969871182</v>
      </c>
    </row>
    <row r="57" spans="1:62" x14ac:dyDescent="0.25">
      <c r="A57" s="69" t="s">
        <v>4</v>
      </c>
      <c r="B57" s="107">
        <f t="shared" ref="B57:K57" si="133">B50*B$55</f>
        <v>0</v>
      </c>
      <c r="C57" s="111">
        <f t="shared" si="133"/>
        <v>0</v>
      </c>
      <c r="D57" s="111">
        <f t="shared" si="133"/>
        <v>0</v>
      </c>
      <c r="E57" s="111">
        <f t="shared" si="133"/>
        <v>0</v>
      </c>
      <c r="F57" s="111">
        <f t="shared" si="133"/>
        <v>-0.5393094052666666</v>
      </c>
      <c r="G57" s="111">
        <f t="shared" si="133"/>
        <v>-4.7538619098044395</v>
      </c>
      <c r="H57" s="111">
        <f t="shared" si="133"/>
        <v>-5.511996191936289</v>
      </c>
      <c r="I57" s="111">
        <f t="shared" si="133"/>
        <v>-6.7446125522088947</v>
      </c>
      <c r="J57" s="111">
        <f t="shared" si="133"/>
        <v>-1.3627169208187435</v>
      </c>
      <c r="K57" s="111">
        <f t="shared" si="133"/>
        <v>5.9873766460293663</v>
      </c>
      <c r="L57" s="111">
        <f t="shared" ref="L57:T57" si="134">L50*L$55</f>
        <v>16.877208558741742</v>
      </c>
      <c r="M57" s="111">
        <f t="shared" si="134"/>
        <v>41.172346218331839</v>
      </c>
      <c r="N57" s="111">
        <f t="shared" si="134"/>
        <v>53.721863922444577</v>
      </c>
      <c r="O57" s="111">
        <f t="shared" si="134"/>
        <v>478.6917266173362</v>
      </c>
      <c r="P57" s="111">
        <f t="shared" si="134"/>
        <v>539.61005177954576</v>
      </c>
      <c r="Q57" s="111">
        <f t="shared" si="134"/>
        <v>452.14780805032035</v>
      </c>
      <c r="R57" s="111">
        <f t="shared" si="134"/>
        <v>387.29156793009196</v>
      </c>
      <c r="S57" s="111">
        <f t="shared" si="134"/>
        <v>418.21538294541756</v>
      </c>
      <c r="T57" s="111">
        <f t="shared" si="134"/>
        <v>387.83625468744924</v>
      </c>
      <c r="U57" s="111">
        <f t="shared" ref="U57:W57" si="135">U50*U$55</f>
        <v>374.14001442243256</v>
      </c>
      <c r="V57" s="111">
        <f t="shared" si="135"/>
        <v>377.3975551628393</v>
      </c>
      <c r="W57" s="111">
        <f t="shared" si="135"/>
        <v>353.09434441434991</v>
      </c>
      <c r="X57" s="111">
        <f t="shared" ref="X57:AH57" si="136">X50*X$55</f>
        <v>310.05310824697534</v>
      </c>
      <c r="Y57" s="111">
        <f t="shared" si="136"/>
        <v>370.24857575853861</v>
      </c>
      <c r="Z57" s="111">
        <f t="shared" si="136"/>
        <v>297.75030832991757</v>
      </c>
      <c r="AA57" s="111">
        <f t="shared" si="136"/>
        <v>3.940604116933061</v>
      </c>
      <c r="AB57" s="111">
        <f t="shared" si="136"/>
        <v>-224.4491508944987</v>
      </c>
      <c r="AC57" s="111">
        <f t="shared" si="136"/>
        <v>-454.30122601345812</v>
      </c>
      <c r="AD57" s="111">
        <f t="shared" si="136"/>
        <v>-440.76126928335816</v>
      </c>
      <c r="AE57" s="111">
        <f t="shared" si="136"/>
        <v>-342.63524389184295</v>
      </c>
      <c r="AF57" s="111">
        <f t="shared" si="136"/>
        <v>-60.758391136045901</v>
      </c>
      <c r="AG57" s="111">
        <f t="shared" si="136"/>
        <v>157.9705812044337</v>
      </c>
      <c r="AH57" s="111">
        <f t="shared" si="136"/>
        <v>463.70864427474027</v>
      </c>
      <c r="AI57" s="111">
        <f t="shared" ref="AI57" si="137">AI50*AI$55</f>
        <v>593.43282034147683</v>
      </c>
      <c r="AJ57" s="111">
        <f t="shared" ref="AJ57:AU57" si="138">AJ50*AJ$55</f>
        <v>712.14832300401213</v>
      </c>
      <c r="AK57" s="111">
        <f t="shared" si="138"/>
        <v>839.4310126137724</v>
      </c>
      <c r="AL57" s="111">
        <f t="shared" si="138"/>
        <v>889.264280894732</v>
      </c>
      <c r="AM57" s="111">
        <f t="shared" si="138"/>
        <v>-30.11638578366437</v>
      </c>
      <c r="AN57" s="111">
        <f t="shared" si="138"/>
        <v>-573.55722027794388</v>
      </c>
      <c r="AO57" s="111">
        <f t="shared" si="138"/>
        <v>-785.16935495477105</v>
      </c>
      <c r="AP57" s="111">
        <f t="shared" si="138"/>
        <v>-971.63899041376499</v>
      </c>
      <c r="AQ57" s="111">
        <f t="shared" si="138"/>
        <v>-699.42527822188003</v>
      </c>
      <c r="AR57" s="111">
        <f>AR50*AR$55</f>
        <v>-187.74387935839329</v>
      </c>
      <c r="AS57" s="111">
        <f t="shared" si="138"/>
        <v>-90.918535694376786</v>
      </c>
      <c r="AT57" s="111">
        <f t="shared" si="138"/>
        <v>89.249612065414908</v>
      </c>
      <c r="AU57" s="111">
        <f t="shared" si="138"/>
        <v>-59.17520025206727</v>
      </c>
      <c r="AV57" s="111">
        <f t="shared" ref="AV57:BF57" si="139">AV50*AV$55</f>
        <v>-195.00103200829025</v>
      </c>
      <c r="AW57" s="111">
        <f t="shared" si="139"/>
        <v>-611.47834151799975</v>
      </c>
      <c r="AX57" s="111">
        <f t="shared" si="139"/>
        <v>-959.06451402161724</v>
      </c>
      <c r="AY57" s="111">
        <f t="shared" si="139"/>
        <v>-1016.6300702169732</v>
      </c>
      <c r="AZ57" s="111">
        <f t="shared" si="139"/>
        <v>-592.06877869133132</v>
      </c>
      <c r="BA57" s="111">
        <f t="shared" si="139"/>
        <v>-345.35131894652801</v>
      </c>
      <c r="BB57" s="111">
        <f t="shared" si="139"/>
        <v>-53.91201691667694</v>
      </c>
      <c r="BC57" s="111">
        <f t="shared" si="139"/>
        <v>-60.212389913122443</v>
      </c>
      <c r="BD57" s="111">
        <f t="shared" si="139"/>
        <v>-107.67895564150275</v>
      </c>
      <c r="BE57" s="111">
        <f t="shared" si="139"/>
        <v>-86.265132991024629</v>
      </c>
      <c r="BF57" s="111">
        <f t="shared" si="139"/>
        <v>-87.157889426213174</v>
      </c>
      <c r="BG57" s="111">
        <f t="shared" ref="BG57" si="140">BG50*BG$55</f>
        <v>-152.33081372862966</v>
      </c>
      <c r="BH57" s="107">
        <f t="shared" si="132"/>
        <v>-163.67115330281717</v>
      </c>
      <c r="BI57" s="111">
        <f t="shared" si="132"/>
        <v>-176.83415973559937</v>
      </c>
      <c r="BJ57" s="112">
        <f t="shared" si="132"/>
        <v>-192.59103436316551</v>
      </c>
    </row>
    <row r="58" spans="1:62" x14ac:dyDescent="0.25">
      <c r="A58" s="69" t="s">
        <v>5</v>
      </c>
      <c r="B58" s="107">
        <f t="shared" ref="B58:K58" si="141">B51*B$55</f>
        <v>0</v>
      </c>
      <c r="C58" s="111">
        <f t="shared" si="141"/>
        <v>0</v>
      </c>
      <c r="D58" s="111">
        <f t="shared" si="141"/>
        <v>0</v>
      </c>
      <c r="E58" s="111">
        <f t="shared" si="141"/>
        <v>0</v>
      </c>
      <c r="F58" s="111">
        <f t="shared" si="141"/>
        <v>-1.5495162622333332</v>
      </c>
      <c r="G58" s="111">
        <f t="shared" si="141"/>
        <v>-18.904391499220331</v>
      </c>
      <c r="H58" s="111">
        <f t="shared" si="141"/>
        <v>-30.340087896858325</v>
      </c>
      <c r="I58" s="111">
        <f t="shared" si="141"/>
        <v>-44.74846603936723</v>
      </c>
      <c r="J58" s="111">
        <f t="shared" si="141"/>
        <v>-37.502724285834617</v>
      </c>
      <c r="K58" s="111">
        <f t="shared" si="141"/>
        <v>-32.872232121634134</v>
      </c>
      <c r="L58" s="111">
        <f t="shared" ref="L58:T58" si="142">L51*L$55</f>
        <v>-20.868676741792427</v>
      </c>
      <c r="M58" s="111">
        <f t="shared" si="142"/>
        <v>3.9257107357343406</v>
      </c>
      <c r="N58" s="111">
        <f t="shared" si="142"/>
        <v>29.666742508001686</v>
      </c>
      <c r="O58" s="111">
        <f t="shared" si="142"/>
        <v>527.53036564446984</v>
      </c>
      <c r="P58" s="111">
        <f t="shared" si="142"/>
        <v>486.75687732384824</v>
      </c>
      <c r="Q58" s="111">
        <f t="shared" si="142"/>
        <v>264.03814497764006</v>
      </c>
      <c r="R58" s="111">
        <f t="shared" si="142"/>
        <v>68.799280933335524</v>
      </c>
      <c r="S58" s="111">
        <f t="shared" si="142"/>
        <v>-59.978298156463779</v>
      </c>
      <c r="T58" s="111">
        <f t="shared" si="142"/>
        <v>-112.16073122727818</v>
      </c>
      <c r="U58" s="111">
        <f t="shared" ref="U58:W58" si="143">U51*U$55</f>
        <v>-189.58896605125369</v>
      </c>
      <c r="V58" s="111">
        <f t="shared" si="143"/>
        <v>-194.85375293252108</v>
      </c>
      <c r="W58" s="111">
        <f t="shared" si="143"/>
        <v>-335.66335928189898</v>
      </c>
      <c r="X58" s="111">
        <f t="shared" ref="X58:AH58" si="144">X51*X$55</f>
        <v>-417.54406703716836</v>
      </c>
      <c r="Y58" s="111">
        <f t="shared" si="144"/>
        <v>-594.6512568027739</v>
      </c>
      <c r="Z58" s="111">
        <f t="shared" si="144"/>
        <v>-676.64973703415956</v>
      </c>
      <c r="AA58" s="111">
        <f t="shared" si="144"/>
        <v>-1145.6212686956546</v>
      </c>
      <c r="AB58" s="111">
        <f t="shared" si="144"/>
        <v>-1622.4923729946941</v>
      </c>
      <c r="AC58" s="111">
        <f t="shared" si="144"/>
        <v>-2177.7528607896384</v>
      </c>
      <c r="AD58" s="111">
        <f t="shared" si="144"/>
        <v>-2196.0555919998678</v>
      </c>
      <c r="AE58" s="111">
        <f t="shared" si="144"/>
        <v>-1780.9075947996073</v>
      </c>
      <c r="AF58" s="111">
        <f t="shared" si="144"/>
        <v>-789.21294171449779</v>
      </c>
      <c r="AG58" s="111">
        <f t="shared" si="144"/>
        <v>-1.4722743079549172</v>
      </c>
      <c r="AH58" s="111">
        <f t="shared" si="144"/>
        <v>766.65112883633026</v>
      </c>
      <c r="AI58" s="111">
        <f t="shared" ref="AI58" si="145">AI51*AI$55</f>
        <v>781.11198391191783</v>
      </c>
      <c r="AJ58" s="111">
        <f t="shared" ref="AJ58:AU58" si="146">AJ51*AJ$55</f>
        <v>808.58692359075155</v>
      </c>
      <c r="AK58" s="111">
        <f t="shared" si="146"/>
        <v>982.30640253520482</v>
      </c>
      <c r="AL58" s="111">
        <f t="shared" si="146"/>
        <v>1190.7923160540515</v>
      </c>
      <c r="AM58" s="111">
        <f t="shared" si="146"/>
        <v>-40.979355027261306</v>
      </c>
      <c r="AN58" s="111">
        <f t="shared" si="146"/>
        <v>-656.86439028278244</v>
      </c>
      <c r="AO58" s="111">
        <f t="shared" si="146"/>
        <v>-1042.8841988232471</v>
      </c>
      <c r="AP58" s="111">
        <f t="shared" si="146"/>
        <v>-1608.2258328045682</v>
      </c>
      <c r="AQ58" s="111">
        <f t="shared" si="146"/>
        <v>-247.95785640291939</v>
      </c>
      <c r="AR58" s="111">
        <f t="shared" si="146"/>
        <v>1843.3420714239908</v>
      </c>
      <c r="AS58" s="111">
        <f t="shared" si="146"/>
        <v>2864.0343603433348</v>
      </c>
      <c r="AT58" s="111">
        <f t="shared" si="146"/>
        <v>3515.5401259447099</v>
      </c>
      <c r="AU58" s="111">
        <f t="shared" si="146"/>
        <v>2887.6094834153323</v>
      </c>
      <c r="AV58" s="111">
        <f t="shared" ref="AV58:BF58" si="147">AV51*AV$55</f>
        <v>2094.2448646987991</v>
      </c>
      <c r="AW58" s="111">
        <f t="shared" si="147"/>
        <v>1772.33134096054</v>
      </c>
      <c r="AX58" s="111">
        <f t="shared" si="147"/>
        <v>1314.5376436277659</v>
      </c>
      <c r="AY58" s="111">
        <f t="shared" si="147"/>
        <v>1104.8156903813724</v>
      </c>
      <c r="AZ58" s="111">
        <f t="shared" si="147"/>
        <v>1786.9649626095161</v>
      </c>
      <c r="BA58" s="111">
        <f t="shared" si="147"/>
        <v>681.40246754794396</v>
      </c>
      <c r="BB58" s="111">
        <f t="shared" si="147"/>
        <v>67.209762480980345</v>
      </c>
      <c r="BC58" s="111">
        <f t="shared" si="147"/>
        <v>35.660484326798787</v>
      </c>
      <c r="BD58" s="111">
        <f t="shared" si="147"/>
        <v>2.7892363645826834</v>
      </c>
      <c r="BE58" s="111">
        <f t="shared" si="147"/>
        <v>-34.914072883233104</v>
      </c>
      <c r="BF58" s="111">
        <f t="shared" si="147"/>
        <v>-65.590520524800311</v>
      </c>
      <c r="BG58" s="111">
        <f t="shared" ref="BG58" si="148">BG51*BG$55</f>
        <v>-153.59439166507701</v>
      </c>
      <c r="BH58" s="107">
        <f t="shared" si="132"/>
        <v>-199.20833262572697</v>
      </c>
      <c r="BI58" s="111">
        <f t="shared" si="132"/>
        <v>-246.32827565195674</v>
      </c>
      <c r="BJ58" s="112">
        <f t="shared" si="132"/>
        <v>-300.50202063935103</v>
      </c>
    </row>
    <row r="59" spans="1:62" x14ac:dyDescent="0.25">
      <c r="A59" s="69" t="s">
        <v>6</v>
      </c>
      <c r="B59" s="107">
        <f t="shared" ref="B59:K59" si="149">B52*B$55</f>
        <v>0</v>
      </c>
      <c r="C59" s="111">
        <f t="shared" si="149"/>
        <v>0</v>
      </c>
      <c r="D59" s="111">
        <f t="shared" si="149"/>
        <v>0</v>
      </c>
      <c r="E59" s="111">
        <f t="shared" si="149"/>
        <v>0</v>
      </c>
      <c r="F59" s="111">
        <f t="shared" si="149"/>
        <v>-1.0214870824166666</v>
      </c>
      <c r="G59" s="111">
        <f t="shared" si="149"/>
        <v>-8.6169910456603631</v>
      </c>
      <c r="H59" s="111">
        <f t="shared" si="149"/>
        <v>-17.898704851830932</v>
      </c>
      <c r="I59" s="111">
        <f t="shared" si="149"/>
        <v>-32.360591376266193</v>
      </c>
      <c r="J59" s="111">
        <f>J52*J$55</f>
        <v>-41.863078638494279</v>
      </c>
      <c r="K59" s="111">
        <f t="shared" si="149"/>
        <v>-50.380616419195348</v>
      </c>
      <c r="L59" s="111">
        <f t="shared" ref="L59:T59" si="150">L52*L$55</f>
        <v>-56.544660198561949</v>
      </c>
      <c r="M59" s="111">
        <f t="shared" si="150"/>
        <v>-70.145470626829336</v>
      </c>
      <c r="N59" s="111">
        <f t="shared" si="150"/>
        <v>-68.659673403835995</v>
      </c>
      <c r="O59" s="111">
        <f t="shared" si="150"/>
        <v>1561.3846943055989</v>
      </c>
      <c r="P59" s="111">
        <f t="shared" si="150"/>
        <v>1768.9371438394114</v>
      </c>
      <c r="Q59" s="111">
        <f t="shared" si="150"/>
        <v>1510.952818599636</v>
      </c>
      <c r="R59" s="111">
        <f t="shared" si="150"/>
        <v>1263.8544498380149</v>
      </c>
      <c r="S59" s="111">
        <f t="shared" si="150"/>
        <v>1313.4230762664999</v>
      </c>
      <c r="T59" s="111">
        <f t="shared" si="150"/>
        <v>1126.944595949514</v>
      </c>
      <c r="U59" s="111">
        <f t="shared" ref="U59:W59" si="151">U52*U$55</f>
        <v>1039.3450717383148</v>
      </c>
      <c r="V59" s="111">
        <f t="shared" si="151"/>
        <v>878.63535583829116</v>
      </c>
      <c r="W59" s="111">
        <f t="shared" si="151"/>
        <v>614.94021882858669</v>
      </c>
      <c r="X59" s="111">
        <f t="shared" ref="X59:AH59" si="152">X52*X$55</f>
        <v>382.6423653534834</v>
      </c>
      <c r="Y59" s="111">
        <f t="shared" si="152"/>
        <v>193.03819573473837</v>
      </c>
      <c r="Z59" s="111">
        <f t="shared" si="152"/>
        <v>-99.633063812648629</v>
      </c>
      <c r="AA59" s="111">
        <f t="shared" si="152"/>
        <v>-390.08880974015705</v>
      </c>
      <c r="AB59" s="111">
        <f t="shared" si="152"/>
        <v>-729.83915892060475</v>
      </c>
      <c r="AC59" s="111">
        <f t="shared" si="152"/>
        <v>-1102.653523220418</v>
      </c>
      <c r="AD59" s="111">
        <f t="shared" si="152"/>
        <v>-1311.7265760329258</v>
      </c>
      <c r="AE59" s="111">
        <f t="shared" si="152"/>
        <v>-1223.2703144187776</v>
      </c>
      <c r="AF59" s="111">
        <f t="shared" si="152"/>
        <v>-906.67198912024537</v>
      </c>
      <c r="AG59" s="111">
        <f t="shared" si="152"/>
        <v>-647.66805227409202</v>
      </c>
      <c r="AH59" s="111">
        <f t="shared" si="152"/>
        <v>-518.89467390359505</v>
      </c>
      <c r="AI59" s="111">
        <f t="shared" ref="AI59" si="153">AI52*AI$55</f>
        <v>-789.7067459790386</v>
      </c>
      <c r="AJ59" s="111">
        <f t="shared" ref="AJ59:AU59" si="154">AJ52*AJ$55</f>
        <v>-1046.0064108493598</v>
      </c>
      <c r="AK59" s="111">
        <f t="shared" si="154"/>
        <v>-1371.1353405469611</v>
      </c>
      <c r="AL59" s="111">
        <f t="shared" si="154"/>
        <v>-1539.401704573291</v>
      </c>
      <c r="AM59" s="111">
        <f t="shared" si="154"/>
        <v>-1846.4571991951791</v>
      </c>
      <c r="AN59" s="111">
        <f t="shared" si="154"/>
        <v>-1924.9479885618555</v>
      </c>
      <c r="AO59" s="111">
        <f t="shared" si="154"/>
        <v>-1963.0869157014208</v>
      </c>
      <c r="AP59" s="111">
        <f t="shared" si="154"/>
        <v>-2076.3728889510398</v>
      </c>
      <c r="AQ59" s="111">
        <f t="shared" si="154"/>
        <v>-1180.2169062500589</v>
      </c>
      <c r="AR59" s="111">
        <f t="shared" si="154"/>
        <v>102.46747172526969</v>
      </c>
      <c r="AS59" s="111">
        <f t="shared" si="154"/>
        <v>993.98805329982338</v>
      </c>
      <c r="AT59" s="111">
        <f t="shared" si="154"/>
        <v>1445.4817621835184</v>
      </c>
      <c r="AU59" s="111">
        <f t="shared" si="154"/>
        <v>1273.9836165138838</v>
      </c>
      <c r="AV59" s="111">
        <f t="shared" ref="AV59:BF59" si="155">AV52*AV$55</f>
        <v>985.97099684377963</v>
      </c>
      <c r="AW59" s="111">
        <f t="shared" si="155"/>
        <v>912.7642915946634</v>
      </c>
      <c r="AX59" s="111">
        <f t="shared" si="155"/>
        <v>805.5827755236644</v>
      </c>
      <c r="AY59" s="111">
        <f t="shared" si="155"/>
        <v>712.39645656029813</v>
      </c>
      <c r="AZ59" s="111">
        <f t="shared" si="155"/>
        <v>987.97371288689851</v>
      </c>
      <c r="BA59" s="111">
        <f t="shared" si="155"/>
        <v>398.94056909014256</v>
      </c>
      <c r="BB59" s="111">
        <f t="shared" si="155"/>
        <v>42.860977224418001</v>
      </c>
      <c r="BC59" s="111">
        <f t="shared" si="155"/>
        <v>28.101240718718575</v>
      </c>
      <c r="BD59" s="111">
        <f t="shared" si="155"/>
        <v>21.221297433491046</v>
      </c>
      <c r="BE59" s="111">
        <f t="shared" si="155"/>
        <v>0.542077241350987</v>
      </c>
      <c r="BF59" s="111">
        <f t="shared" si="155"/>
        <v>-12.337417299807477</v>
      </c>
      <c r="BG59" s="111">
        <f t="shared" ref="BG59" si="156">BG52*BG$55</f>
        <v>-40.060813871541804</v>
      </c>
      <c r="BH59" s="107">
        <f t="shared" si="132"/>
        <v>-58.625533027870475</v>
      </c>
      <c r="BI59" s="111">
        <f t="shared" si="132"/>
        <v>-76.862859854798629</v>
      </c>
      <c r="BJ59" s="112">
        <f t="shared" si="132"/>
        <v>-97.657834872060903</v>
      </c>
    </row>
    <row r="60" spans="1:62" ht="15.75" thickBot="1" x14ac:dyDescent="0.3">
      <c r="A60" s="69" t="s">
        <v>7</v>
      </c>
      <c r="B60" s="107">
        <f t="shared" ref="B60:K60" si="157">B53*B$55</f>
        <v>0</v>
      </c>
      <c r="C60" s="111">
        <f t="shared" si="157"/>
        <v>0</v>
      </c>
      <c r="D60" s="111">
        <f t="shared" si="157"/>
        <v>0</v>
      </c>
      <c r="E60" s="111">
        <f t="shared" si="157"/>
        <v>0</v>
      </c>
      <c r="F60" s="111">
        <f t="shared" si="157"/>
        <v>0</v>
      </c>
      <c r="G60" s="111">
        <f t="shared" si="157"/>
        <v>-2.5406751930000002</v>
      </c>
      <c r="H60" s="111">
        <f t="shared" si="157"/>
        <v>-7.3592268311878595</v>
      </c>
      <c r="I60" s="111">
        <f t="shared" si="157"/>
        <v>-14.215720334968859</v>
      </c>
      <c r="J60" s="111">
        <f t="shared" si="157"/>
        <v>-19.290873552814137</v>
      </c>
      <c r="K60" s="111">
        <f t="shared" si="157"/>
        <v>-24.097498247152753</v>
      </c>
      <c r="L60" s="111">
        <f t="shared" ref="L60:T60" si="158">L53*L$55</f>
        <v>-28.152975911320841</v>
      </c>
      <c r="M60" s="111">
        <f t="shared" si="158"/>
        <v>-39.303208982586895</v>
      </c>
      <c r="N60" s="111">
        <f t="shared" si="158"/>
        <v>-38.328823080405158</v>
      </c>
      <c r="O60" s="111">
        <f t="shared" si="158"/>
        <v>1223.1510888507535</v>
      </c>
      <c r="P60" s="111">
        <f t="shared" si="158"/>
        <v>1412.1221094515358</v>
      </c>
      <c r="Q60" s="111">
        <f t="shared" si="158"/>
        <v>1245.5176081196319</v>
      </c>
      <c r="R60" s="111">
        <f t="shared" si="158"/>
        <v>1077.9357666764231</v>
      </c>
      <c r="S60" s="111">
        <f t="shared" si="158"/>
        <v>1084.8704362416488</v>
      </c>
      <c r="T60" s="111">
        <f t="shared" si="158"/>
        <v>861.32859474406212</v>
      </c>
      <c r="U60" s="111">
        <f t="shared" ref="U60:W60" si="159">U53*U$55</f>
        <v>656.99218427053233</v>
      </c>
      <c r="V60" s="111">
        <f t="shared" si="159"/>
        <v>412.76124384444222</v>
      </c>
      <c r="W60" s="111">
        <f t="shared" si="159"/>
        <v>180.31937311554159</v>
      </c>
      <c r="X60" s="111">
        <f t="shared" ref="X60:AH60" si="160">X53*X$55</f>
        <v>-40.884181273409304</v>
      </c>
      <c r="Y60" s="111">
        <f t="shared" si="160"/>
        <v>-293.15252367551346</v>
      </c>
      <c r="Z60" s="111">
        <f t="shared" si="160"/>
        <v>-517.15798817285258</v>
      </c>
      <c r="AA60" s="111">
        <f t="shared" si="160"/>
        <v>-674.07054250439933</v>
      </c>
      <c r="AB60" s="111">
        <f t="shared" si="160"/>
        <v>-744.50576241452836</v>
      </c>
      <c r="AC60" s="111">
        <f t="shared" si="160"/>
        <v>-818.5817724889057</v>
      </c>
      <c r="AD60" s="111">
        <f t="shared" si="160"/>
        <v>-749.30394259847867</v>
      </c>
      <c r="AE60" s="111">
        <f t="shared" si="160"/>
        <v>-672.35778311230831</v>
      </c>
      <c r="AF60" s="111">
        <f t="shared" si="160"/>
        <v>-519.11920433137084</v>
      </c>
      <c r="AG60" s="111">
        <f t="shared" si="160"/>
        <v>-388.99916117321391</v>
      </c>
      <c r="AH60" s="111">
        <f t="shared" si="160"/>
        <v>-292.78679213600373</v>
      </c>
      <c r="AI60" s="111">
        <f t="shared" ref="AI60" si="161">AI53*AI$55</f>
        <v>-270.66950392005737</v>
      </c>
      <c r="AJ60" s="111">
        <f t="shared" ref="AJ60:AU60" si="162">AJ53*AJ$55</f>
        <v>-239.80305035439881</v>
      </c>
      <c r="AK60" s="111">
        <f t="shared" si="162"/>
        <v>-201.15246639826356</v>
      </c>
      <c r="AL60" s="111">
        <f t="shared" si="162"/>
        <v>-138.90257149900017</v>
      </c>
      <c r="AM60" s="111">
        <f t="shared" si="162"/>
        <v>-121.60048647341247</v>
      </c>
      <c r="AN60" s="111">
        <f t="shared" si="162"/>
        <v>-120.48780345289866</v>
      </c>
      <c r="AO60" s="111">
        <f t="shared" si="162"/>
        <v>-128.90372213791721</v>
      </c>
      <c r="AP60" s="111">
        <f t="shared" si="162"/>
        <v>-118.70870339669104</v>
      </c>
      <c r="AQ60" s="111">
        <f t="shared" si="162"/>
        <v>145.71022273400604</v>
      </c>
      <c r="AR60" s="111">
        <f t="shared" si="162"/>
        <v>554.19533097681358</v>
      </c>
      <c r="AS60" s="111">
        <f t="shared" si="162"/>
        <v>802.92568561751898</v>
      </c>
      <c r="AT60" s="111">
        <f t="shared" si="162"/>
        <v>886.53200452846613</v>
      </c>
      <c r="AU60" s="111">
        <f t="shared" si="162"/>
        <v>825.9073890281561</v>
      </c>
      <c r="AV60" s="111">
        <f t="shared" ref="AV60:BF60" si="163">AV53*AV$55</f>
        <v>694.17641586887669</v>
      </c>
      <c r="AW60" s="111">
        <f t="shared" si="163"/>
        <v>724.13700080109891</v>
      </c>
      <c r="AX60" s="111">
        <f t="shared" si="163"/>
        <v>707.20312185130911</v>
      </c>
      <c r="AY60" s="111">
        <f t="shared" si="163"/>
        <v>658.72776658323016</v>
      </c>
      <c r="AZ60" s="111">
        <f t="shared" si="163"/>
        <v>717.12196421831538</v>
      </c>
      <c r="BA60" s="111">
        <f t="shared" si="163"/>
        <v>322.38634297874052</v>
      </c>
      <c r="BB60" s="111">
        <f t="shared" si="163"/>
        <v>39.535503589378557</v>
      </c>
      <c r="BC60" s="111">
        <f t="shared" si="163"/>
        <v>37.304143600127205</v>
      </c>
      <c r="BD60" s="111">
        <f t="shared" si="163"/>
        <v>49.376737520482664</v>
      </c>
      <c r="BE60" s="111">
        <f t="shared" si="163"/>
        <v>28.919505704876556</v>
      </c>
      <c r="BF60" s="111">
        <f t="shared" si="163"/>
        <v>20.800856371873802</v>
      </c>
      <c r="BG60" s="111">
        <f t="shared" ref="BG60" si="164">BG53*BG$55</f>
        <v>25.843378444419308</v>
      </c>
      <c r="BH60" s="107">
        <f t="shared" si="132"/>
        <v>18.202301487867981</v>
      </c>
      <c r="BI60" s="111">
        <f t="shared" si="132"/>
        <v>10.739548582486819</v>
      </c>
      <c r="BJ60" s="112">
        <f t="shared" si="132"/>
        <v>2.6234222248707346</v>
      </c>
    </row>
    <row r="61" spans="1:62" ht="16.5" thickTop="1" thickBot="1" x14ac:dyDescent="0.3">
      <c r="A61" s="123" t="s">
        <v>71</v>
      </c>
      <c r="B61" s="124">
        <f>SUM(B56:B60)+SUM(B49:B53)-B64</f>
        <v>0</v>
      </c>
      <c r="C61" s="125">
        <f>SUM(C56:C60)+SUM(C49:C53)-C64</f>
        <v>0</v>
      </c>
      <c r="D61" s="125">
        <f t="shared" ref="D61:J61" si="165">SUM(D56:D60)+SUM(D49:D53)-D64</f>
        <v>0</v>
      </c>
      <c r="E61" s="125">
        <f t="shared" si="165"/>
        <v>0</v>
      </c>
      <c r="F61" s="125">
        <f>SUM(F56:F60)+SUM(F49:F53)-F64</f>
        <v>0</v>
      </c>
      <c r="G61" s="128">
        <f>SUM(G56:G60)+SUM(G49:G53)-G64</f>
        <v>0</v>
      </c>
      <c r="H61" s="125">
        <f t="shared" si="165"/>
        <v>0</v>
      </c>
      <c r="I61" s="125">
        <f t="shared" si="165"/>
        <v>0</v>
      </c>
      <c r="J61" s="125">
        <f t="shared" si="165"/>
        <v>0</v>
      </c>
      <c r="K61" s="125">
        <f>SUM(K56:K60)+SUM(K49:K53)-K64</f>
        <v>0</v>
      </c>
      <c r="L61" s="125">
        <f t="shared" ref="L61:T61" si="166">SUM(L56:L60)+SUM(L49:L53)-L64</f>
        <v>0</v>
      </c>
      <c r="M61" s="125">
        <f t="shared" si="166"/>
        <v>0</v>
      </c>
      <c r="N61" s="125">
        <f t="shared" si="166"/>
        <v>0</v>
      </c>
      <c r="O61" s="128">
        <f>SUM(O56:O60)+SUM(O49:O53)-O64</f>
        <v>0</v>
      </c>
      <c r="P61" s="128">
        <f t="shared" si="166"/>
        <v>0</v>
      </c>
      <c r="Q61" s="128">
        <f t="shared" si="166"/>
        <v>0</v>
      </c>
      <c r="R61" s="128">
        <f t="shared" si="166"/>
        <v>0</v>
      </c>
      <c r="S61" s="128">
        <f>SUM(S56:S60)+SUM(S49:S53)-S64</f>
        <v>0</v>
      </c>
      <c r="T61" s="128">
        <f t="shared" si="166"/>
        <v>0</v>
      </c>
      <c r="U61" s="128">
        <f t="shared" ref="U61" si="167">SUM(U56:U60)+SUM(U49:U53)-U64</f>
        <v>0</v>
      </c>
      <c r="V61" s="128">
        <f t="shared" ref="V61" si="168">SUM(V56:V60)+SUM(V49:V53)-V64</f>
        <v>0</v>
      </c>
      <c r="W61" s="128">
        <f t="shared" ref="W61:AH61" si="169">SUM(W56:W60)+SUM(W49:W53)-W64</f>
        <v>0</v>
      </c>
      <c r="X61" s="128">
        <f t="shared" si="169"/>
        <v>0</v>
      </c>
      <c r="Y61" s="128">
        <f t="shared" si="169"/>
        <v>0</v>
      </c>
      <c r="Z61" s="128">
        <f t="shared" si="169"/>
        <v>0</v>
      </c>
      <c r="AA61" s="128">
        <f t="shared" si="169"/>
        <v>0</v>
      </c>
      <c r="AB61" s="128">
        <f t="shared" si="169"/>
        <v>0</v>
      </c>
      <c r="AC61" s="128">
        <f t="shared" si="169"/>
        <v>0</v>
      </c>
      <c r="AD61" s="128">
        <f t="shared" si="169"/>
        <v>0</v>
      </c>
      <c r="AE61" s="128">
        <f t="shared" si="169"/>
        <v>0</v>
      </c>
      <c r="AF61" s="128">
        <f t="shared" si="169"/>
        <v>0</v>
      </c>
      <c r="AG61" s="128">
        <f t="shared" si="169"/>
        <v>-8.7311491370201111E-10</v>
      </c>
      <c r="AH61" s="128">
        <f t="shared" si="169"/>
        <v>-1.5133991837501526E-9</v>
      </c>
      <c r="AI61" s="128">
        <f t="shared" ref="AI61" si="170">SUM(AI56:AI60)+SUM(AI49:AI53)-AI64</f>
        <v>-1.178705133497715E-9</v>
      </c>
      <c r="AJ61" s="128">
        <f t="shared" ref="AJ61:BJ61" si="171">SUM(AJ56:AJ60)+SUM(AJ49:AJ53)-AJ64</f>
        <v>-1.2223608791828156E-9</v>
      </c>
      <c r="AK61" s="128">
        <f t="shared" si="171"/>
        <v>-1.5133991837501526E-9</v>
      </c>
      <c r="AL61" s="128">
        <f t="shared" si="171"/>
        <v>0</v>
      </c>
      <c r="AM61" s="128">
        <f t="shared" si="171"/>
        <v>0</v>
      </c>
      <c r="AN61" s="128">
        <f t="shared" si="171"/>
        <v>0</v>
      </c>
      <c r="AO61" s="128">
        <f t="shared" si="171"/>
        <v>0</v>
      </c>
      <c r="AP61" s="128">
        <f t="shared" si="171"/>
        <v>0</v>
      </c>
      <c r="AQ61" s="128">
        <f t="shared" si="171"/>
        <v>0</v>
      </c>
      <c r="AR61" s="128">
        <f t="shared" si="171"/>
        <v>-1.3678800314664841E-9</v>
      </c>
      <c r="AS61" s="128">
        <f t="shared" si="171"/>
        <v>0</v>
      </c>
      <c r="AT61" s="128">
        <f t="shared" si="171"/>
        <v>0</v>
      </c>
      <c r="AU61" s="128">
        <f t="shared" si="171"/>
        <v>0</v>
      </c>
      <c r="AV61" s="128">
        <f t="shared" ref="AV61:BF61" si="172">SUM(AV56:AV60)+SUM(AV49:AV53)-AV64</f>
        <v>0</v>
      </c>
      <c r="AW61" s="128">
        <f t="shared" si="172"/>
        <v>-2.0954757928848267E-9</v>
      </c>
      <c r="AX61" s="128">
        <f t="shared" si="172"/>
        <v>-2.1536834537982941E-9</v>
      </c>
      <c r="AY61" s="128">
        <f t="shared" si="172"/>
        <v>-2.0954757928848267E-9</v>
      </c>
      <c r="AZ61" s="128">
        <f t="shared" si="172"/>
        <v>-2.0954757928848267E-9</v>
      </c>
      <c r="BA61" s="128">
        <f t="shared" si="172"/>
        <v>-2.5611370801925659E-9</v>
      </c>
      <c r="BB61" s="128">
        <f t="shared" si="172"/>
        <v>-2.5611370801925659E-9</v>
      </c>
      <c r="BC61" s="128">
        <f t="shared" si="172"/>
        <v>0</v>
      </c>
      <c r="BD61" s="128">
        <f t="shared" si="172"/>
        <v>0</v>
      </c>
      <c r="BE61" s="128">
        <f t="shared" si="172"/>
        <v>0</v>
      </c>
      <c r="BF61" s="128">
        <f t="shared" si="172"/>
        <v>0</v>
      </c>
      <c r="BG61" s="128">
        <f>SUM(BG56:BG60)+SUM(BG49:BG53)-BG64</f>
        <v>0</v>
      </c>
      <c r="BH61" s="127">
        <f>SUM(BH56:BH60)+SUM(BH49:BH53)-BH64</f>
        <v>0</v>
      </c>
      <c r="BI61" s="128">
        <f t="shared" si="171"/>
        <v>0</v>
      </c>
      <c r="BJ61" s="129">
        <f t="shared" si="171"/>
        <v>0</v>
      </c>
    </row>
    <row r="62" spans="1:62" ht="16.5" thickTop="1" thickBot="1" x14ac:dyDescent="0.3">
      <c r="A62" s="123" t="s">
        <v>72</v>
      </c>
      <c r="B62" s="127">
        <f>SUM(B56:B60)-B39</f>
        <v>0</v>
      </c>
      <c r="C62" s="128">
        <f t="shared" ref="C62:I62" si="173">SUM(C56:C60)-C39</f>
        <v>0</v>
      </c>
      <c r="D62" s="128">
        <f t="shared" si="173"/>
        <v>0</v>
      </c>
      <c r="E62" s="128">
        <f t="shared" si="173"/>
        <v>-4.4190201499999526E-3</v>
      </c>
      <c r="F62" s="128">
        <f t="shared" si="173"/>
        <v>2.8282966259043363E-3</v>
      </c>
      <c r="G62" s="128">
        <f>SUM(G56:G60)-G39</f>
        <v>6.5508329569752277E-4</v>
      </c>
      <c r="H62" s="128">
        <f t="shared" si="173"/>
        <v>4.4959036100635785E-3</v>
      </c>
      <c r="I62" s="128">
        <f t="shared" si="173"/>
        <v>-3.2885115697638412E-3</v>
      </c>
      <c r="J62" s="128">
        <f>SUM(J56:J60)-J39</f>
        <v>-8.430289186662776E-4</v>
      </c>
      <c r="K62" s="128">
        <f>SUM(K56:K60)-K39</f>
        <v>9.6574036021479515E-4</v>
      </c>
      <c r="L62" s="128">
        <f>SUM(L56:L60)-L39</f>
        <v>4.3313748141429187E-3</v>
      </c>
      <c r="M62" s="128">
        <f t="shared" ref="M62:T62" si="174">SUM(M56:M60)-M39</f>
        <v>-3.4341271651783245E-4</v>
      </c>
      <c r="N62" s="128">
        <f t="shared" si="174"/>
        <v>-3.1017131810813225E-3</v>
      </c>
      <c r="O62" s="128">
        <f>SUM(O56:O60)-O39</f>
        <v>-2.4565394651290262E-3</v>
      </c>
      <c r="P62" s="128">
        <f t="shared" si="174"/>
        <v>-8.8279349984077271E-4</v>
      </c>
      <c r="Q62" s="128">
        <f t="shared" si="174"/>
        <v>1.7046938210114604E-3</v>
      </c>
      <c r="R62" s="128">
        <f t="shared" si="174"/>
        <v>1.0271608198308968E-3</v>
      </c>
      <c r="S62" s="128">
        <f t="shared" si="174"/>
        <v>-3.5934589504904579E-3</v>
      </c>
      <c r="T62" s="128">
        <f t="shared" si="174"/>
        <v>-3.2611183469271054E-3</v>
      </c>
      <c r="U62" s="128">
        <f t="shared" ref="U62:W62" si="175">SUM(U56:U60)-U39</f>
        <v>1.4657506299045053E-3</v>
      </c>
      <c r="V62" s="128">
        <f t="shared" si="175"/>
        <v>-1.8018017353824689E-3</v>
      </c>
      <c r="W62" s="128">
        <f t="shared" si="175"/>
        <v>-2.0668456936618895E-3</v>
      </c>
      <c r="X62" s="128">
        <f>SUM(X56:X60)-X39</f>
        <v>1.0095209813698602E-3</v>
      </c>
      <c r="Y62" s="128">
        <f t="shared" ref="Y62:AH62" si="176">SUM(Y56:Y60)-Y39</f>
        <v>4.1331970855935651E-3</v>
      </c>
      <c r="Z62" s="128">
        <f t="shared" si="176"/>
        <v>4.1803253977832355E-3</v>
      </c>
      <c r="AA62" s="128">
        <f t="shared" si="176"/>
        <v>-3.9788465428500785E-3</v>
      </c>
      <c r="AB62" s="128">
        <f t="shared" si="176"/>
        <v>2.8665553872997407E-4</v>
      </c>
      <c r="AC62" s="128">
        <f t="shared" si="176"/>
        <v>-1.1789796826633392E-3</v>
      </c>
      <c r="AD62" s="128">
        <f t="shared" si="176"/>
        <v>5.1333783067093464E-3</v>
      </c>
      <c r="AE62" s="128">
        <f t="shared" si="176"/>
        <v>2.4438253240077756E-3</v>
      </c>
      <c r="AF62" s="128">
        <f t="shared" si="176"/>
        <v>-2.9463441705956939E-3</v>
      </c>
      <c r="AG62" s="128">
        <f t="shared" si="176"/>
        <v>-2.1629997951322366E-3</v>
      </c>
      <c r="AH62" s="128">
        <f t="shared" si="176"/>
        <v>4.4654135945165763E-4</v>
      </c>
      <c r="AI62" s="128">
        <f t="shared" ref="AI62" si="177">SUM(AI56:AI60)-AI39</f>
        <v>2.3375660293538658E-3</v>
      </c>
      <c r="AJ62" s="128">
        <f t="shared" ref="AJ62:AU62" si="178">SUM(AJ56:AJ60)-AJ39</f>
        <v>1.789986196058635E-3</v>
      </c>
      <c r="AK62" s="128">
        <f t="shared" si="178"/>
        <v>-8.7724595050531207E-4</v>
      </c>
      <c r="AL62" s="128">
        <f t="shared" si="178"/>
        <v>-1.7667972224444384E-4</v>
      </c>
      <c r="AM62" s="128">
        <f t="shared" si="178"/>
        <v>-2.1762156447948655E-3</v>
      </c>
      <c r="AN62" s="128">
        <f t="shared" si="178"/>
        <v>-4.3229874081589514E-3</v>
      </c>
      <c r="AO62" s="128">
        <f t="shared" si="178"/>
        <v>1.3712972886423813E-3</v>
      </c>
      <c r="AP62" s="128">
        <f t="shared" si="178"/>
        <v>-1.125185917771887E-5</v>
      </c>
      <c r="AQ62" s="128">
        <f t="shared" si="178"/>
        <v>4.2036219010697096E-3</v>
      </c>
      <c r="AR62" s="128">
        <f>SUM(AR56:AR60)-AR39</f>
        <v>-3.1526963230135152E-3</v>
      </c>
      <c r="AS62" s="128">
        <f t="shared" si="178"/>
        <v>-2.7290918314974988E-3</v>
      </c>
      <c r="AT62" s="128">
        <f t="shared" si="178"/>
        <v>3.712106954480987E-4</v>
      </c>
      <c r="AU62" s="128">
        <f t="shared" si="178"/>
        <v>-1.2572310915857088E-3</v>
      </c>
      <c r="AV62" s="128">
        <f>SUM(AV56:AV60)-AV39</f>
        <v>-3.0445943830272881E-3</v>
      </c>
      <c r="AW62" s="128">
        <f t="shared" ref="AW62:BF62" si="179">SUM(AW56:AW60)-AW39</f>
        <v>5.3234631718623859E-3</v>
      </c>
      <c r="AX62" s="128">
        <f t="shared" si="179"/>
        <v>-2.6425441933497495E-3</v>
      </c>
      <c r="AY62" s="128">
        <f t="shared" si="179"/>
        <v>3.3091270133809303E-3</v>
      </c>
      <c r="AZ62" s="128">
        <f t="shared" si="179"/>
        <v>1.9211424842069391E-4</v>
      </c>
      <c r="BA62" s="128">
        <f t="shared" si="179"/>
        <v>-2.7983894500493989E-3</v>
      </c>
      <c r="BB62" s="128">
        <f t="shared" si="179"/>
        <v>-3.3276848393768432E-3</v>
      </c>
      <c r="BC62" s="128">
        <f t="shared" si="179"/>
        <v>-7.1743365839438411E-4</v>
      </c>
      <c r="BD62" s="128">
        <f t="shared" si="179"/>
        <v>-4.1141659038430589E-3</v>
      </c>
      <c r="BE62" s="128">
        <f t="shared" si="179"/>
        <v>3.162453319987435E-3</v>
      </c>
      <c r="BF62" s="128">
        <f t="shared" si="179"/>
        <v>-1.4720281666313895E-4</v>
      </c>
      <c r="BG62" s="128">
        <f>SUM(BG56:BG60)-BG39</f>
        <v>-1.9517754241178409E-3</v>
      </c>
      <c r="BH62" s="127">
        <f>SUM(BH56:BH60)-BH39</f>
        <v>4.393728352170001E-5</v>
      </c>
      <c r="BI62" s="128">
        <f>SUM(BI56:BI60)-BI39</f>
        <v>4.3944606204604497E-5</v>
      </c>
      <c r="BJ62" s="129">
        <f>SUM(BJ56:BJ60)-BJ39</f>
        <v>4.395193059281155E-5</v>
      </c>
    </row>
    <row r="63" spans="1:62" ht="15.75" thickTop="1" x14ac:dyDescent="0.25">
      <c r="B63" s="95"/>
      <c r="C63" s="96"/>
      <c r="D63" s="96"/>
      <c r="E63" s="96"/>
      <c r="F63" s="96"/>
      <c r="G63" s="98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5"/>
      <c r="BI63" s="96"/>
      <c r="BJ63" s="99"/>
    </row>
    <row r="64" spans="1:62" x14ac:dyDescent="0.25">
      <c r="A64" s="69" t="s">
        <v>73</v>
      </c>
      <c r="B64" s="107">
        <f>(B15-SUM(B22:B26))+SUM(B56:B60)</f>
        <v>0</v>
      </c>
      <c r="C64" s="111">
        <f t="shared" ref="C64:BJ64" si="180">(SUM(C15:C19)-SUM(C22:C26))+SUM(C56:C60)+B64</f>
        <v>0</v>
      </c>
      <c r="D64" s="111">
        <f t="shared" si="180"/>
        <v>0</v>
      </c>
      <c r="E64" s="111">
        <f>(SUM(E15:E19)-SUM(E22:E26))+SUM(E56:E60)+D64</f>
        <v>1329.6055809798499</v>
      </c>
      <c r="F64" s="111">
        <f t="shared" si="180"/>
        <v>-6541.091590723524</v>
      </c>
      <c r="G64" s="111">
        <f>(SUM(G15:G19)-SUM(G22:G26))+SUM(G56:G60)+F64</f>
        <v>-139667.53093564021</v>
      </c>
      <c r="H64" s="111">
        <f t="shared" si="180"/>
        <v>-191449.07643973659</v>
      </c>
      <c r="I64" s="111">
        <f t="shared" si="180"/>
        <v>-114260.33972824828</v>
      </c>
      <c r="J64" s="111">
        <f t="shared" si="180"/>
        <v>318696.50942872278</v>
      </c>
      <c r="K64" s="108">
        <f t="shared" si="180"/>
        <v>271723.33039446315</v>
      </c>
      <c r="L64" s="108">
        <f t="shared" ref="L64" si="181">(SUM(L15:L19)-SUM(L22:L26))+SUM(L56:L60)+K64</f>
        <v>341028.25472583779</v>
      </c>
      <c r="M64" s="108">
        <f t="shared" ref="M64" si="182">(SUM(M15:M19)-SUM(M22:M26))+SUM(M56:M60)+L64</f>
        <v>493325.63438242511</v>
      </c>
      <c r="N64" s="108">
        <f t="shared" ref="N64" si="183">(SUM(N15:N19)-SUM(N22:N26))+SUM(N56:N60)+M64</f>
        <v>465985.09128071187</v>
      </c>
      <c r="O64" s="108">
        <f>(SUM(O15:O19)-SUM(O22:O26))+SUM(O56:O60)+N64+N65</f>
        <v>12122508.458824173</v>
      </c>
      <c r="P64" s="108">
        <f t="shared" ref="P64" si="184">(SUM(P15:P19)-SUM(P22:P26))+SUM(P56:P60)+O64</f>
        <v>10669334.067941379</v>
      </c>
      <c r="Q64" s="108">
        <f t="shared" ref="Q64" si="185">(SUM(Q15:Q19)-SUM(Q22:Q26))+SUM(Q56:Q60)+P64</f>
        <v>9125180.1096460726</v>
      </c>
      <c r="R64" s="108">
        <f t="shared" ref="R64" si="186">(SUM(R15:R19)-SUM(R22:R26))+SUM(R56:R60)+Q64</f>
        <v>7690348.2806732329</v>
      </c>
      <c r="S64" s="108">
        <f>(SUM(S15:S19)-SUM(S22:S26))+SUM(S56:S60)+R64</f>
        <v>6751239.487079774</v>
      </c>
      <c r="T64" s="108">
        <f t="shared" ref="T64" si="187">(SUM(T15:T19)-SUM(T22:T26))+SUM(T56:T60)+S64</f>
        <v>5977194.6138186557</v>
      </c>
      <c r="U64" s="108">
        <f t="shared" ref="U64" si="188">(SUM(U15:U19)-SUM(U22:U26))+SUM(U56:U60)+T64</f>
        <v>5292979.7952844063</v>
      </c>
      <c r="V64" s="108">
        <f t="shared" ref="V64" si="189">(SUM(V15:V19)-SUM(V22:V26))+SUM(V56:V60)+U64</f>
        <v>4554328.6234826045</v>
      </c>
      <c r="W64" s="108">
        <f t="shared" ref="W64" si="190">(SUM(W15:W19)-SUM(W22:W26))+SUM(W56:W60)+V64</f>
        <v>3112526.3314157594</v>
      </c>
      <c r="X64" s="108">
        <f t="shared" ref="X64" si="191">(SUM(X15:X19)-SUM(X22:X26))+SUM(X56:X60)+W64</f>
        <v>1984651.7124252794</v>
      </c>
      <c r="Y64" s="108">
        <f t="shared" ref="Y64" si="192">(SUM(Y15:Y19)-SUM(Y22:Y26))+SUM(Y56:Y60)+X64</f>
        <v>810020.77655847743</v>
      </c>
      <c r="Z64" s="108">
        <f t="shared" ref="Z64" si="193">(SUM(Z15:Z19)-SUM(Z22:Z26))+SUM(Z56:Z60)+Y64</f>
        <v>-1091623.669261198</v>
      </c>
      <c r="AA64" s="108">
        <f t="shared" ref="AA64" si="194">(SUM(AA15:AA19)-SUM(AA22:AA26))+SUM(AA56:AA60)+Z64</f>
        <v>-2719539.8932400444</v>
      </c>
      <c r="AB64" s="108">
        <f t="shared" ref="AB64" si="195">(SUM(AB15:AB19)-SUM(AB22:AB26))+SUM(AB56:AB60)+AA64</f>
        <v>-3863493.4229533877</v>
      </c>
      <c r="AC64" s="108">
        <f t="shared" ref="AC64" si="196">(SUM(AC15:AC19)-SUM(AC22:AC26))+SUM(AC56:AC60)+AB64</f>
        <v>-5105394.6341323685</v>
      </c>
      <c r="AD64" s="108">
        <f t="shared" ref="AD64" si="197">(SUM(AD15:AD19)-SUM(AD22:AD26))+SUM(AD56:AD60)+AC64</f>
        <v>-5699667.008998991</v>
      </c>
      <c r="AE64" s="108">
        <f t="shared" ref="AE64" si="198">(SUM(AE15:AE19)-SUM(AE22:AE26))+SUM(AE56:AE60)+AD64</f>
        <v>-4531783.0865551634</v>
      </c>
      <c r="AF64" s="108">
        <f t="shared" ref="AF64" si="199">(SUM(AF15:AF19)-SUM(AF22:AF26))+SUM(AF56:AF60)+AE64</f>
        <v>-2351007.5095015061</v>
      </c>
      <c r="AG64" s="108">
        <f t="shared" ref="AG64" si="200">(SUM(AG15:AG19)-SUM(AG22:AG26))+SUM(AG56:AG60)+AF64</f>
        <v>-351648.76166450279</v>
      </c>
      <c r="AH64" s="108">
        <f t="shared" ref="AH64:AI64" si="201">(SUM(AH15:AH19)-SUM(AH22:AH26))+SUM(AH56:AH60)+AG64</f>
        <v>591360.58878203796</v>
      </c>
      <c r="AI64" s="108">
        <f t="shared" si="201"/>
        <v>64449.271119601442</v>
      </c>
      <c r="AJ64" s="108">
        <f t="shared" ref="AJ64" si="202">(SUM(AJ15:AJ19)-SUM(AJ22:AJ26))+SUM(AJ56:AJ60)+AI64</f>
        <v>-415334.94709041412</v>
      </c>
      <c r="AK64" s="108">
        <f t="shared" ref="AK64" si="203">(SUM(AK15:AK19)-SUM(AK22:AK26))+SUM(AK56:AK60)+AJ64</f>
        <v>-1038404.7579676602</v>
      </c>
      <c r="AL64" s="108">
        <f t="shared" ref="AL64" si="204">(SUM(AL15:AL19)-SUM(AL22:AL26))+SUM(AL56:AL60)+AK64</f>
        <v>-1740645.2981443428</v>
      </c>
      <c r="AM64" s="108">
        <f t="shared" ref="AM64" si="205">(SUM(AM15:AM19)-SUM(AM22:AM26))+SUM(AM56:AM60)+AL64</f>
        <v>-3681557.9103205558</v>
      </c>
      <c r="AN64" s="108">
        <f t="shared" ref="AN64" si="206">(SUM(AN15:AN19)-SUM(AN22:AN26))+SUM(AN56:AN60)+AM64</f>
        <v>-4884403.7946435381</v>
      </c>
      <c r="AO64" s="108">
        <f t="shared" ref="AO64" si="207">(SUM(AO15:AO19)-SUM(AO22:AO26))+SUM(AO56:AO60)+AN64</f>
        <v>-5621636.4632722409</v>
      </c>
      <c r="AP64" s="108">
        <f t="shared" ref="AP64" si="208">(SUM(AP15:AP19)-SUM(AP22:AP26))+SUM(AP56:AP60)+AO64</f>
        <v>-6441982.1832834948</v>
      </c>
      <c r="AQ64" s="108">
        <f t="shared" ref="AQ64" si="209">(SUM(AQ15:AQ19)-SUM(AQ22:AQ26))+SUM(AQ56:AQ60)+AP64</f>
        <v>-3550902.5790798725</v>
      </c>
      <c r="AR64" s="108">
        <f t="shared" ref="AR64" si="210">(SUM(AR15:AR19)-SUM(AR22:AR26))+SUM(AR56:AR60)+AQ64</f>
        <v>137705.12776742876</v>
      </c>
      <c r="AS64" s="108">
        <f t="shared" ref="AS64" si="211">(SUM(AS15:AS19)-SUM(AS22:AS26))+SUM(AS56:AS60)+AR64</f>
        <v>3291474.5550383395</v>
      </c>
      <c r="AT64" s="108">
        <f t="shared" ref="AT64" si="212">(SUM(AT15:AT19)-SUM(AT22:AT26))+SUM(AT56:AT60)+AS64</f>
        <v>4727028.6254095482</v>
      </c>
      <c r="AU64" s="108">
        <f>(SUM(AU15:AU19)-SUM(AU22:AU26))+SUM(AU56:AU60)+AT64</f>
        <v>3692370.6241523158</v>
      </c>
      <c r="AV64" s="108">
        <f t="shared" ref="AV64:BF64" si="213">(SUM(AV15:AV19)-SUM(AV22:AV26))+SUM(AV56:AV60)+AU64</f>
        <v>2853309.0811077235</v>
      </c>
      <c r="AW64" s="108">
        <f t="shared" si="213"/>
        <v>1653240.0664311864</v>
      </c>
      <c r="AX64" s="108">
        <f t="shared" si="213"/>
        <v>363915.81378864194</v>
      </c>
      <c r="AY64" s="108">
        <f t="shared" si="213"/>
        <v>-1810802.892902232</v>
      </c>
      <c r="AZ64" s="108">
        <f t="shared" si="213"/>
        <v>-565028.64271012088</v>
      </c>
      <c r="BA64" s="108">
        <f t="shared" si="213"/>
        <v>-1153811.0355085079</v>
      </c>
      <c r="BB64" s="108">
        <f t="shared" si="213"/>
        <v>-1702771.6488361955</v>
      </c>
      <c r="BC64" s="108">
        <f t="shared" si="213"/>
        <v>-2313690.7995536267</v>
      </c>
      <c r="BD64" s="108">
        <f t="shared" si="213"/>
        <v>-3065845.013667793</v>
      </c>
      <c r="BE64" s="108">
        <f t="shared" si="213"/>
        <v>-3799181.91050534</v>
      </c>
      <c r="BF64" s="108">
        <f t="shared" si="213"/>
        <v>-4516979.0006525414</v>
      </c>
      <c r="BG64" s="108">
        <f>(SUM(BG15:BG19)-SUM(BG22:BG26))+SUM(BG56:BG60)+BF64</f>
        <v>-5126726.0226043165</v>
      </c>
      <c r="BH64" s="107">
        <f>(SUM(BH15:BH19)-SUM(BH22:BH26))+SUM(BH56:BH60)+BG64</f>
        <v>-5716078.5802023765</v>
      </c>
      <c r="BI64" s="111">
        <f t="shared" si="180"/>
        <v>-6361862.304548623</v>
      </c>
      <c r="BJ64" s="112">
        <f t="shared" si="180"/>
        <v>-7116377.9494378567</v>
      </c>
    </row>
    <row r="65" spans="1:62" x14ac:dyDescent="0.25">
      <c r="A65" s="162" t="s">
        <v>105</v>
      </c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204">
        <v>13541922</v>
      </c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5"/>
      <c r="BI65" s="96"/>
      <c r="BJ65" s="99"/>
    </row>
    <row r="66" spans="1:62" x14ac:dyDescent="0.25">
      <c r="A66" s="196" t="s">
        <v>0</v>
      </c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191">
        <v>7611905</v>
      </c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5"/>
      <c r="BI66" s="96"/>
      <c r="BJ66" s="99"/>
    </row>
    <row r="67" spans="1:62" x14ac:dyDescent="0.25">
      <c r="A67" s="196" t="s">
        <v>4</v>
      </c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191">
        <v>668388</v>
      </c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5"/>
      <c r="BI67" s="96"/>
      <c r="BJ67" s="99"/>
    </row>
    <row r="68" spans="1:62" x14ac:dyDescent="0.25">
      <c r="A68" s="196" t="s">
        <v>5</v>
      </c>
      <c r="B68" s="95"/>
      <c r="C68" s="96"/>
      <c r="D68" s="96"/>
      <c r="E68" s="206"/>
      <c r="F68" s="206"/>
      <c r="G68" s="206"/>
      <c r="H68" s="206"/>
      <c r="I68" s="206"/>
      <c r="J68" s="206"/>
      <c r="K68" s="206"/>
      <c r="L68" s="206"/>
      <c r="M68" s="206"/>
      <c r="N68" s="191">
        <v>905881</v>
      </c>
      <c r="O68" s="9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95"/>
      <c r="BI68" s="96"/>
      <c r="BJ68" s="99"/>
    </row>
    <row r="69" spans="1:62" x14ac:dyDescent="0.25">
      <c r="A69" s="196" t="s">
        <v>6</v>
      </c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191">
        <v>2477462</v>
      </c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5"/>
      <c r="BI69" s="96"/>
      <c r="BJ69" s="99"/>
    </row>
    <row r="70" spans="1:62" ht="15.75" thickBot="1" x14ac:dyDescent="0.3">
      <c r="A70" s="196" t="s">
        <v>7</v>
      </c>
      <c r="B70" s="130"/>
      <c r="C70" s="131"/>
      <c r="D70" s="131"/>
      <c r="E70" s="207"/>
      <c r="F70" s="207"/>
      <c r="G70" s="207"/>
      <c r="H70" s="207"/>
      <c r="I70" s="207"/>
      <c r="J70" s="207"/>
      <c r="K70" s="207"/>
      <c r="L70" s="207"/>
      <c r="M70" s="207"/>
      <c r="N70" s="205">
        <v>1878286</v>
      </c>
      <c r="O70" s="131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130"/>
      <c r="BI70" s="131"/>
      <c r="BJ70" s="132"/>
    </row>
    <row r="71" spans="1:62" x14ac:dyDescent="0.25">
      <c r="B71" s="53"/>
      <c r="C71" s="53"/>
      <c r="D71" s="53"/>
      <c r="E71" s="53"/>
      <c r="F71" s="53"/>
      <c r="G71" s="53"/>
      <c r="H71" s="53"/>
    </row>
    <row r="75" spans="1:62" x14ac:dyDescent="0.25">
      <c r="C75" s="53"/>
      <c r="D75" s="53"/>
      <c r="E75" s="53"/>
      <c r="F75" s="53"/>
      <c r="G75" s="53"/>
      <c r="H75" s="53"/>
    </row>
  </sheetData>
  <mergeCells count="1">
    <mergeCell ref="BH13:BJ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1:L73"/>
  <sheetViews>
    <sheetView workbookViewId="0">
      <selection activeCell="L52" sqref="L52"/>
    </sheetView>
  </sheetViews>
  <sheetFormatPr defaultColWidth="9.140625" defaultRowHeight="15" x14ac:dyDescent="0.25"/>
  <cols>
    <col min="1" max="1" width="24.28515625" style="69" customWidth="1"/>
    <col min="2" max="2" width="25" style="69" customWidth="1"/>
    <col min="3" max="3" width="17.28515625" style="69" customWidth="1"/>
    <col min="4" max="4" width="17.28515625" style="162" customWidth="1"/>
    <col min="5" max="5" width="9.28515625" style="69" customWidth="1"/>
    <col min="6" max="6" width="25.5703125" style="69" bestFit="1" customWidth="1"/>
    <col min="7" max="7" width="12" style="69" customWidth="1"/>
    <col min="8" max="8" width="17.5703125" style="69" customWidth="1"/>
    <col min="9" max="9" width="16.85546875" style="69" bestFit="1" customWidth="1"/>
    <col min="10" max="10" width="14" style="69" customWidth="1"/>
    <col min="11" max="11" width="9.140625" style="69" customWidth="1"/>
    <col min="12" max="16384" width="9.140625" style="69"/>
  </cols>
  <sheetData>
    <row r="1" spans="1:12" x14ac:dyDescent="0.25">
      <c r="A1" s="7" t="s">
        <v>163</v>
      </c>
      <c r="E1" s="47"/>
    </row>
    <row r="2" spans="1:12" ht="15.75" thickBot="1" x14ac:dyDescent="0.3">
      <c r="A2" s="47"/>
      <c r="B2" s="274" t="s">
        <v>149</v>
      </c>
      <c r="C2" s="274"/>
      <c r="D2" s="230"/>
      <c r="E2" s="162"/>
      <c r="F2" s="315"/>
      <c r="G2" s="162"/>
      <c r="H2" s="162"/>
      <c r="I2" s="162"/>
    </row>
    <row r="3" spans="1:12" ht="15.75" thickBot="1" x14ac:dyDescent="0.3">
      <c r="A3" s="162"/>
      <c r="B3" s="162"/>
      <c r="C3" s="162"/>
      <c r="E3" s="371" t="s">
        <v>8</v>
      </c>
      <c r="F3" s="372"/>
      <c r="G3" s="372"/>
      <c r="H3" s="373"/>
      <c r="I3" s="162"/>
      <c r="L3" s="55"/>
    </row>
    <row r="4" spans="1:12" x14ac:dyDescent="0.25">
      <c r="A4" s="165" t="s">
        <v>157</v>
      </c>
      <c r="B4" s="302">
        <v>43584506.113913044</v>
      </c>
      <c r="C4" s="162" t="s">
        <v>9</v>
      </c>
      <c r="E4" s="304"/>
      <c r="F4" s="305" t="s">
        <v>158</v>
      </c>
      <c r="G4" s="305" t="s">
        <v>159</v>
      </c>
      <c r="H4" s="306" t="s">
        <v>160</v>
      </c>
      <c r="I4" s="293"/>
      <c r="L4" s="55" t="s">
        <v>26</v>
      </c>
    </row>
    <row r="5" spans="1:12" x14ac:dyDescent="0.25">
      <c r="A5" s="57"/>
      <c r="B5" s="280"/>
      <c r="C5" s="3"/>
      <c r="D5" s="3"/>
      <c r="E5" s="289" t="s">
        <v>0</v>
      </c>
      <c r="F5" s="154">
        <f>[1]EO.2!E5</f>
        <v>37247557295</v>
      </c>
      <c r="G5" s="168">
        <f>+F5/$F$10</f>
        <v>0.44613328474833974</v>
      </c>
      <c r="H5" s="29">
        <f>+$B$7*G5</f>
        <v>9299542.9410467539</v>
      </c>
      <c r="I5" s="292"/>
      <c r="L5" s="55" t="s">
        <v>173</v>
      </c>
    </row>
    <row r="6" spans="1:12" x14ac:dyDescent="0.25">
      <c r="A6" s="57"/>
      <c r="B6" s="44">
        <f>+B4*12/23</f>
        <v>22739742.320302457</v>
      </c>
      <c r="C6" s="162" t="s">
        <v>130</v>
      </c>
      <c r="E6" s="166" t="s">
        <v>4</v>
      </c>
      <c r="F6" s="154">
        <f>[1]EO.2!E6</f>
        <v>9498245542</v>
      </c>
      <c r="G6" s="168">
        <f>+F6/$F$10</f>
        <v>0.11376540612953326</v>
      </c>
      <c r="H6" s="29">
        <f t="shared" ref="H6:H9" si="0">+$B$7*G6</f>
        <v>2371413.0186542985</v>
      </c>
      <c r="I6" s="199"/>
      <c r="L6" s="55" t="s">
        <v>162</v>
      </c>
    </row>
    <row r="7" spans="1:12" x14ac:dyDescent="0.25">
      <c r="A7" s="57"/>
      <c r="B7" s="44">
        <f>+B4*11/23</f>
        <v>20844763.793610584</v>
      </c>
      <c r="C7" s="162" t="s">
        <v>152</v>
      </c>
      <c r="E7" s="166" t="s">
        <v>5</v>
      </c>
      <c r="F7" s="154">
        <f>[1]EO.2!E7</f>
        <v>22108342220</v>
      </c>
      <c r="G7" s="168">
        <f>+F7/$F$10</f>
        <v>0.264803064985768</v>
      </c>
      <c r="H7" s="29">
        <f t="shared" si="0"/>
        <v>5519757.3414524477</v>
      </c>
      <c r="I7" s="199"/>
      <c r="L7" s="55" t="s">
        <v>161</v>
      </c>
    </row>
    <row r="8" spans="1:12" x14ac:dyDescent="0.25">
      <c r="A8" s="57"/>
      <c r="B8" s="49"/>
      <c r="C8" s="162"/>
      <c r="E8" s="166" t="s">
        <v>6</v>
      </c>
      <c r="F8" s="154">
        <f>[1]EO.2!E8</f>
        <v>9762768324</v>
      </c>
      <c r="G8" s="168">
        <f>+F8/$F$10</f>
        <v>0.116933732489562</v>
      </c>
      <c r="H8" s="29">
        <f t="shared" si="0"/>
        <v>2437456.0332501675</v>
      </c>
      <c r="I8" s="199"/>
      <c r="L8" s="352" t="s">
        <v>180</v>
      </c>
    </row>
    <row r="9" spans="1:12" ht="15.75" thickBot="1" x14ac:dyDescent="0.3">
      <c r="A9" s="57"/>
      <c r="B9" s="314"/>
      <c r="C9" s="162"/>
      <c r="E9" s="166" t="s">
        <v>7</v>
      </c>
      <c r="F9" s="154">
        <f>[1]EO.2!E9</f>
        <v>4872838602</v>
      </c>
      <c r="G9" s="168">
        <f>+F9/$F$10</f>
        <v>5.836451164679704E-2</v>
      </c>
      <c r="H9" s="29">
        <f t="shared" si="0"/>
        <v>1216594.4592069183</v>
      </c>
      <c r="I9" s="199"/>
      <c r="L9" s="55" t="s">
        <v>175</v>
      </c>
    </row>
    <row r="10" spans="1:12" ht="16.5" thickTop="1" thickBot="1" x14ac:dyDescent="0.3">
      <c r="A10" s="162"/>
      <c r="B10" s="343" t="s">
        <v>164</v>
      </c>
      <c r="C10" s="217" t="s">
        <v>153</v>
      </c>
      <c r="D10" s="281"/>
      <c r="E10" s="130"/>
      <c r="F10" s="290">
        <f>SUM(F5:F9)</f>
        <v>83489751983</v>
      </c>
      <c r="G10" s="298">
        <f>SUM(G5:G9)</f>
        <v>1</v>
      </c>
      <c r="H10" s="155">
        <f>SUM(H5:H9)</f>
        <v>20844763.793610588</v>
      </c>
      <c r="I10" s="199"/>
      <c r="L10" s="55" t="s">
        <v>172</v>
      </c>
    </row>
    <row r="11" spans="1:12" x14ac:dyDescent="0.25">
      <c r="A11" s="57" t="s">
        <v>0</v>
      </c>
      <c r="B11" s="39">
        <f>+PPC!B5</f>
        <v>13068927776.360579</v>
      </c>
      <c r="C11" s="44">
        <f>+H5</f>
        <v>9299542.9410467539</v>
      </c>
      <c r="D11" s="159"/>
      <c r="E11" s="258"/>
      <c r="F11" s="182"/>
      <c r="G11" s="294"/>
      <c r="H11" s="182"/>
      <c r="I11" s="199"/>
      <c r="L11" s="55"/>
    </row>
    <row r="12" spans="1:12" x14ac:dyDescent="0.25">
      <c r="A12" s="165" t="s">
        <v>4</v>
      </c>
      <c r="B12" s="39">
        <f>+PPC!B6</f>
        <v>2940523212.4376469</v>
      </c>
      <c r="C12" s="44">
        <f t="shared" ref="C12:C15" si="1">+H6</f>
        <v>2371413.0186542985</v>
      </c>
      <c r="D12" s="159"/>
      <c r="E12" s="258"/>
      <c r="F12" s="182"/>
      <c r="G12" s="182"/>
      <c r="H12" s="182"/>
      <c r="I12" s="199"/>
    </row>
    <row r="13" spans="1:12" x14ac:dyDescent="0.25">
      <c r="A13" s="165" t="s">
        <v>5</v>
      </c>
      <c r="B13" s="39">
        <f>+PPC!B7</f>
        <v>6730675980.4505386</v>
      </c>
      <c r="C13" s="44">
        <f t="shared" si="1"/>
        <v>5519757.3414524477</v>
      </c>
      <c r="D13" s="159"/>
      <c r="E13" s="258"/>
      <c r="F13" s="182"/>
      <c r="G13" s="295"/>
      <c r="H13" s="182"/>
      <c r="I13" s="199"/>
    </row>
    <row r="14" spans="1:12" x14ac:dyDescent="0.25">
      <c r="A14" s="165" t="s">
        <v>6</v>
      </c>
      <c r="B14" s="39">
        <f>+PPC!B8</f>
        <v>2945037998.1503868</v>
      </c>
      <c r="C14" s="44">
        <f t="shared" si="1"/>
        <v>2437456.0332501675</v>
      </c>
      <c r="D14" s="159"/>
      <c r="E14" s="258"/>
      <c r="F14" s="182"/>
      <c r="G14" s="295"/>
      <c r="H14" s="182"/>
      <c r="I14" s="199"/>
    </row>
    <row r="15" spans="1:12" x14ac:dyDescent="0.25">
      <c r="A15" s="165" t="s">
        <v>7</v>
      </c>
      <c r="B15" s="39">
        <f>+PPC!B9</f>
        <v>1262009824.932905</v>
      </c>
      <c r="C15" s="44">
        <f t="shared" si="1"/>
        <v>1216594.4592069183</v>
      </c>
      <c r="D15" s="159"/>
      <c r="E15" s="258"/>
      <c r="F15" s="182"/>
      <c r="G15" s="295"/>
      <c r="H15" s="182"/>
      <c r="I15" s="199"/>
    </row>
    <row r="16" spans="1:12" ht="15.75" thickBot="1" x14ac:dyDescent="0.3">
      <c r="A16" s="165" t="s">
        <v>9</v>
      </c>
      <c r="B16" s="40">
        <f>SUM(B11:B15)</f>
        <v>26947174792.332054</v>
      </c>
      <c r="C16" s="23">
        <f>SUM(C11:C15)</f>
        <v>20844763.793610588</v>
      </c>
      <c r="E16" s="258"/>
      <c r="F16" s="182"/>
      <c r="G16" s="295"/>
      <c r="H16" s="182"/>
      <c r="I16" s="199"/>
    </row>
    <row r="17" spans="1:9" ht="16.5" thickTop="1" thickBot="1" x14ac:dyDescent="0.3">
      <c r="A17" s="162"/>
      <c r="B17" s="162"/>
      <c r="C17" s="20">
        <f>B7-C16</f>
        <v>0</v>
      </c>
      <c r="E17" s="259"/>
      <c r="F17" s="291"/>
      <c r="G17" s="292"/>
      <c r="H17" s="291"/>
      <c r="I17" s="199"/>
    </row>
    <row r="18" spans="1:9" ht="15.75" thickTop="1" x14ac:dyDescent="0.25">
      <c r="A18" s="162"/>
      <c r="B18" s="162"/>
      <c r="C18" s="162"/>
      <c r="E18" s="259"/>
      <c r="F18" s="291"/>
      <c r="G18" s="292"/>
      <c r="H18" s="291"/>
      <c r="I18" s="199"/>
    </row>
    <row r="19" spans="1:9" x14ac:dyDescent="0.25">
      <c r="A19" s="162"/>
      <c r="B19" s="162"/>
      <c r="C19" s="162"/>
      <c r="E19" s="258"/>
      <c r="F19" s="296"/>
      <c r="G19" s="296"/>
      <c r="H19" s="296"/>
      <c r="I19" s="199"/>
    </row>
    <row r="20" spans="1:9" x14ac:dyDescent="0.25">
      <c r="A20" s="162"/>
      <c r="B20" s="162"/>
      <c r="C20" s="162"/>
      <c r="E20" s="258"/>
      <c r="F20" s="297"/>
      <c r="G20" s="297"/>
      <c r="H20" s="297"/>
      <c r="I20" s="199"/>
    </row>
    <row r="21" spans="1:9" ht="15.75" thickBot="1" x14ac:dyDescent="0.3">
      <c r="A21" s="47"/>
      <c r="B21" s="274" t="s">
        <v>177</v>
      </c>
      <c r="C21" s="274"/>
      <c r="D21" s="253"/>
      <c r="E21" s="162"/>
      <c r="F21" s="315"/>
      <c r="G21" s="162"/>
      <c r="H21" s="162"/>
      <c r="I21" s="199"/>
    </row>
    <row r="22" spans="1:9" ht="15.75" thickBot="1" x14ac:dyDescent="0.3">
      <c r="A22" s="162"/>
      <c r="B22" s="162"/>
      <c r="C22" s="162"/>
      <c r="E22" s="371" t="s">
        <v>8</v>
      </c>
      <c r="F22" s="372"/>
      <c r="G22" s="372"/>
      <c r="H22" s="373"/>
      <c r="I22" s="199"/>
    </row>
    <row r="23" spans="1:9" x14ac:dyDescent="0.25">
      <c r="A23" s="165" t="s">
        <v>174</v>
      </c>
      <c r="B23" s="302">
        <f>[1]EO.4!$C$20</f>
        <v>-695012.00293284049</v>
      </c>
      <c r="C23" s="162" t="s">
        <v>9</v>
      </c>
      <c r="E23" s="304"/>
      <c r="F23" s="329" t="s">
        <v>158</v>
      </c>
      <c r="G23" s="329" t="s">
        <v>159</v>
      </c>
      <c r="H23" s="330" t="s">
        <v>160</v>
      </c>
      <c r="I23" s="199"/>
    </row>
    <row r="24" spans="1:9" x14ac:dyDescent="0.25">
      <c r="A24" s="57"/>
      <c r="B24" s="280"/>
      <c r="C24" s="3"/>
      <c r="D24" s="3"/>
      <c r="E24" s="289" t="s">
        <v>0</v>
      </c>
      <c r="F24" s="154">
        <f>[1]EO.2!E5</f>
        <v>37247557295</v>
      </c>
      <c r="G24" s="168">
        <f>+F24/$F$29</f>
        <v>0.44613328474833974</v>
      </c>
      <c r="H24" s="29">
        <f>+$B$23*G24</f>
        <v>-310067.98780795088</v>
      </c>
      <c r="I24" s="199"/>
    </row>
    <row r="25" spans="1:9" x14ac:dyDescent="0.25">
      <c r="A25" s="57"/>
      <c r="B25" s="49"/>
      <c r="C25" s="199"/>
      <c r="E25" s="166" t="s">
        <v>4</v>
      </c>
      <c r="F25" s="154">
        <f>[1]EO.2!E6</f>
        <v>9498245542</v>
      </c>
      <c r="G25" s="168">
        <f t="shared" ref="G25:G28" si="2">+F25/$F$29</f>
        <v>0.11376540612953326</v>
      </c>
      <c r="H25" s="29">
        <f t="shared" ref="H25:H28" si="3">+$B$23*G25</f>
        <v>-79068.322778554953</v>
      </c>
    </row>
    <row r="26" spans="1:9" x14ac:dyDescent="0.25">
      <c r="A26" s="57"/>
      <c r="B26" s="49"/>
      <c r="C26" s="199"/>
      <c r="E26" s="166" t="s">
        <v>5</v>
      </c>
      <c r="F26" s="154">
        <f>[1]EO.2!E7</f>
        <v>22108342220</v>
      </c>
      <c r="G26" s="168">
        <f t="shared" si="2"/>
        <v>0.264803064985768</v>
      </c>
      <c r="H26" s="29">
        <f t="shared" si="3"/>
        <v>-184041.30857851374</v>
      </c>
    </row>
    <row r="27" spans="1:9" x14ac:dyDescent="0.25">
      <c r="A27" s="57"/>
      <c r="B27" s="49"/>
      <c r="C27" s="162"/>
      <c r="E27" s="166" t="s">
        <v>6</v>
      </c>
      <c r="F27" s="154">
        <f>[1]EO.2!E8</f>
        <v>9762768324</v>
      </c>
      <c r="G27" s="168">
        <f t="shared" si="2"/>
        <v>0.116933732489562</v>
      </c>
      <c r="H27" s="29">
        <f t="shared" si="3"/>
        <v>-81270.347627983458</v>
      </c>
    </row>
    <row r="28" spans="1:9" ht="15.75" thickBot="1" x14ac:dyDescent="0.3">
      <c r="A28" s="57"/>
      <c r="B28" s="314"/>
      <c r="C28" s="162"/>
      <c r="E28" s="166" t="s">
        <v>7</v>
      </c>
      <c r="F28" s="154">
        <f>[1]EO.2!E9</f>
        <v>4872838602</v>
      </c>
      <c r="G28" s="168">
        <f t="shared" si="2"/>
        <v>5.836451164679704E-2</v>
      </c>
      <c r="H28" s="29">
        <f t="shared" si="3"/>
        <v>-40564.03613983751</v>
      </c>
    </row>
    <row r="29" spans="1:9" ht="16.5" thickTop="1" thickBot="1" x14ac:dyDescent="0.3">
      <c r="A29" s="162"/>
      <c r="B29" s="343" t="s">
        <v>164</v>
      </c>
      <c r="C29" s="328" t="s">
        <v>153</v>
      </c>
      <c r="D29" s="328"/>
      <c r="E29" s="130"/>
      <c r="F29" s="290">
        <f>SUM(F24:F28)</f>
        <v>83489751983</v>
      </c>
      <c r="G29" s="298">
        <f>SUM(G24:G28)</f>
        <v>1</v>
      </c>
      <c r="H29" s="155">
        <f>SUM(H24:H28)</f>
        <v>-695012.00293284049</v>
      </c>
    </row>
    <row r="30" spans="1:9" x14ac:dyDescent="0.25">
      <c r="A30" s="57" t="s">
        <v>0</v>
      </c>
      <c r="B30" s="39">
        <f>$B$11</f>
        <v>13068927776.360579</v>
      </c>
      <c r="C30" s="44">
        <f>+H24</f>
        <v>-310067.98780795088</v>
      </c>
      <c r="D30" s="159"/>
      <c r="E30" s="258"/>
      <c r="F30" s="182"/>
      <c r="G30" s="294"/>
      <c r="H30" s="182"/>
    </row>
    <row r="31" spans="1:9" x14ac:dyDescent="0.25">
      <c r="A31" s="165" t="s">
        <v>4</v>
      </c>
      <c r="B31" s="39">
        <f>$B$12</f>
        <v>2940523212.4376469</v>
      </c>
      <c r="C31" s="44">
        <f t="shared" ref="C31:C34" si="4">+H25</f>
        <v>-79068.322778554953</v>
      </c>
      <c r="D31" s="159"/>
      <c r="E31" s="258"/>
      <c r="F31" s="182"/>
      <c r="G31" s="182"/>
      <c r="H31" s="182"/>
    </row>
    <row r="32" spans="1:9" x14ac:dyDescent="0.25">
      <c r="A32" s="165" t="s">
        <v>5</v>
      </c>
      <c r="B32" s="39">
        <f>$B$13</f>
        <v>6730675980.4505386</v>
      </c>
      <c r="C32" s="44">
        <f t="shared" si="4"/>
        <v>-184041.30857851374</v>
      </c>
      <c r="D32" s="159"/>
      <c r="E32" s="258"/>
      <c r="F32" s="182"/>
      <c r="G32" s="295"/>
      <c r="H32" s="182"/>
    </row>
    <row r="33" spans="1:8" x14ac:dyDescent="0.25">
      <c r="A33" s="165" t="s">
        <v>6</v>
      </c>
      <c r="B33" s="39">
        <f>$B$14</f>
        <v>2945037998.1503868</v>
      </c>
      <c r="C33" s="44">
        <f t="shared" si="4"/>
        <v>-81270.347627983458</v>
      </c>
      <c r="D33" s="159"/>
      <c r="E33" s="258"/>
      <c r="F33" s="182"/>
      <c r="G33" s="295"/>
      <c r="H33" s="182"/>
    </row>
    <row r="34" spans="1:8" x14ac:dyDescent="0.25">
      <c r="A34" s="165" t="s">
        <v>7</v>
      </c>
      <c r="B34" s="39">
        <f>$B$15</f>
        <v>1262009824.932905</v>
      </c>
      <c r="C34" s="44">
        <f t="shared" si="4"/>
        <v>-40564.03613983751</v>
      </c>
      <c r="D34" s="159"/>
      <c r="E34" s="258"/>
      <c r="F34" s="182"/>
      <c r="G34" s="295"/>
      <c r="H34" s="182"/>
    </row>
    <row r="35" spans="1:8" ht="15.75" thickBot="1" x14ac:dyDescent="0.3">
      <c r="A35" s="165" t="s">
        <v>9</v>
      </c>
      <c r="B35" s="40">
        <f>SUM(B30:B34)</f>
        <v>26947174792.332054</v>
      </c>
      <c r="C35" s="23">
        <f>SUM(C30:C34)</f>
        <v>-695012.00293284049</v>
      </c>
      <c r="E35" s="258"/>
      <c r="F35" s="182"/>
      <c r="G35" s="295"/>
      <c r="H35" s="182"/>
    </row>
    <row r="36" spans="1:8" ht="16.5" thickTop="1" thickBot="1" x14ac:dyDescent="0.3">
      <c r="A36" s="162"/>
      <c r="B36" s="162"/>
      <c r="C36" s="20">
        <f>B23-C35</f>
        <v>0</v>
      </c>
      <c r="E36" s="259"/>
      <c r="F36" s="291"/>
      <c r="G36" s="292"/>
      <c r="H36" s="291"/>
    </row>
    <row r="37" spans="1:8" ht="15.75" thickTop="1" x14ac:dyDescent="0.25"/>
    <row r="39" spans="1:8" ht="15.75" thickBot="1" x14ac:dyDescent="0.3">
      <c r="A39" s="47"/>
      <c r="B39" s="274" t="s">
        <v>178</v>
      </c>
      <c r="C39" s="274"/>
      <c r="D39" s="253"/>
      <c r="E39" s="162"/>
      <c r="F39" s="315"/>
      <c r="G39" s="162"/>
      <c r="H39" s="162"/>
    </row>
    <row r="40" spans="1:8" ht="15.75" thickBot="1" x14ac:dyDescent="0.3">
      <c r="A40" s="162"/>
      <c r="B40" s="162"/>
      <c r="C40" s="162"/>
      <c r="E40" s="371" t="s">
        <v>8</v>
      </c>
      <c r="F40" s="372"/>
      <c r="G40" s="372"/>
      <c r="H40" s="373"/>
    </row>
    <row r="41" spans="1:8" x14ac:dyDescent="0.25">
      <c r="A41" s="165" t="s">
        <v>176</v>
      </c>
      <c r="B41" s="302">
        <f>[1]EO.5!$H$35</f>
        <v>6239380.6751372898</v>
      </c>
      <c r="C41" s="162" t="s">
        <v>9</v>
      </c>
      <c r="E41" s="304"/>
      <c r="F41" s="329" t="s">
        <v>171</v>
      </c>
      <c r="G41" s="329" t="s">
        <v>159</v>
      </c>
      <c r="H41" s="330" t="s">
        <v>160</v>
      </c>
    </row>
    <row r="42" spans="1:8" x14ac:dyDescent="0.25">
      <c r="A42" s="57"/>
      <c r="B42" s="280"/>
      <c r="C42" s="3"/>
      <c r="D42" s="3"/>
      <c r="E42" s="289" t="s">
        <v>0</v>
      </c>
      <c r="F42" s="154">
        <f>[1]EO.6!B5</f>
        <v>10719041762</v>
      </c>
      <c r="G42" s="168">
        <f>+F42/$F$47</f>
        <v>0.46353789360762815</v>
      </c>
      <c r="H42" s="29">
        <f>+$B$41*G42</f>
        <v>2892189.3755692802</v>
      </c>
    </row>
    <row r="43" spans="1:8" x14ac:dyDescent="0.25">
      <c r="A43" s="258"/>
      <c r="B43" s="49"/>
      <c r="C43" s="199"/>
      <c r="E43" s="166" t="s">
        <v>4</v>
      </c>
      <c r="F43" s="154">
        <f>[1]EO.6!B6</f>
        <v>2679938476</v>
      </c>
      <c r="G43" s="168">
        <f t="shared" ref="G43:G46" si="5">+F43/$F$47</f>
        <v>0.11589217242972033</v>
      </c>
      <c r="H43" s="29">
        <f t="shared" ref="H43:H46" si="6">+$B$41*G43</f>
        <v>723095.3810576757</v>
      </c>
    </row>
    <row r="44" spans="1:8" x14ac:dyDescent="0.25">
      <c r="A44" s="57"/>
      <c r="B44" s="49"/>
      <c r="C44" s="199"/>
      <c r="E44" s="166" t="s">
        <v>5</v>
      </c>
      <c r="F44" s="154">
        <f>[1]EO.6!B7</f>
        <v>6079978889</v>
      </c>
      <c r="G44" s="168">
        <f t="shared" si="5"/>
        <v>0.26292467833990957</v>
      </c>
      <c r="H44" s="29">
        <f t="shared" si="6"/>
        <v>1640487.1570507197</v>
      </c>
    </row>
    <row r="45" spans="1:8" x14ac:dyDescent="0.25">
      <c r="A45" s="57"/>
      <c r="B45" s="49"/>
      <c r="C45" s="162"/>
      <c r="E45" s="166" t="s">
        <v>6</v>
      </c>
      <c r="F45" s="154">
        <f>[1]EO.6!B8</f>
        <v>2537760990</v>
      </c>
      <c r="G45" s="168">
        <f t="shared" si="5"/>
        <v>0.10974380078958863</v>
      </c>
      <c r="H45" s="29">
        <f t="shared" si="6"/>
        <v>684733.34986267576</v>
      </c>
    </row>
    <row r="46" spans="1:8" ht="15.75" thickBot="1" x14ac:dyDescent="0.3">
      <c r="A46" s="57"/>
      <c r="B46" s="314"/>
      <c r="C46" s="162"/>
      <c r="E46" s="166" t="s">
        <v>7</v>
      </c>
      <c r="F46" s="154">
        <f>[1]EO.6!B9</f>
        <v>1107693032</v>
      </c>
      <c r="G46" s="168">
        <f t="shared" si="5"/>
        <v>4.7901454833153313E-2</v>
      </c>
      <c r="H46" s="29">
        <f t="shared" si="6"/>
        <v>298875.4115969385</v>
      </c>
    </row>
    <row r="47" spans="1:8" ht="16.5" thickTop="1" thickBot="1" x14ac:dyDescent="0.3">
      <c r="A47" s="162"/>
      <c r="B47" s="343" t="s">
        <v>164</v>
      </c>
      <c r="C47" s="328" t="s">
        <v>153</v>
      </c>
      <c r="D47" s="328"/>
      <c r="E47" s="130"/>
      <c r="F47" s="290">
        <f>SUM(F42:F46)</f>
        <v>23124413149</v>
      </c>
      <c r="G47" s="298">
        <f>SUM(G42:G46)</f>
        <v>1</v>
      </c>
      <c r="H47" s="155">
        <f>SUM(H42:H46)</f>
        <v>6239380.6751372907</v>
      </c>
    </row>
    <row r="48" spans="1:8" x14ac:dyDescent="0.25">
      <c r="A48" s="57" t="s">
        <v>0</v>
      </c>
      <c r="B48" s="39">
        <f>$B$11</f>
        <v>13068927776.360579</v>
      </c>
      <c r="C48" s="44">
        <f>+H42</f>
        <v>2892189.3755692802</v>
      </c>
      <c r="D48" s="159"/>
      <c r="E48" s="258"/>
      <c r="F48" s="182"/>
      <c r="G48" s="294"/>
      <c r="H48" s="182"/>
    </row>
    <row r="49" spans="1:10" x14ac:dyDescent="0.25">
      <c r="A49" s="165" t="s">
        <v>4</v>
      </c>
      <c r="B49" s="39">
        <f>$B$12</f>
        <v>2940523212.4376469</v>
      </c>
      <c r="C49" s="44">
        <f t="shared" ref="C49:C52" si="7">+H43</f>
        <v>723095.3810576757</v>
      </c>
      <c r="D49" s="159"/>
      <c r="E49" s="258"/>
      <c r="F49" s="182"/>
      <c r="G49" s="182"/>
      <c r="H49" s="182"/>
    </row>
    <row r="50" spans="1:10" x14ac:dyDescent="0.25">
      <c r="A50" s="165" t="s">
        <v>5</v>
      </c>
      <c r="B50" s="39">
        <f>$B$13</f>
        <v>6730675980.4505386</v>
      </c>
      <c r="C50" s="44">
        <f t="shared" si="7"/>
        <v>1640487.1570507197</v>
      </c>
      <c r="D50" s="159"/>
      <c r="E50" s="258"/>
      <c r="F50" s="182"/>
      <c r="G50" s="295"/>
      <c r="H50" s="182"/>
    </row>
    <row r="51" spans="1:10" x14ac:dyDescent="0.25">
      <c r="A51" s="165" t="s">
        <v>6</v>
      </c>
      <c r="B51" s="39">
        <f>$B$14</f>
        <v>2945037998.1503868</v>
      </c>
      <c r="C51" s="44">
        <f t="shared" si="7"/>
        <v>684733.34986267576</v>
      </c>
      <c r="D51" s="159"/>
      <c r="E51" s="258"/>
      <c r="F51" s="182"/>
      <c r="G51" s="295"/>
      <c r="H51" s="182"/>
    </row>
    <row r="52" spans="1:10" x14ac:dyDescent="0.25">
      <c r="A52" s="165" t="s">
        <v>7</v>
      </c>
      <c r="B52" s="39">
        <f>$B$15</f>
        <v>1262009824.932905</v>
      </c>
      <c r="C52" s="44">
        <f t="shared" si="7"/>
        <v>298875.4115969385</v>
      </c>
      <c r="D52" s="159"/>
      <c r="E52" s="258"/>
      <c r="F52" s="182"/>
      <c r="G52" s="295"/>
      <c r="H52" s="182"/>
    </row>
    <row r="53" spans="1:10" ht="15.75" thickBot="1" x14ac:dyDescent="0.3">
      <c r="A53" s="165" t="s">
        <v>9</v>
      </c>
      <c r="B53" s="40">
        <f>SUM(B48:B52)</f>
        <v>26947174792.332054</v>
      </c>
      <c r="C53" s="23">
        <f>SUM(C48:C52)</f>
        <v>6239380.6751372907</v>
      </c>
      <c r="E53" s="258"/>
      <c r="F53" s="182"/>
      <c r="G53" s="295"/>
      <c r="H53" s="182"/>
    </row>
    <row r="54" spans="1:10" ht="16.5" thickTop="1" thickBot="1" x14ac:dyDescent="0.3">
      <c r="A54" s="162"/>
      <c r="B54" s="162"/>
      <c r="C54" s="20">
        <f>B41-C53</f>
        <v>0</v>
      </c>
      <c r="E54" s="259"/>
      <c r="F54" s="291"/>
      <c r="G54" s="292"/>
      <c r="H54" s="291"/>
    </row>
    <row r="55" spans="1:10" ht="15.75" thickTop="1" x14ac:dyDescent="0.25"/>
    <row r="57" spans="1:10" x14ac:dyDescent="0.25">
      <c r="A57" s="199"/>
      <c r="B57" s="257"/>
      <c r="C57" s="257"/>
      <c r="D57" s="257"/>
      <c r="E57" s="199"/>
      <c r="F57" s="344"/>
      <c r="G57" s="199"/>
      <c r="H57" s="199"/>
      <c r="I57" s="199"/>
      <c r="J57" s="199"/>
    </row>
    <row r="58" spans="1:10" x14ac:dyDescent="0.25">
      <c r="A58" s="199"/>
      <c r="B58" s="199"/>
      <c r="C58" s="199"/>
      <c r="D58" s="199"/>
      <c r="E58" s="351"/>
      <c r="F58" s="351"/>
      <c r="G58" s="351"/>
      <c r="H58" s="351"/>
      <c r="I58" s="199"/>
      <c r="J58" s="199"/>
    </row>
    <row r="59" spans="1:10" x14ac:dyDescent="0.25">
      <c r="A59" s="258"/>
      <c r="B59" s="49"/>
      <c r="C59" s="199"/>
      <c r="D59" s="199"/>
      <c r="E59" s="199"/>
      <c r="F59" s="210"/>
      <c r="G59" s="210"/>
      <c r="H59" s="210"/>
      <c r="I59" s="199"/>
      <c r="J59" s="199"/>
    </row>
    <row r="60" spans="1:10" x14ac:dyDescent="0.25">
      <c r="A60" s="258"/>
      <c r="B60" s="345"/>
      <c r="C60" s="346"/>
      <c r="D60" s="346"/>
      <c r="E60" s="258"/>
      <c r="F60" s="347"/>
      <c r="G60" s="182"/>
      <c r="H60" s="297"/>
      <c r="I60" s="199"/>
      <c r="J60" s="199"/>
    </row>
    <row r="61" spans="1:10" x14ac:dyDescent="0.25">
      <c r="A61" s="258"/>
      <c r="B61" s="49"/>
      <c r="C61" s="199"/>
      <c r="D61" s="199"/>
      <c r="E61" s="258"/>
      <c r="F61" s="347"/>
      <c r="G61" s="182"/>
      <c r="H61" s="297"/>
      <c r="I61" s="199"/>
      <c r="J61" s="199"/>
    </row>
    <row r="62" spans="1:10" x14ac:dyDescent="0.25">
      <c r="A62" s="258"/>
      <c r="B62" s="49"/>
      <c r="C62" s="199"/>
      <c r="D62" s="199"/>
      <c r="E62" s="258"/>
      <c r="F62" s="347"/>
      <c r="G62" s="182"/>
      <c r="H62" s="297"/>
      <c r="I62" s="199"/>
      <c r="J62" s="199"/>
    </row>
    <row r="63" spans="1:10" x14ac:dyDescent="0.25">
      <c r="A63" s="258"/>
      <c r="B63" s="49"/>
      <c r="C63" s="199"/>
      <c r="D63" s="199"/>
      <c r="E63" s="258"/>
      <c r="F63" s="347"/>
      <c r="G63" s="182"/>
      <c r="H63" s="297"/>
      <c r="I63" s="199"/>
      <c r="J63" s="199"/>
    </row>
    <row r="64" spans="1:10" x14ac:dyDescent="0.25">
      <c r="A64" s="258"/>
      <c r="B64" s="348"/>
      <c r="C64" s="199"/>
      <c r="D64" s="199"/>
      <c r="E64" s="258"/>
      <c r="F64" s="347"/>
      <c r="G64" s="182"/>
      <c r="H64" s="297"/>
      <c r="I64" s="199"/>
      <c r="J64" s="199"/>
    </row>
    <row r="65" spans="1:10" x14ac:dyDescent="0.25">
      <c r="A65" s="199"/>
      <c r="B65" s="210"/>
      <c r="C65" s="210"/>
      <c r="D65" s="210"/>
      <c r="E65" s="199"/>
      <c r="F65" s="292"/>
      <c r="G65" s="349"/>
      <c r="H65" s="296"/>
      <c r="I65" s="199"/>
      <c r="J65" s="199"/>
    </row>
    <row r="66" spans="1:10" x14ac:dyDescent="0.25">
      <c r="A66" s="258"/>
      <c r="B66" s="261"/>
      <c r="C66" s="49"/>
      <c r="D66" s="350"/>
      <c r="E66" s="258"/>
      <c r="F66" s="182"/>
      <c r="G66" s="294"/>
      <c r="H66" s="182"/>
      <c r="I66" s="199"/>
      <c r="J66" s="199"/>
    </row>
    <row r="67" spans="1:10" x14ac:dyDescent="0.25">
      <c r="A67" s="258"/>
      <c r="B67" s="261"/>
      <c r="C67" s="49"/>
      <c r="D67" s="350"/>
      <c r="E67" s="258"/>
      <c r="F67" s="182"/>
      <c r="G67" s="182"/>
      <c r="H67" s="182"/>
      <c r="I67" s="199"/>
      <c r="J67" s="199"/>
    </row>
    <row r="68" spans="1:10" x14ac:dyDescent="0.25">
      <c r="A68" s="258"/>
      <c r="B68" s="261"/>
      <c r="C68" s="49"/>
      <c r="D68" s="350"/>
      <c r="E68" s="258"/>
      <c r="F68" s="182"/>
      <c r="G68" s="295"/>
      <c r="H68" s="182"/>
      <c r="I68" s="199"/>
      <c r="J68" s="199"/>
    </row>
    <row r="69" spans="1:10" x14ac:dyDescent="0.25">
      <c r="A69" s="258"/>
      <c r="B69" s="261"/>
      <c r="C69" s="49"/>
      <c r="D69" s="350"/>
      <c r="E69" s="258"/>
      <c r="F69" s="182"/>
      <c r="G69" s="295"/>
      <c r="H69" s="182"/>
      <c r="I69" s="199"/>
      <c r="J69" s="199"/>
    </row>
    <row r="70" spans="1:10" x14ac:dyDescent="0.25">
      <c r="A70" s="258"/>
      <c r="B70" s="261"/>
      <c r="C70" s="49"/>
      <c r="D70" s="350"/>
      <c r="E70" s="258"/>
      <c r="F70" s="182"/>
      <c r="G70" s="295"/>
      <c r="H70" s="182"/>
      <c r="I70" s="199"/>
      <c r="J70" s="199"/>
    </row>
    <row r="71" spans="1:10" x14ac:dyDescent="0.25">
      <c r="A71" s="258"/>
      <c r="B71" s="263"/>
      <c r="C71" s="190"/>
      <c r="D71" s="199"/>
      <c r="E71" s="258"/>
      <c r="F71" s="182"/>
      <c r="G71" s="295"/>
      <c r="H71" s="182"/>
      <c r="I71" s="199"/>
      <c r="J71" s="199"/>
    </row>
    <row r="72" spans="1:10" x14ac:dyDescent="0.25">
      <c r="A72" s="199"/>
      <c r="B72" s="199"/>
      <c r="C72" s="255"/>
      <c r="D72" s="199"/>
      <c r="E72" s="259"/>
      <c r="F72" s="291"/>
      <c r="G72" s="292"/>
      <c r="H72" s="291"/>
      <c r="I72" s="199"/>
      <c r="J72" s="199"/>
    </row>
    <row r="73" spans="1:10" x14ac:dyDescent="0.25">
      <c r="A73" s="199"/>
      <c r="B73" s="199"/>
      <c r="C73" s="199"/>
      <c r="D73" s="199"/>
      <c r="E73" s="199"/>
      <c r="F73" s="199"/>
      <c r="G73" s="199"/>
      <c r="H73" s="199"/>
      <c r="I73" s="199"/>
      <c r="J73" s="199"/>
    </row>
  </sheetData>
  <mergeCells count="3">
    <mergeCell ref="E3:H3"/>
    <mergeCell ref="E22:H22"/>
    <mergeCell ref="E40:H4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 tint="0.39997558519241921"/>
    <pageSetUpPr fitToPage="1"/>
  </sheetPr>
  <dimension ref="A1:AW69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F18" sqref="F18"/>
    </sheetView>
  </sheetViews>
  <sheetFormatPr defaultColWidth="9.140625" defaultRowHeight="15" x14ac:dyDescent="0.25"/>
  <cols>
    <col min="1" max="1" width="26.42578125" style="162" customWidth="1"/>
    <col min="2" max="14" width="18" style="162" customWidth="1"/>
    <col min="15" max="15" width="16.42578125" style="162" customWidth="1"/>
    <col min="16" max="16" width="15.140625" style="162" customWidth="1"/>
    <col min="17" max="17" width="16.140625" style="162" customWidth="1"/>
    <col min="18" max="18" width="15" style="162" bestFit="1" customWidth="1"/>
    <col min="19" max="19" width="16" style="162" customWidth="1"/>
    <col min="20" max="20" width="15" style="162" bestFit="1" customWidth="1"/>
    <col min="21" max="23" width="16" style="162" bestFit="1" customWidth="1"/>
    <col min="24" max="47" width="16" style="162" customWidth="1"/>
    <col min="48" max="48" width="16.42578125" style="162" customWidth="1"/>
    <col min="49" max="49" width="17.28515625" style="162" customWidth="1"/>
    <col min="50" max="50" width="16.85546875" style="162" customWidth="1"/>
    <col min="51" max="51" width="13.85546875" style="162" bestFit="1" customWidth="1"/>
    <col min="52" max="52" width="10.85546875" style="162" bestFit="1" customWidth="1"/>
    <col min="53" max="53" width="9.140625" style="162"/>
    <col min="54" max="54" width="12.7109375" style="162" bestFit="1" customWidth="1"/>
    <col min="55" max="16384" width="9.140625" style="162"/>
  </cols>
  <sheetData>
    <row r="1" spans="1:49" x14ac:dyDescent="0.25">
      <c r="A1" s="47" t="s">
        <v>165</v>
      </c>
      <c r="B1" s="47"/>
    </row>
    <row r="2" spans="1:49" x14ac:dyDescent="0.25">
      <c r="A2" s="320"/>
      <c r="B2" s="181" t="s">
        <v>139</v>
      </c>
      <c r="C2" s="181"/>
      <c r="D2" s="181"/>
      <c r="E2" s="181"/>
      <c r="F2" s="181"/>
      <c r="G2" s="181"/>
      <c r="H2" s="181"/>
      <c r="I2" s="55" t="s">
        <v>26</v>
      </c>
      <c r="J2" s="181"/>
      <c r="K2" s="181"/>
      <c r="L2" s="181"/>
      <c r="M2" s="181"/>
      <c r="N2" s="181"/>
      <c r="U2" s="55"/>
      <c r="V2" s="47"/>
      <c r="W2" s="47"/>
      <c r="X2" s="47"/>
      <c r="Y2" s="47"/>
      <c r="Z2" s="47"/>
    </row>
    <row r="3" spans="1:49" x14ac:dyDescent="0.25">
      <c r="B3" s="217" t="s">
        <v>114</v>
      </c>
      <c r="C3" s="217" t="s">
        <v>64</v>
      </c>
      <c r="D3" s="217" t="s">
        <v>140</v>
      </c>
      <c r="E3" s="217" t="s">
        <v>91</v>
      </c>
      <c r="F3" s="217" t="s">
        <v>65</v>
      </c>
      <c r="G3" s="217" t="s">
        <v>141</v>
      </c>
      <c r="I3" s="55" t="s">
        <v>144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49" x14ac:dyDescent="0.25">
      <c r="A4" s="162" t="s">
        <v>0</v>
      </c>
      <c r="B4" s="23">
        <f>+B65</f>
        <v>-462683.00379415316</v>
      </c>
      <c r="C4" s="23">
        <f>SUM(B29:Q29)</f>
        <v>10427438.041474812</v>
      </c>
      <c r="D4" s="23">
        <f>SUM(B15:Q15)</f>
        <v>10783669.726455428</v>
      </c>
      <c r="E4" s="23">
        <f>B4+D4-C4</f>
        <v>-106451.31881353632</v>
      </c>
      <c r="F4" s="23">
        <f>SUM(B55:Q55)</f>
        <v>1315.5364272848137</v>
      </c>
      <c r="G4" s="41">
        <f>E4+F4</f>
        <v>-105135.78238625151</v>
      </c>
      <c r="I4" s="55" t="s">
        <v>145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49" x14ac:dyDescent="0.25">
      <c r="A5" s="162" t="s">
        <v>4</v>
      </c>
      <c r="B5" s="23">
        <f t="shared" ref="B5:B8" si="0">+B66</f>
        <v>-10108.99213094723</v>
      </c>
      <c r="C5" s="23">
        <f>SUM(B30:Q30)</f>
        <v>2293009.6206831816</v>
      </c>
      <c r="D5" s="23">
        <f>SUM(B16:Q16)</f>
        <v>2652880.0473548314</v>
      </c>
      <c r="E5" s="23">
        <f>B5+D5-C5</f>
        <v>349761.4345407025</v>
      </c>
      <c r="F5" s="23">
        <f>SUM(B56:Q56)</f>
        <v>928.32860644436016</v>
      </c>
      <c r="G5" s="41">
        <f>E5+F5</f>
        <v>350689.76314714685</v>
      </c>
      <c r="I5" s="55" t="s">
        <v>146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49" x14ac:dyDescent="0.25">
      <c r="A6" s="162" t="s">
        <v>5</v>
      </c>
      <c r="B6" s="23">
        <f t="shared" si="0"/>
        <v>3604.9193919342115</v>
      </c>
      <c r="C6" s="23">
        <f>SUM(B31:Q31)</f>
        <v>5430789.3283679103</v>
      </c>
      <c r="D6" s="23">
        <f>SUM(B17:Q17)</f>
        <v>6300038.0481367698</v>
      </c>
      <c r="E6" s="23">
        <f>B6+D6-C6</f>
        <v>872853.63916079327</v>
      </c>
      <c r="F6" s="23">
        <f>SUM(B57:Q57)</f>
        <v>2755.2710944640712</v>
      </c>
      <c r="G6" s="41">
        <f>E6+F6</f>
        <v>875608.91025525739</v>
      </c>
      <c r="I6" s="55" t="s">
        <v>108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49" x14ac:dyDescent="0.25">
      <c r="A7" s="162" t="s">
        <v>6</v>
      </c>
      <c r="B7" s="23">
        <f t="shared" si="0"/>
        <v>-6178.5070069833</v>
      </c>
      <c r="C7" s="23">
        <f>SUM(B32:Q32)</f>
        <v>2374227.3992589321</v>
      </c>
      <c r="D7" s="23">
        <f>SUM(B18:Q18)</f>
        <v>2783059.9373726435</v>
      </c>
      <c r="E7" s="23">
        <f>B7+D7-C7</f>
        <v>402654.03110672813</v>
      </c>
      <c r="F7" s="23">
        <f>SUM(B58:Q58)</f>
        <v>1374.583650057566</v>
      </c>
      <c r="G7" s="41">
        <f>E7+F7</f>
        <v>404028.61475678568</v>
      </c>
      <c r="I7" s="55" t="s">
        <v>147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49" ht="15.75" thickBot="1" x14ac:dyDescent="0.3">
      <c r="A8" s="162" t="s">
        <v>7</v>
      </c>
      <c r="B8" s="23">
        <f t="shared" si="0"/>
        <v>48966.060998976864</v>
      </c>
      <c r="C8" s="23">
        <f>SUM(B33:Q33)</f>
        <v>1131539.8002196685</v>
      </c>
      <c r="D8" s="23">
        <f>SUM(B19:Q19)</f>
        <v>1412455.6375045229</v>
      </c>
      <c r="E8" s="23">
        <f>B8+D8-C8</f>
        <v>329881.89828383131</v>
      </c>
      <c r="F8" s="23">
        <f>SUM(B59:Q59)</f>
        <v>1326.4834225799689</v>
      </c>
      <c r="G8" s="41">
        <f>E8+F8</f>
        <v>331208.38170641125</v>
      </c>
      <c r="I8" s="55" t="s">
        <v>82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49" ht="16.5" thickTop="1" thickBot="1" x14ac:dyDescent="0.3">
      <c r="B9" s="84">
        <f t="shared" ref="B9" si="1">SUM(B4:B8)</f>
        <v>-426399.52254117257</v>
      </c>
      <c r="C9" s="84">
        <f t="shared" ref="C9:G9" si="2">SUM(C4:C8)</f>
        <v>21657004.190004505</v>
      </c>
      <c r="D9" s="84">
        <f t="shared" si="2"/>
        <v>23932103.396824196</v>
      </c>
      <c r="E9" s="84">
        <f>SUM(E4:E8)</f>
        <v>1848699.6842785189</v>
      </c>
      <c r="F9" s="84">
        <f>SUM(F4:F8)</f>
        <v>7700.2032008307797</v>
      </c>
      <c r="G9" s="84">
        <f t="shared" si="2"/>
        <v>1856399.8874793497</v>
      </c>
      <c r="I9" s="55" t="s">
        <v>96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49" ht="16.5" thickTop="1" thickBot="1" x14ac:dyDescent="0.3">
      <c r="E10" s="38" t="s">
        <v>25</v>
      </c>
      <c r="F10" s="271">
        <f>F9-SUM(B38:Q38)</f>
        <v>8.2390578918420943E-3</v>
      </c>
      <c r="G10" s="47"/>
      <c r="I10" s="55" t="s">
        <v>148</v>
      </c>
      <c r="Q10" s="38"/>
      <c r="R10" s="316"/>
      <c r="U10" s="55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</row>
    <row r="11" spans="1:49" ht="15.75" thickTop="1" x14ac:dyDescent="0.25">
      <c r="R11" s="3"/>
      <c r="T11" s="2"/>
    </row>
    <row r="12" spans="1:49" ht="15.75" thickBot="1" x14ac:dyDescent="0.3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80"/>
      <c r="P12" s="280"/>
      <c r="Q12" s="47"/>
    </row>
    <row r="13" spans="1:49" ht="15.75" thickBot="1" x14ac:dyDescent="0.3">
      <c r="B13" s="232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304"/>
      <c r="O13" s="374" t="s">
        <v>67</v>
      </c>
      <c r="P13" s="375"/>
      <c r="Q13" s="376"/>
      <c r="R13" s="47"/>
    </row>
    <row r="14" spans="1:49" x14ac:dyDescent="0.25">
      <c r="A14" s="162" t="s">
        <v>142</v>
      </c>
      <c r="B14" s="233">
        <v>43739</v>
      </c>
      <c r="C14" s="233">
        <v>43770</v>
      </c>
      <c r="D14" s="233">
        <v>43800</v>
      </c>
      <c r="E14" s="233">
        <v>43831</v>
      </c>
      <c r="F14" s="233">
        <v>43862</v>
      </c>
      <c r="G14" s="233">
        <v>43891</v>
      </c>
      <c r="H14" s="233">
        <v>43922</v>
      </c>
      <c r="I14" s="233">
        <v>43952</v>
      </c>
      <c r="J14" s="233">
        <v>43983</v>
      </c>
      <c r="K14" s="233">
        <v>44013</v>
      </c>
      <c r="L14" s="233">
        <v>44044</v>
      </c>
      <c r="M14" s="233">
        <v>44075</v>
      </c>
      <c r="N14" s="331">
        <v>44105</v>
      </c>
      <c r="O14" s="88">
        <f>EDATE(N14,1)</f>
        <v>44136</v>
      </c>
      <c r="P14" s="89">
        <f>EDATE(O14,1)</f>
        <v>44166</v>
      </c>
      <c r="Q14" s="90">
        <f>EDATE(P14,1)</f>
        <v>44197</v>
      </c>
      <c r="R14" s="1"/>
      <c r="S14" s="1"/>
      <c r="T14" s="1"/>
      <c r="U14" s="1"/>
      <c r="V14" s="1"/>
      <c r="W14" s="1"/>
      <c r="X14" s="1"/>
    </row>
    <row r="15" spans="1:49" x14ac:dyDescent="0.25">
      <c r="A15" s="47" t="s">
        <v>0</v>
      </c>
      <c r="B15" s="308">
        <v>0</v>
      </c>
      <c r="C15" s="308">
        <f>'[1]EOR.1F, EOR.1'!$L$38</f>
        <v>212904.59692268647</v>
      </c>
      <c r="D15" s="308">
        <f>'[1]EOR.1F, EOR.1'!$L$38</f>
        <v>212904.59692268647</v>
      </c>
      <c r="E15" s="308">
        <f>'[1]EOR.1F, EOR.1'!$L$38</f>
        <v>212904.59692268647</v>
      </c>
      <c r="F15" s="308">
        <f>'[1]EOR.1F, EOR.1'!$L$15</f>
        <v>845412.99464061391</v>
      </c>
      <c r="G15" s="308">
        <f>'[1]EOR.1F, EOR.1'!$L$15</f>
        <v>845412.99464061391</v>
      </c>
      <c r="H15" s="308">
        <f>'[1]EOR.1F, EOR.1'!$L$15</f>
        <v>845412.99464061391</v>
      </c>
      <c r="I15" s="308">
        <f>'[1]EOR.1F, EOR.1'!$L$15</f>
        <v>845412.99464061391</v>
      </c>
      <c r="J15" s="308">
        <f>'[1]EOR.1F, EOR.1'!$L$15</f>
        <v>845412.99464061391</v>
      </c>
      <c r="K15" s="308">
        <f>'[1]EOR.1F, EOR.1'!$L$15</f>
        <v>845412.99464061391</v>
      </c>
      <c r="L15" s="308">
        <f>'[1]EOR.1F, EOR.1'!$L$15</f>
        <v>845412.99464061391</v>
      </c>
      <c r="M15" s="308">
        <f>'[1]EOR.1F, EOR.1'!$L$15</f>
        <v>845412.99464061391</v>
      </c>
      <c r="N15" s="308">
        <f>'[1]EOR.1F, EOR.1'!$L$15</f>
        <v>845412.99464061391</v>
      </c>
      <c r="O15" s="319">
        <f>'[1]EOR.1F, EOR.1'!$L$15</f>
        <v>845412.99464061391</v>
      </c>
      <c r="P15" s="137">
        <f>'[1]EOR.1F, EOR.1'!$L$15</f>
        <v>845412.99464061391</v>
      </c>
      <c r="Q15" s="138">
        <f>'[1]EOR.1F, EOR.1'!$L$15</f>
        <v>845412.99464061391</v>
      </c>
      <c r="R15" s="47"/>
    </row>
    <row r="16" spans="1:49" x14ac:dyDescent="0.25">
      <c r="A16" s="47" t="s">
        <v>4</v>
      </c>
      <c r="B16" s="308">
        <v>0</v>
      </c>
      <c r="C16" s="308">
        <f>'[1]EOR.1F, EOR.1'!$L$39</f>
        <v>21961.342334895973</v>
      </c>
      <c r="D16" s="308">
        <f>'[1]EOR.1F, EOR.1'!$L$39</f>
        <v>21961.342334895973</v>
      </c>
      <c r="E16" s="308">
        <f>'[1]EOR.1F, EOR.1'!$L$39</f>
        <v>21961.342334895973</v>
      </c>
      <c r="F16" s="308">
        <f>'[1]EOR.1F, EOR.1'!$L$16</f>
        <v>215583.00169584531</v>
      </c>
      <c r="G16" s="308">
        <f>'[1]EOR.1F, EOR.1'!$L$16</f>
        <v>215583.00169584531</v>
      </c>
      <c r="H16" s="308">
        <f>'[1]EOR.1F, EOR.1'!$L$16</f>
        <v>215583.00169584531</v>
      </c>
      <c r="I16" s="308">
        <f>'[1]EOR.1F, EOR.1'!$L$16</f>
        <v>215583.00169584531</v>
      </c>
      <c r="J16" s="308">
        <f>'[1]EOR.1F, EOR.1'!$L$16</f>
        <v>215583.00169584531</v>
      </c>
      <c r="K16" s="308">
        <f>'[1]EOR.1F, EOR.1'!$L$16</f>
        <v>215583.00169584531</v>
      </c>
      <c r="L16" s="308">
        <f>'[1]EOR.1F, EOR.1'!$L$16</f>
        <v>215583.00169584531</v>
      </c>
      <c r="M16" s="308">
        <f>'[1]EOR.1F, EOR.1'!$L$16</f>
        <v>215583.00169584531</v>
      </c>
      <c r="N16" s="308">
        <f>'[1]EOR.1F, EOR.1'!$L$16</f>
        <v>215583.00169584531</v>
      </c>
      <c r="O16" s="319">
        <f>'[1]EOR.1F, EOR.1'!$L$16</f>
        <v>215583.00169584531</v>
      </c>
      <c r="P16" s="137">
        <f>'[1]EOR.1F, EOR.1'!$L$16</f>
        <v>215583.00169584531</v>
      </c>
      <c r="Q16" s="138">
        <f>'[1]EOR.1F, EOR.1'!$L$16</f>
        <v>215583.00169584531</v>
      </c>
      <c r="R16" s="47"/>
    </row>
    <row r="17" spans="1:19" x14ac:dyDescent="0.25">
      <c r="A17" s="47" t="s">
        <v>5</v>
      </c>
      <c r="B17" s="308">
        <v>0</v>
      </c>
      <c r="C17" s="308">
        <f>'[1]EOR.1F, EOR.1'!$L$40</f>
        <v>92828.194911367013</v>
      </c>
      <c r="D17" s="308">
        <f>'[1]EOR.1F, EOR.1'!$L$40</f>
        <v>92828.194911367013</v>
      </c>
      <c r="E17" s="308">
        <f>'[1]EOR.1F, EOR.1'!$L$40</f>
        <v>92828.194911367013</v>
      </c>
      <c r="F17" s="308">
        <f>'[1]EOR.1F, EOR.1'!$L$17</f>
        <v>501796.12195022247</v>
      </c>
      <c r="G17" s="308">
        <f>'[1]EOR.1F, EOR.1'!$L$17</f>
        <v>501796.12195022247</v>
      </c>
      <c r="H17" s="308">
        <f>'[1]EOR.1F, EOR.1'!$L$17</f>
        <v>501796.12195022247</v>
      </c>
      <c r="I17" s="308">
        <f>'[1]EOR.1F, EOR.1'!$L$17</f>
        <v>501796.12195022247</v>
      </c>
      <c r="J17" s="308">
        <f>'[1]EOR.1F, EOR.1'!$L$17</f>
        <v>501796.12195022247</v>
      </c>
      <c r="K17" s="308">
        <f>'[1]EOR.1F, EOR.1'!$L$17</f>
        <v>501796.12195022247</v>
      </c>
      <c r="L17" s="308">
        <f>'[1]EOR.1F, EOR.1'!$L$17</f>
        <v>501796.12195022247</v>
      </c>
      <c r="M17" s="308">
        <f>'[1]EOR.1F, EOR.1'!$L$17</f>
        <v>501796.12195022247</v>
      </c>
      <c r="N17" s="308">
        <f>'[1]EOR.1F, EOR.1'!$L$17</f>
        <v>501796.12195022247</v>
      </c>
      <c r="O17" s="319">
        <f>'[1]EOR.1F, EOR.1'!$L$17</f>
        <v>501796.12195022247</v>
      </c>
      <c r="P17" s="137">
        <f>'[1]EOR.1F, EOR.1'!$L$17</f>
        <v>501796.12195022247</v>
      </c>
      <c r="Q17" s="138">
        <f>'[1]EOR.1F, EOR.1'!$L$17</f>
        <v>501796.12195022247</v>
      </c>
      <c r="R17" s="47"/>
    </row>
    <row r="18" spans="1:19" x14ac:dyDescent="0.25">
      <c r="A18" s="47" t="s">
        <v>6</v>
      </c>
      <c r="B18" s="308">
        <v>0</v>
      </c>
      <c r="C18" s="308">
        <f>'[1]EOR.1F, EOR.1'!$L$41</f>
        <v>41338.99733627477</v>
      </c>
      <c r="D18" s="308">
        <f>'[1]EOR.1F, EOR.1'!$L$41</f>
        <v>41338.99733627477</v>
      </c>
      <c r="E18" s="308">
        <f>'[1]EOR.1F, EOR.1'!$L$41</f>
        <v>41338.99733627477</v>
      </c>
      <c r="F18" s="308">
        <f>'[1]EOR.1F, EOR.1'!$L$18</f>
        <v>221586.9121136516</v>
      </c>
      <c r="G18" s="308">
        <f>'[1]EOR.1F, EOR.1'!$L$18</f>
        <v>221586.9121136516</v>
      </c>
      <c r="H18" s="308">
        <f>'[1]EOR.1F, EOR.1'!$L$18</f>
        <v>221586.9121136516</v>
      </c>
      <c r="I18" s="308">
        <f>'[1]EOR.1F, EOR.1'!$L$18</f>
        <v>221586.9121136516</v>
      </c>
      <c r="J18" s="308">
        <f>'[1]EOR.1F, EOR.1'!$L$18</f>
        <v>221586.9121136516</v>
      </c>
      <c r="K18" s="308">
        <f>'[1]EOR.1F, EOR.1'!$L$18</f>
        <v>221586.9121136516</v>
      </c>
      <c r="L18" s="308">
        <f>'[1]EOR.1F, EOR.1'!$L$18</f>
        <v>221586.9121136516</v>
      </c>
      <c r="M18" s="308">
        <f>'[1]EOR.1F, EOR.1'!$L$18</f>
        <v>221586.9121136516</v>
      </c>
      <c r="N18" s="308">
        <f>'[1]EOR.1F, EOR.1'!$L$18</f>
        <v>221586.9121136516</v>
      </c>
      <c r="O18" s="319">
        <f>'[1]EOR.1F, EOR.1'!$L$18</f>
        <v>221586.9121136516</v>
      </c>
      <c r="P18" s="137">
        <f>'[1]EOR.1F, EOR.1'!$L$18</f>
        <v>221586.9121136516</v>
      </c>
      <c r="Q18" s="138">
        <f>'[1]EOR.1F, EOR.1'!$L$18</f>
        <v>221586.9121136516</v>
      </c>
      <c r="R18" s="47"/>
    </row>
    <row r="19" spans="1:19" x14ac:dyDescent="0.25">
      <c r="A19" s="47" t="s">
        <v>7</v>
      </c>
      <c r="B19" s="308">
        <v>0</v>
      </c>
      <c r="C19" s="308">
        <f>'[1]EOR.1F, EOR.1'!$L$42</f>
        <v>28420.560668688908</v>
      </c>
      <c r="D19" s="308">
        <f>'[1]EOR.1F, EOR.1'!$L$42</f>
        <v>28420.560668688908</v>
      </c>
      <c r="E19" s="308">
        <f>'[1]EOR.1F, EOR.1'!$L$42</f>
        <v>28420.560668688908</v>
      </c>
      <c r="F19" s="308">
        <f>'[1]EOR.1F, EOR.1'!$L$19</f>
        <v>110599.49629153802</v>
      </c>
      <c r="G19" s="308">
        <f>'[1]EOR.1F, EOR.1'!$L$19</f>
        <v>110599.49629153802</v>
      </c>
      <c r="H19" s="308">
        <f>'[1]EOR.1F, EOR.1'!$L$19</f>
        <v>110599.49629153802</v>
      </c>
      <c r="I19" s="308">
        <f>'[1]EOR.1F, EOR.1'!$L$19</f>
        <v>110599.49629153802</v>
      </c>
      <c r="J19" s="308">
        <f>'[1]EOR.1F, EOR.1'!$L$19</f>
        <v>110599.49629153802</v>
      </c>
      <c r="K19" s="308">
        <f>'[1]EOR.1F, EOR.1'!$L$19</f>
        <v>110599.49629153802</v>
      </c>
      <c r="L19" s="308">
        <f>'[1]EOR.1F, EOR.1'!$L$19</f>
        <v>110599.49629153802</v>
      </c>
      <c r="M19" s="308">
        <f>'[1]EOR.1F, EOR.1'!$L$19</f>
        <v>110599.49629153802</v>
      </c>
      <c r="N19" s="308">
        <f>'[1]EOR.1F, EOR.1'!$L$19</f>
        <v>110599.49629153802</v>
      </c>
      <c r="O19" s="319">
        <f>'[1]EOR.1F, EOR.1'!$L$19</f>
        <v>110599.49629153802</v>
      </c>
      <c r="P19" s="137">
        <f>'[1]EOR.1F, EOR.1'!$L$19</f>
        <v>110599.49629153802</v>
      </c>
      <c r="Q19" s="138">
        <f>'[1]EOR.1F, EOR.1'!$L$19</f>
        <v>110599.49629153802</v>
      </c>
      <c r="R19" s="47"/>
    </row>
    <row r="20" spans="1:19" x14ac:dyDescent="0.25">
      <c r="B20" s="23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Q20" s="99"/>
    </row>
    <row r="21" spans="1:19" x14ac:dyDescent="0.25">
      <c r="A21" s="162" t="s">
        <v>143</v>
      </c>
      <c r="B21" s="23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6"/>
      <c r="Q21" s="99"/>
      <c r="R21" s="113" t="s">
        <v>107</v>
      </c>
      <c r="S21" s="47"/>
    </row>
    <row r="22" spans="1:19" x14ac:dyDescent="0.25">
      <c r="A22" s="47" t="s">
        <v>0</v>
      </c>
      <c r="B22" s="234">
        <v>0</v>
      </c>
      <c r="C22" s="308">
        <f>-[1]EOR.2!AJ5</f>
        <v>33714.800000000003</v>
      </c>
      <c r="D22" s="308">
        <f>-[1]EOR.2!AK5</f>
        <v>45380.49</v>
      </c>
      <c r="E22" s="308">
        <f>-[1]EOR.2!AL5</f>
        <v>50128.14</v>
      </c>
      <c r="F22" s="308">
        <f>-[1]EOR.2!AM5</f>
        <v>482455.38</v>
      </c>
      <c r="G22" s="308">
        <f>-[1]EOR.2!AN5</f>
        <v>884127.07999999984</v>
      </c>
      <c r="H22" s="308">
        <f>-[1]EOR.2!AO5</f>
        <v>703811.8600000001</v>
      </c>
      <c r="I22" s="308">
        <f>-[1]EOR.2!AP5</f>
        <v>628930.02</v>
      </c>
      <c r="J22" s="308">
        <f>-[1]EOR.2!AQ5</f>
        <v>832425.5199999999</v>
      </c>
      <c r="K22" s="308">
        <f>-[1]EOR.2!AR5</f>
        <v>1118485.1099999999</v>
      </c>
      <c r="L22" s="308">
        <f>-[1]EOR.2!AS5</f>
        <v>1049926.19</v>
      </c>
      <c r="M22" s="308">
        <f>-[1]EOR.2!AT5</f>
        <v>946233.76</v>
      </c>
      <c r="N22" s="308">
        <f>-[1]EOR.2!AU5</f>
        <v>639319.73999999987</v>
      </c>
      <c r="O22" s="107">
        <f>'PCR (M3)'!Y28*R22+O36</f>
        <v>671165.59133628942</v>
      </c>
      <c r="P22" s="111">
        <f>'PCR (M3)'!Z28*R22+P36</f>
        <v>968664.48644208862</v>
      </c>
      <c r="Q22" s="112">
        <f>'PCR (M3)'!AA28*R22+Q36</f>
        <v>1205749.7683519728</v>
      </c>
      <c r="R22" s="102">
        <v>8.2200000000000003E-4</v>
      </c>
      <c r="S22" s="47"/>
    </row>
    <row r="23" spans="1:19" x14ac:dyDescent="0.25">
      <c r="A23" s="47" t="s">
        <v>4</v>
      </c>
      <c r="B23" s="234">
        <v>0</v>
      </c>
      <c r="C23" s="308">
        <f>-[1]EOR.2!AJ6</f>
        <v>13013.760000000002</v>
      </c>
      <c r="D23" s="308">
        <f>-[1]EOR.2!AK6</f>
        <v>15283.54</v>
      </c>
      <c r="E23" s="308">
        <f>-[1]EOR.2!AL6</f>
        <v>16296.619999999997</v>
      </c>
      <c r="F23" s="308">
        <f>-[1]EOR.2!AM6</f>
        <v>110765.48</v>
      </c>
      <c r="G23" s="308">
        <f>-[1]EOR.2!AN6</f>
        <v>212349.59</v>
      </c>
      <c r="H23" s="308">
        <f>-[1]EOR.2!AO6</f>
        <v>163909.72</v>
      </c>
      <c r="I23" s="308">
        <f>-[1]EOR.2!AP6</f>
        <v>148552.98000000001</v>
      </c>
      <c r="J23" s="308">
        <f>-[1]EOR.2!AQ6</f>
        <v>186584.49999999997</v>
      </c>
      <c r="K23" s="308">
        <f>-[1]EOR.2!AR6</f>
        <v>232347.63</v>
      </c>
      <c r="L23" s="308">
        <f>-[1]EOR.2!AS6</f>
        <v>226339.22</v>
      </c>
      <c r="M23" s="308">
        <f>-[1]EOR.2!AT6</f>
        <v>216722.26000000007</v>
      </c>
      <c r="N23" s="308">
        <f>-[1]EOR.2!AU6</f>
        <v>175659.7</v>
      </c>
      <c r="O23" s="107">
        <f>'PCR (M3)'!Y29*R23</f>
        <v>171280.52145245633</v>
      </c>
      <c r="P23" s="111">
        <f>'PCR (M3)'!Z29*R23</f>
        <v>199350.93920605315</v>
      </c>
      <c r="Q23" s="112">
        <f>'PCR (M3)'!AA29*R23</f>
        <v>238983.39120997975</v>
      </c>
      <c r="R23" s="102">
        <v>8.0599999999999997E-4</v>
      </c>
      <c r="S23" s="47"/>
    </row>
    <row r="24" spans="1:19" x14ac:dyDescent="0.25">
      <c r="A24" s="47" t="s">
        <v>5</v>
      </c>
      <c r="B24" s="234">
        <v>0</v>
      </c>
      <c r="C24" s="308">
        <f>-[1]EOR.2!AJ7</f>
        <v>61482.37999999999</v>
      </c>
      <c r="D24" s="308">
        <f>-[1]EOR.2!AK7</f>
        <v>66800.56</v>
      </c>
      <c r="E24" s="308">
        <f>-[1]EOR.2!AL7</f>
        <v>69092.259999999995</v>
      </c>
      <c r="F24" s="308">
        <f>-[1]EOR.2!AM7</f>
        <v>245551.36999999997</v>
      </c>
      <c r="G24" s="308">
        <f>-[1]EOR.2!AN7</f>
        <v>469250.83000000007</v>
      </c>
      <c r="H24" s="308">
        <f>-[1]EOR.2!AO7</f>
        <v>402985.79000000004</v>
      </c>
      <c r="I24" s="308">
        <f>-[1]EOR.2!AP7</f>
        <v>376543.58999999997</v>
      </c>
      <c r="J24" s="308">
        <f>-[1]EOR.2!AQ7</f>
        <v>445439.24999999994</v>
      </c>
      <c r="K24" s="308">
        <f>-[1]EOR.2!AR7</f>
        <v>520091.54999999993</v>
      </c>
      <c r="L24" s="308">
        <f>-[1]EOR.2!AS7</f>
        <v>518246.07</v>
      </c>
      <c r="M24" s="308">
        <f>-[1]EOR.2!AT7</f>
        <v>515760.15000000008</v>
      </c>
      <c r="N24" s="308">
        <f>-[1]EOR.2!AU7</f>
        <v>440069.8499999998</v>
      </c>
      <c r="O24" s="107">
        <f>'PCR (M3)'!Y30*R24</f>
        <v>421003.32744719385</v>
      </c>
      <c r="P24" s="111">
        <f>'PCR (M3)'!Z30*R24</f>
        <v>444057.84233263985</v>
      </c>
      <c r="Q24" s="112">
        <f>'PCR (M3)'!AA30*R24</f>
        <v>515089.38807871169</v>
      </c>
      <c r="R24" s="102">
        <v>8.3299999999999997E-4</v>
      </c>
      <c r="S24" s="47"/>
    </row>
    <row r="25" spans="1:19" x14ac:dyDescent="0.25">
      <c r="A25" s="47" t="s">
        <v>6</v>
      </c>
      <c r="B25" s="234">
        <v>0</v>
      </c>
      <c r="C25" s="308">
        <f>-[1]EOR.2!AJ8</f>
        <v>22497.26</v>
      </c>
      <c r="D25" s="308">
        <f>-[1]EOR.2!AK8</f>
        <v>22651.670000000002</v>
      </c>
      <c r="E25" s="308">
        <f>-[1]EOR.2!AL8</f>
        <v>23302.520000000004</v>
      </c>
      <c r="F25" s="308">
        <f>-[1]EOR.2!AM8</f>
        <v>94504.6</v>
      </c>
      <c r="G25" s="308">
        <f>-[1]EOR.2!AN8</f>
        <v>192705.58999999997</v>
      </c>
      <c r="H25" s="308">
        <f>-[1]EOR.2!AO8</f>
        <v>189606.68999999997</v>
      </c>
      <c r="I25" s="308">
        <f>-[1]EOR.2!AP8</f>
        <v>178498.29999999996</v>
      </c>
      <c r="J25" s="308">
        <f>-[1]EOR.2!AQ8</f>
        <v>207884.41</v>
      </c>
      <c r="K25" s="308">
        <f>-[1]EOR.2!AR8</f>
        <v>218804.46999999994</v>
      </c>
      <c r="L25" s="308">
        <f>-[1]EOR.2!AS8</f>
        <v>229342.58000000002</v>
      </c>
      <c r="M25" s="308">
        <f>-[1]EOR.2!AT8</f>
        <v>229401.22</v>
      </c>
      <c r="N25" s="308">
        <f>-[1]EOR.2!AU8</f>
        <v>203907.71999999994</v>
      </c>
      <c r="O25" s="107">
        <f>'PCR (M3)'!Y31*R25</f>
        <v>187773.59417667618</v>
      </c>
      <c r="P25" s="111">
        <f>'PCR (M3)'!Z31*R25</f>
        <v>189856.18178839231</v>
      </c>
      <c r="Q25" s="112">
        <f>'PCR (M3)'!AA31*R25</f>
        <v>218679.74289409516</v>
      </c>
      <c r="R25" s="102">
        <v>8.6200000000000003E-4</v>
      </c>
      <c r="S25" s="47"/>
    </row>
    <row r="26" spans="1:19" x14ac:dyDescent="0.25">
      <c r="A26" s="47" t="s">
        <v>7</v>
      </c>
      <c r="B26" s="234">
        <v>0</v>
      </c>
      <c r="C26" s="308">
        <f>-[1]EOR.2!AJ9</f>
        <v>19674.5</v>
      </c>
      <c r="D26" s="308">
        <f>-[1]EOR.2!AK9</f>
        <v>18512.41</v>
      </c>
      <c r="E26" s="308">
        <f>-[1]EOR.2!AL9</f>
        <v>19591.43</v>
      </c>
      <c r="F26" s="308">
        <f>-[1]EOR.2!AM9</f>
        <v>41025.460000000006</v>
      </c>
      <c r="G26" s="308">
        <f>-[1]EOR.2!AN9</f>
        <v>83980.36</v>
      </c>
      <c r="H26" s="308">
        <f>-[1]EOR.2!AO9</f>
        <v>91636.939999999988</v>
      </c>
      <c r="I26" s="308">
        <f>-[1]EOR.2!AP9</f>
        <v>93038.790000000008</v>
      </c>
      <c r="J26" s="308">
        <f>-[1]EOR.2!AQ9</f>
        <v>73551.31</v>
      </c>
      <c r="K26" s="308">
        <f>-[1]EOR.2!AR9</f>
        <v>104585.12999999999</v>
      </c>
      <c r="L26" s="308">
        <f>-[1]EOR.2!AS9</f>
        <v>107724.62000000002</v>
      </c>
      <c r="M26" s="308">
        <f>-[1]EOR.2!AT9</f>
        <v>109257.54000000001</v>
      </c>
      <c r="N26" s="308">
        <f>-[1]EOR.2!AU9</f>
        <v>96238.28</v>
      </c>
      <c r="O26" s="107">
        <f>'PCR (M3)'!Y32*R26</f>
        <v>95194.442778964149</v>
      </c>
      <c r="P26" s="111">
        <f>'PCR (M3)'!Z32*R26</f>
        <v>93008.871723045566</v>
      </c>
      <c r="Q26" s="112">
        <f>'PCR (M3)'!AA32*R26</f>
        <v>101145.56078594731</v>
      </c>
      <c r="R26" s="102">
        <v>9.9500000000000001E-4</v>
      </c>
      <c r="S26" s="47"/>
    </row>
    <row r="27" spans="1:19" x14ac:dyDescent="0.25">
      <c r="A27" s="47"/>
      <c r="B27" s="236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97"/>
      <c r="P27" s="96"/>
      <c r="Q27" s="99"/>
    </row>
    <row r="28" spans="1:19" x14ac:dyDescent="0.25">
      <c r="A28" s="47" t="s">
        <v>102</v>
      </c>
      <c r="B28" s="23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6"/>
      <c r="Q28" s="99"/>
    </row>
    <row r="29" spans="1:19" x14ac:dyDescent="0.25">
      <c r="A29" s="162" t="s">
        <v>0</v>
      </c>
      <c r="B29" s="237">
        <v>0</v>
      </c>
      <c r="C29" s="112">
        <f>+(C22-C36)+(C36*C22/SUM(C22:C26))</f>
        <v>34664.814043802915</v>
      </c>
      <c r="D29" s="112">
        <f t="shared" ref="D29:M29" si="3">+(D22-D36)+(D36*D22/SUM(D22:D26))</f>
        <v>46616.94291793857</v>
      </c>
      <c r="E29" s="112">
        <f t="shared" si="3"/>
        <v>51471.927874471505</v>
      </c>
      <c r="F29" s="112">
        <f t="shared" si="3"/>
        <v>491723.14124897501</v>
      </c>
      <c r="G29" s="112">
        <f t="shared" si="3"/>
        <v>901852.97547595354</v>
      </c>
      <c r="H29" s="112">
        <f t="shared" si="3"/>
        <v>717355.32092168741</v>
      </c>
      <c r="I29" s="112">
        <f t="shared" si="3"/>
        <v>640346.27348732832</v>
      </c>
      <c r="J29" s="112">
        <f t="shared" si="3"/>
        <v>844542.26457544987</v>
      </c>
      <c r="K29" s="112">
        <f t="shared" si="3"/>
        <v>1133102.114789841</v>
      </c>
      <c r="L29" s="112">
        <f t="shared" si="3"/>
        <v>1063908.4744602107</v>
      </c>
      <c r="M29" s="112">
        <f t="shared" si="3"/>
        <v>959627.4015101348</v>
      </c>
      <c r="N29" s="112">
        <f t="shared" ref="N29" si="4">+(N22-N36)+(N36*N22/SUM(N22:N26))</f>
        <v>650439.87030794169</v>
      </c>
      <c r="O29" s="107">
        <f>+(O22-O36)+(O36*O22/SUM(O22:O26))</f>
        <v>683514.60830780538</v>
      </c>
      <c r="P29" s="111">
        <f t="shared" ref="P29:Q29" si="5">+(P22-P36)+(P36*P22/SUM(P22:P26))</f>
        <v>984057.16122949508</v>
      </c>
      <c r="Q29" s="112">
        <f t="shared" si="5"/>
        <v>1224214.7503237771</v>
      </c>
    </row>
    <row r="30" spans="1:19" x14ac:dyDescent="0.25">
      <c r="A30" s="162" t="s">
        <v>4</v>
      </c>
      <c r="B30" s="237">
        <v>0</v>
      </c>
      <c r="C30" s="112">
        <f t="shared" ref="C30:M30" si="6">+C23+(C36*C23/SUM(C22:C26))</f>
        <v>12907.790365141736</v>
      </c>
      <c r="D30" s="112">
        <f t="shared" si="6"/>
        <v>15130.212156705025</v>
      </c>
      <c r="E30" s="112">
        <f t="shared" si="6"/>
        <v>16125.90970033737</v>
      </c>
      <c r="F30" s="112">
        <f t="shared" si="6"/>
        <v>108678.35084985831</v>
      </c>
      <c r="G30" s="112">
        <f t="shared" si="6"/>
        <v>208421.65493326038</v>
      </c>
      <c r="H30" s="112">
        <f t="shared" si="6"/>
        <v>161292.3370933407</v>
      </c>
      <c r="I30" s="112">
        <f t="shared" si="6"/>
        <v>146424.12383796184</v>
      </c>
      <c r="J30" s="112">
        <f t="shared" si="6"/>
        <v>184109.51692468298</v>
      </c>
      <c r="K30" s="112">
        <f t="shared" si="6"/>
        <v>229190.78340530471</v>
      </c>
      <c r="L30" s="112">
        <f t="shared" si="6"/>
        <v>223413.38255423939</v>
      </c>
      <c r="M30" s="112">
        <f t="shared" si="6"/>
        <v>214012.34618191182</v>
      </c>
      <c r="N30" s="112">
        <f t="shared" ref="N30" si="7">+N23+(N36*N23/SUM(N22:N26))</f>
        <v>173526.92251308711</v>
      </c>
      <c r="O30" s="107">
        <f t="shared" ref="O30:Q30" si="8">+O23+(O36*O23/SUM(O22:O26))</f>
        <v>168863.90733200853</v>
      </c>
      <c r="P30" s="111">
        <f t="shared" si="8"/>
        <v>196038.15624744058</v>
      </c>
      <c r="Q30" s="112">
        <f t="shared" si="8"/>
        <v>234874.22658790133</v>
      </c>
    </row>
    <row r="31" spans="1:19" x14ac:dyDescent="0.25">
      <c r="A31" s="162" t="s">
        <v>5</v>
      </c>
      <c r="B31" s="237">
        <v>0</v>
      </c>
      <c r="C31" s="112">
        <f t="shared" ref="C31:M31" si="9">+C24+(C36*C24/SUM(C22:C26))</f>
        <v>60981.735654413693</v>
      </c>
      <c r="D31" s="112">
        <f t="shared" si="9"/>
        <v>66130.402052580976</v>
      </c>
      <c r="E31" s="112">
        <f t="shared" si="9"/>
        <v>68368.504987674241</v>
      </c>
      <c r="F31" s="112">
        <f t="shared" si="9"/>
        <v>240924.50048989424</v>
      </c>
      <c r="G31" s="112">
        <f t="shared" si="9"/>
        <v>460570.86602995585</v>
      </c>
      <c r="H31" s="112">
        <f t="shared" si="9"/>
        <v>396550.73466360761</v>
      </c>
      <c r="I31" s="112">
        <f t="shared" si="9"/>
        <v>371147.48726380797</v>
      </c>
      <c r="J31" s="112">
        <f t="shared" si="9"/>
        <v>439530.64234592416</v>
      </c>
      <c r="K31" s="112">
        <f t="shared" si="9"/>
        <v>513025.20187952503</v>
      </c>
      <c r="L31" s="112">
        <f t="shared" si="9"/>
        <v>511546.816738792</v>
      </c>
      <c r="M31" s="112">
        <f t="shared" si="9"/>
        <v>509311.04063161189</v>
      </c>
      <c r="N31" s="112">
        <f t="shared" ref="N31" si="10">+N24+(N36*N24/SUM(N22:N26))</f>
        <v>434726.72879035899</v>
      </c>
      <c r="O31" s="107">
        <f t="shared" ref="O31:Q31" si="11">+O24+(O36*O24/SUM(O22:O26))</f>
        <v>415063.34911669343</v>
      </c>
      <c r="P31" s="111">
        <f t="shared" si="11"/>
        <v>436678.55804846942</v>
      </c>
      <c r="Q31" s="112">
        <f t="shared" si="11"/>
        <v>506232.75967460073</v>
      </c>
    </row>
    <row r="32" spans="1:19" x14ac:dyDescent="0.25">
      <c r="A32" s="162" t="s">
        <v>6</v>
      </c>
      <c r="B32" s="237">
        <v>0</v>
      </c>
      <c r="C32" s="112">
        <f t="shared" ref="C32:M32" si="12">+C25+(C36*C25/SUM(C22:C26))</f>
        <v>22314.067254205434</v>
      </c>
      <c r="D32" s="112">
        <f t="shared" si="12"/>
        <v>22424.42345187506</v>
      </c>
      <c r="E32" s="112">
        <f t="shared" si="12"/>
        <v>23058.421519941294</v>
      </c>
      <c r="F32" s="112">
        <f t="shared" si="12"/>
        <v>92723.870972486373</v>
      </c>
      <c r="G32" s="112">
        <f t="shared" si="12"/>
        <v>189141.01968687741</v>
      </c>
      <c r="H32" s="112">
        <f t="shared" si="12"/>
        <v>186578.96651054343</v>
      </c>
      <c r="I32" s="112">
        <f t="shared" si="12"/>
        <v>175940.30886533315</v>
      </c>
      <c r="J32" s="112">
        <f t="shared" si="12"/>
        <v>205126.89050415624</v>
      </c>
      <c r="K32" s="112">
        <f t="shared" si="12"/>
        <v>215831.63078479638</v>
      </c>
      <c r="L32" s="112">
        <f t="shared" si="12"/>
        <v>226377.91877835512</v>
      </c>
      <c r="M32" s="112">
        <f t="shared" si="12"/>
        <v>226532.76737328642</v>
      </c>
      <c r="N32" s="112">
        <f t="shared" ref="N32" si="13">+N25+(N36*N25/SUM(N22:N26))</f>
        <v>201431.96833570959</v>
      </c>
      <c r="O32" s="107">
        <f t="shared" ref="O32:Q32" si="14">+O25+(O36*O25/SUM(O22:O26))</f>
        <v>185124.27763275994</v>
      </c>
      <c r="P32" s="111">
        <f t="shared" si="14"/>
        <v>186701.18123449103</v>
      </c>
      <c r="Q32" s="112">
        <f t="shared" si="14"/>
        <v>214919.68635411543</v>
      </c>
    </row>
    <row r="33" spans="1:19" x14ac:dyDescent="0.25">
      <c r="A33" s="162" t="s">
        <v>7</v>
      </c>
      <c r="B33" s="237">
        <v>0</v>
      </c>
      <c r="C33" s="112">
        <f t="shared" ref="C33:M33" si="15">+C26+(C36*C26/SUM(C22:C26))</f>
        <v>19514.292682436211</v>
      </c>
      <c r="D33" s="112">
        <f t="shared" si="15"/>
        <v>18326.689420900373</v>
      </c>
      <c r="E33" s="112">
        <f t="shared" si="15"/>
        <v>19386.205917575586</v>
      </c>
      <c r="F33" s="112">
        <f t="shared" si="15"/>
        <v>40252.42643878606</v>
      </c>
      <c r="G33" s="112">
        <f t="shared" si="15"/>
        <v>82426.933873952774</v>
      </c>
      <c r="H33" s="112">
        <f t="shared" si="15"/>
        <v>90173.640810820943</v>
      </c>
      <c r="I33" s="112">
        <f t="shared" si="15"/>
        <v>91705.486545568638</v>
      </c>
      <c r="J33" s="112">
        <f t="shared" si="15"/>
        <v>72575.675649786586</v>
      </c>
      <c r="K33" s="112">
        <f t="shared" si="15"/>
        <v>103164.15914053279</v>
      </c>
      <c r="L33" s="112">
        <f t="shared" si="15"/>
        <v>106332.08746840284</v>
      </c>
      <c r="M33" s="112">
        <f t="shared" si="15"/>
        <v>107891.37430305532</v>
      </c>
      <c r="N33" s="112">
        <f t="shared" ref="N33" si="16">+N26+(N36*N26/SUM(N22:N26))</f>
        <v>95069.800052902166</v>
      </c>
      <c r="O33" s="107">
        <f t="shared" ref="O33:Q33" si="17">+O26+(O36*O26/SUM(O22:O26))</f>
        <v>93851.334802312747</v>
      </c>
      <c r="P33" s="111">
        <f t="shared" si="17"/>
        <v>91463.264732323485</v>
      </c>
      <c r="Q33" s="112">
        <f t="shared" si="17"/>
        <v>99406.428380311991</v>
      </c>
    </row>
    <row r="34" spans="1:19" s="47" customFormat="1" x14ac:dyDescent="0.25">
      <c r="B34" s="238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97"/>
      <c r="P34" s="96"/>
      <c r="Q34" s="99"/>
    </row>
    <row r="35" spans="1:19" x14ac:dyDescent="0.25">
      <c r="A35" s="47" t="s">
        <v>106</v>
      </c>
      <c r="B35" s="23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/>
      <c r="Q35" s="99"/>
      <c r="R35" s="189"/>
      <c r="S35" s="47"/>
    </row>
    <row r="36" spans="1:19" x14ac:dyDescent="0.25">
      <c r="A36" s="47" t="str">
        <f>A22</f>
        <v>RES</v>
      </c>
      <c r="B36" s="234">
        <v>0</v>
      </c>
      <c r="C36" s="308">
        <f>[1]EOR.3!AG5</f>
        <v>-1224.55</v>
      </c>
      <c r="D36" s="308">
        <f>[1]EOR.3!AH5</f>
        <v>-1691.72</v>
      </c>
      <c r="E36" s="308">
        <f>[1]EOR.3!AI5</f>
        <v>-1868.8899999999999</v>
      </c>
      <c r="F36" s="308">
        <f>[1]EOR.3!AJ5</f>
        <v>-18358.559999999998</v>
      </c>
      <c r="G36" s="308">
        <f>[1]EOR.3!AK5</f>
        <v>-34080.03</v>
      </c>
      <c r="H36" s="308">
        <f>[1]EOR.3!AL5</f>
        <v>-24782.240000000002</v>
      </c>
      <c r="I36" s="308">
        <f>[1]EOR.3!AM5</f>
        <v>-20429.210000000003</v>
      </c>
      <c r="J36" s="308">
        <f>[1]EOR.3!AN5</f>
        <v>-23158.6</v>
      </c>
      <c r="K36" s="308">
        <f>[1]EOR.3!AO5</f>
        <v>-29813.57</v>
      </c>
      <c r="L36" s="308">
        <f>[1]EOR.3!AP5</f>
        <v>-27554.450000000004</v>
      </c>
      <c r="M36" s="308">
        <f>[1]EOR.3!AQ5</f>
        <v>-25225.43</v>
      </c>
      <c r="N36" s="308">
        <f>[1]EOR.3!AR5</f>
        <v>-18882.45</v>
      </c>
      <c r="O36" s="107">
        <f>-('PCR (M2)'!BH28*$R$22*PPC!$B$14)</f>
        <v>-21818.559867741853</v>
      </c>
      <c r="P36" s="111">
        <f>-('PCR (M2)'!BI28*$R$22*PPC!$B$14)</f>
        <v>-31489.790838521167</v>
      </c>
      <c r="Q36" s="112">
        <f>-('PCR (M2)'!BJ28*$R$22*PPC!$B$14)</f>
        <v>-39197.068273307574</v>
      </c>
      <c r="R36" s="201"/>
      <c r="S36" s="47"/>
    </row>
    <row r="37" spans="1:19" x14ac:dyDescent="0.25">
      <c r="A37" s="47"/>
      <c r="B37" s="236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5"/>
      <c r="Q37" s="99"/>
    </row>
    <row r="38" spans="1:19" ht="15.75" thickBot="1" x14ac:dyDescent="0.3">
      <c r="A38" s="47" t="s">
        <v>88</v>
      </c>
      <c r="B38" s="239">
        <v>0</v>
      </c>
      <c r="C38" s="309">
        <f>-[1]EOR.4!$W$39</f>
        <v>-271.38</v>
      </c>
      <c r="D38" s="309">
        <f>-[1]EOR.4!$W$40</f>
        <v>78.56</v>
      </c>
      <c r="E38" s="309">
        <f>-[1]EOR.4!$W$41</f>
        <v>422.44</v>
      </c>
      <c r="F38" s="309">
        <f>-[1]EOR.4!$W$42</f>
        <v>1787.72</v>
      </c>
      <c r="G38" s="309">
        <f>-[1]EOR.4!$W$43</f>
        <v>1957.52</v>
      </c>
      <c r="H38" s="309">
        <f>-[1]EOR.4!$W$44</f>
        <v>1242.51</v>
      </c>
      <c r="I38" s="309">
        <f>-[1]EOR.4!$W$45</f>
        <v>221.5</v>
      </c>
      <c r="J38" s="309">
        <f>-[1]EOR.4!$W$46</f>
        <v>231.24</v>
      </c>
      <c r="K38" s="309">
        <f>-[1]EOR.4!$W$47</f>
        <v>308.19</v>
      </c>
      <c r="L38" s="309">
        <f>-[1]EOR.4!$W$48</f>
        <v>190.46</v>
      </c>
      <c r="M38" s="309">
        <f>-[1]EOR.4!$W$49</f>
        <v>160.18</v>
      </c>
      <c r="N38" s="309">
        <f>-[1]EOR.4!$W$50</f>
        <v>315.18</v>
      </c>
      <c r="O38" s="221">
        <f>'[2]MEEIA 2 calcs'!$BI$100</f>
        <v>373.32881357571358</v>
      </c>
      <c r="P38" s="222">
        <f>'[2]MEEIA 2 calcs'!$BJ$100</f>
        <v>373.39773508579464</v>
      </c>
      <c r="Q38" s="149">
        <f>'[2]MEEIA 2 calcs'!$BK$100</f>
        <v>309.34841311137956</v>
      </c>
      <c r="R38" s="47"/>
    </row>
    <row r="39" spans="1:19" x14ac:dyDescent="0.25">
      <c r="B39" s="24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218"/>
      <c r="P39" s="150"/>
      <c r="Q39" s="219"/>
    </row>
    <row r="40" spans="1:19" x14ac:dyDescent="0.25">
      <c r="A40" s="47" t="s">
        <v>69</v>
      </c>
      <c r="B40" s="23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6"/>
      <c r="Q40" s="99"/>
    </row>
    <row r="41" spans="1:19" x14ac:dyDescent="0.25">
      <c r="A41" s="162" t="s">
        <v>0</v>
      </c>
      <c r="B41" s="237">
        <f t="shared" ref="B41:C45" si="18">B15-B29</f>
        <v>0</v>
      </c>
      <c r="C41" s="112">
        <f t="shared" si="18"/>
        <v>178239.78287888356</v>
      </c>
      <c r="D41" s="112">
        <f t="shared" ref="D41:M41" si="19">D15-D29</f>
        <v>166287.65400474789</v>
      </c>
      <c r="E41" s="112">
        <f t="shared" si="19"/>
        <v>161432.66904821497</v>
      </c>
      <c r="F41" s="112">
        <f t="shared" si="19"/>
        <v>353689.8533916389</v>
      </c>
      <c r="G41" s="112">
        <f t="shared" si="19"/>
        <v>-56439.980835339637</v>
      </c>
      <c r="H41" s="112">
        <f t="shared" si="19"/>
        <v>128057.6737189265</v>
      </c>
      <c r="I41" s="112">
        <f t="shared" si="19"/>
        <v>205066.72115328559</v>
      </c>
      <c r="J41" s="112">
        <f t="shared" si="19"/>
        <v>870.73006516403984</v>
      </c>
      <c r="K41" s="112">
        <f t="shared" si="19"/>
        <v>-287689.12014922709</v>
      </c>
      <c r="L41" s="112">
        <f t="shared" si="19"/>
        <v>-218495.47981959675</v>
      </c>
      <c r="M41" s="112">
        <f t="shared" si="19"/>
        <v>-114214.4068695209</v>
      </c>
      <c r="N41" s="112">
        <f t="shared" ref="N41" si="20">N15-N29</f>
        <v>194973.12433267222</v>
      </c>
      <c r="O41" s="107">
        <f>O15-O29</f>
        <v>161898.38633280853</v>
      </c>
      <c r="P41" s="111">
        <f t="shared" ref="P41:Q41" si="21">P15-P29</f>
        <v>-138644.16658888117</v>
      </c>
      <c r="Q41" s="112">
        <f t="shared" si="21"/>
        <v>-378801.75568316318</v>
      </c>
    </row>
    <row r="42" spans="1:19" x14ac:dyDescent="0.25">
      <c r="A42" s="162" t="s">
        <v>4</v>
      </c>
      <c r="B42" s="237">
        <f t="shared" si="18"/>
        <v>0</v>
      </c>
      <c r="C42" s="112">
        <f t="shared" si="18"/>
        <v>9053.5519697542368</v>
      </c>
      <c r="D42" s="112">
        <f t="shared" ref="D42:M42" si="22">D16-D30</f>
        <v>6831.1301781909478</v>
      </c>
      <c r="E42" s="112">
        <f t="shared" si="22"/>
        <v>5835.4326345586032</v>
      </c>
      <c r="F42" s="112">
        <f t="shared" si="22"/>
        <v>106904.65084598699</v>
      </c>
      <c r="G42" s="112">
        <f t="shared" si="22"/>
        <v>7161.3467625849298</v>
      </c>
      <c r="H42" s="112">
        <f t="shared" si="22"/>
        <v>54290.664602504607</v>
      </c>
      <c r="I42" s="112">
        <f t="shared" si="22"/>
        <v>69158.877857883461</v>
      </c>
      <c r="J42" s="112">
        <f t="shared" si="22"/>
        <v>31473.48477116233</v>
      </c>
      <c r="K42" s="112">
        <f t="shared" si="22"/>
        <v>-13607.781709459407</v>
      </c>
      <c r="L42" s="112">
        <f t="shared" si="22"/>
        <v>-7830.3808583940845</v>
      </c>
      <c r="M42" s="112">
        <f t="shared" si="22"/>
        <v>1570.6555139334814</v>
      </c>
      <c r="N42" s="112">
        <f t="shared" ref="N42" si="23">N16-N30</f>
        <v>42056.0791827582</v>
      </c>
      <c r="O42" s="107">
        <f t="shared" ref="O42:Q45" si="24">O16-O30</f>
        <v>46719.094363836775</v>
      </c>
      <c r="P42" s="111">
        <f t="shared" si="24"/>
        <v>19544.845448404725</v>
      </c>
      <c r="Q42" s="112">
        <f t="shared" si="24"/>
        <v>-19291.224892056023</v>
      </c>
    </row>
    <row r="43" spans="1:19" x14ac:dyDescent="0.25">
      <c r="A43" s="162" t="s">
        <v>5</v>
      </c>
      <c r="B43" s="237">
        <f t="shared" si="18"/>
        <v>0</v>
      </c>
      <c r="C43" s="112">
        <f t="shared" si="18"/>
        <v>31846.45925695332</v>
      </c>
      <c r="D43" s="112">
        <f t="shared" ref="D43:M43" si="25">D17-D31</f>
        <v>26697.792858786037</v>
      </c>
      <c r="E43" s="112">
        <f t="shared" si="25"/>
        <v>24459.689923692771</v>
      </c>
      <c r="F43" s="112">
        <f t="shared" si="25"/>
        <v>260871.62146032823</v>
      </c>
      <c r="G43" s="112">
        <f t="shared" si="25"/>
        <v>41225.255920266616</v>
      </c>
      <c r="H43" s="112">
        <f t="shared" si="25"/>
        <v>105245.38728661486</v>
      </c>
      <c r="I43" s="112">
        <f t="shared" si="25"/>
        <v>130648.6346864145</v>
      </c>
      <c r="J43" s="112">
        <f t="shared" si="25"/>
        <v>62265.479604298307</v>
      </c>
      <c r="K43" s="112">
        <f t="shared" si="25"/>
        <v>-11229.079929302563</v>
      </c>
      <c r="L43" s="112">
        <f t="shared" si="25"/>
        <v>-9750.6947885695263</v>
      </c>
      <c r="M43" s="112">
        <f t="shared" si="25"/>
        <v>-7514.9186813894194</v>
      </c>
      <c r="N43" s="112">
        <f t="shared" ref="N43" si="26">N17-N31</f>
        <v>67069.393159863481</v>
      </c>
      <c r="O43" s="107">
        <f t="shared" si="24"/>
        <v>86732.772833529045</v>
      </c>
      <c r="P43" s="111">
        <f t="shared" si="24"/>
        <v>65117.563901753048</v>
      </c>
      <c r="Q43" s="112">
        <f t="shared" si="24"/>
        <v>-4436.6377243782626</v>
      </c>
    </row>
    <row r="44" spans="1:19" x14ac:dyDescent="0.25">
      <c r="A44" s="162" t="s">
        <v>6</v>
      </c>
      <c r="B44" s="237">
        <f t="shared" si="18"/>
        <v>0</v>
      </c>
      <c r="C44" s="112">
        <f t="shared" si="18"/>
        <v>19024.930082069335</v>
      </c>
      <c r="D44" s="112">
        <f t="shared" ref="D44:M44" si="27">D18-D32</f>
        <v>18914.57388439971</v>
      </c>
      <c r="E44" s="112">
        <f t="shared" si="27"/>
        <v>18280.575816333476</v>
      </c>
      <c r="F44" s="112">
        <f t="shared" si="27"/>
        <v>128863.04114116523</v>
      </c>
      <c r="G44" s="112">
        <f t="shared" si="27"/>
        <v>32445.892426774197</v>
      </c>
      <c r="H44" s="112">
        <f t="shared" si="27"/>
        <v>35007.945603108179</v>
      </c>
      <c r="I44" s="112">
        <f t="shared" si="27"/>
        <v>45646.603248318454</v>
      </c>
      <c r="J44" s="112">
        <f t="shared" si="27"/>
        <v>16460.021609495365</v>
      </c>
      <c r="K44" s="112">
        <f t="shared" si="27"/>
        <v>5755.2813288552279</v>
      </c>
      <c r="L44" s="112">
        <f t="shared" si="27"/>
        <v>-4791.0066647035128</v>
      </c>
      <c r="M44" s="112">
        <f t="shared" si="27"/>
        <v>-4945.8552596348163</v>
      </c>
      <c r="N44" s="112">
        <f t="shared" ref="N44" si="28">N18-N32</f>
        <v>20154.943777942011</v>
      </c>
      <c r="O44" s="107">
        <f t="shared" si="24"/>
        <v>36462.634480891662</v>
      </c>
      <c r="P44" s="111">
        <f t="shared" si="24"/>
        <v>34885.730879160576</v>
      </c>
      <c r="Q44" s="112">
        <f t="shared" si="24"/>
        <v>6667.2257595361734</v>
      </c>
    </row>
    <row r="45" spans="1:19" x14ac:dyDescent="0.25">
      <c r="A45" s="162" t="s">
        <v>7</v>
      </c>
      <c r="B45" s="237">
        <f t="shared" si="18"/>
        <v>0</v>
      </c>
      <c r="C45" s="112">
        <f t="shared" si="18"/>
        <v>8906.2679862526966</v>
      </c>
      <c r="D45" s="112">
        <f t="shared" ref="D45:M45" si="29">D19-D33</f>
        <v>10093.871247788535</v>
      </c>
      <c r="E45" s="112">
        <f t="shared" si="29"/>
        <v>9034.354751113322</v>
      </c>
      <c r="F45" s="112">
        <f t="shared" si="29"/>
        <v>70347.069852751956</v>
      </c>
      <c r="G45" s="112">
        <f t="shared" si="29"/>
        <v>28172.562417585243</v>
      </c>
      <c r="H45" s="112">
        <f t="shared" si="29"/>
        <v>20425.855480717073</v>
      </c>
      <c r="I45" s="112">
        <f t="shared" si="29"/>
        <v>18894.009745969379</v>
      </c>
      <c r="J45" s="112">
        <f t="shared" si="29"/>
        <v>38023.82064175143</v>
      </c>
      <c r="K45" s="112">
        <f t="shared" si="29"/>
        <v>7435.3371510052239</v>
      </c>
      <c r="L45" s="112">
        <f t="shared" si="29"/>
        <v>4267.408823135178</v>
      </c>
      <c r="M45" s="112">
        <f t="shared" si="29"/>
        <v>2708.1219884827005</v>
      </c>
      <c r="N45" s="112">
        <f t="shared" ref="N45" si="30">N19-N33</f>
        <v>15529.69623863585</v>
      </c>
      <c r="O45" s="107">
        <f t="shared" si="24"/>
        <v>16748.161489225269</v>
      </c>
      <c r="P45" s="111">
        <f t="shared" si="24"/>
        <v>19136.231559214531</v>
      </c>
      <c r="Q45" s="112">
        <f t="shared" si="24"/>
        <v>11193.067911226026</v>
      </c>
    </row>
    <row r="46" spans="1:19" x14ac:dyDescent="0.25">
      <c r="B46" s="23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6"/>
      <c r="Q46" s="99"/>
    </row>
    <row r="47" spans="1:19" x14ac:dyDescent="0.25">
      <c r="A47" s="47" t="s">
        <v>70</v>
      </c>
      <c r="B47" s="23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6"/>
      <c r="Q47" s="99"/>
    </row>
    <row r="48" spans="1:19" x14ac:dyDescent="0.25">
      <c r="A48" s="162" t="s">
        <v>0</v>
      </c>
      <c r="B48" s="237">
        <v>0</v>
      </c>
      <c r="C48" s="112">
        <f>B48+C41+B55+B65</f>
        <v>-284443.22091526957</v>
      </c>
      <c r="D48" s="112">
        <f>C48+D41+C55</f>
        <v>-118586.02171077726</v>
      </c>
      <c r="E48" s="112">
        <f t="shared" ref="E48:E52" si="31">D48+E41+D55</f>
        <v>42657.384145608994</v>
      </c>
      <c r="F48" s="112">
        <f t="shared" ref="F48:F52" si="32">E48+F41+E55</f>
        <v>396414.39014218707</v>
      </c>
      <c r="G48" s="112">
        <f t="shared" ref="G48:G52" si="33">F48+G41+F55</f>
        <v>340570.21451936063</v>
      </c>
      <c r="H48" s="112">
        <f t="shared" ref="H48:H52" si="34">G48+H41+G55</f>
        <v>469163.88672377006</v>
      </c>
      <c r="I48" s="112">
        <f t="shared" ref="I48:I52" si="35">H48+I41+H55</f>
        <v>674597.51749466802</v>
      </c>
      <c r="J48" s="112">
        <f t="shared" ref="J48:J52" si="36">I48+J41+I55</f>
        <v>675540.8044579908</v>
      </c>
      <c r="K48" s="112">
        <f t="shared" ref="K48:K52" si="37">J48+K41+J55</f>
        <v>387922.40836443444</v>
      </c>
      <c r="L48" s="112">
        <f t="shared" ref="L48:L52" si="38">K48+L41+K55</f>
        <v>169489.53372598026</v>
      </c>
      <c r="M48" s="112">
        <f t="shared" ref="M48:N52" si="39">L48+M41+L55</f>
        <v>55294.418296429329</v>
      </c>
      <c r="N48" s="112">
        <f t="shared" si="39"/>
        <v>250273.25251504956</v>
      </c>
      <c r="O48" s="107">
        <f>N48+O41+N55</f>
        <v>412213.35105661058</v>
      </c>
      <c r="P48" s="111">
        <f>O48+P41+O55</f>
        <v>273637.88669290551</v>
      </c>
      <c r="Q48" s="112">
        <f t="shared" ref="P48:Q52" si="40">P48+Q41+P55</f>
        <v>-105118.26267580886</v>
      </c>
    </row>
    <row r="49" spans="1:17" x14ac:dyDescent="0.25">
      <c r="A49" s="162" t="s">
        <v>4</v>
      </c>
      <c r="B49" s="237">
        <v>0</v>
      </c>
      <c r="C49" s="112">
        <f>B49+C42+B56+B66</f>
        <v>-1055.4401611929934</v>
      </c>
      <c r="D49" s="112">
        <f t="shared" ref="D49:D52" si="41">C49+D42+C56</f>
        <v>5774.0927938955501</v>
      </c>
      <c r="E49" s="112">
        <f t="shared" si="31"/>
        <v>11618.740875741467</v>
      </c>
      <c r="F49" s="112">
        <f t="shared" si="32"/>
        <v>118541.68231154185</v>
      </c>
      <c r="G49" s="112">
        <f t="shared" si="33"/>
        <v>125881.19554330054</v>
      </c>
      <c r="H49" s="112">
        <f t="shared" si="34"/>
        <v>180369.97532818306</v>
      </c>
      <c r="I49" s="112">
        <f t="shared" si="35"/>
        <v>249669.91152527192</v>
      </c>
      <c r="J49" s="112">
        <f t="shared" si="36"/>
        <v>281170.24975182657</v>
      </c>
      <c r="K49" s="112">
        <f t="shared" si="37"/>
        <v>267591.90445873927</v>
      </c>
      <c r="L49" s="112">
        <f t="shared" si="38"/>
        <v>259804.70914283951</v>
      </c>
      <c r="M49" s="112">
        <f t="shared" si="39"/>
        <v>261404.93584527154</v>
      </c>
      <c r="N49" s="112">
        <f t="shared" si="39"/>
        <v>303488.00857305492</v>
      </c>
      <c r="O49" s="107">
        <f t="shared" ref="O49:O52" si="42">N49+O42+N56</f>
        <v>350257.68427165388</v>
      </c>
      <c r="P49" s="111">
        <f t="shared" si="40"/>
        <v>369860.90600077057</v>
      </c>
      <c r="Q49" s="112">
        <f t="shared" si="40"/>
        <v>350631.32459304802</v>
      </c>
    </row>
    <row r="50" spans="1:17" x14ac:dyDescent="0.25">
      <c r="A50" s="162" t="s">
        <v>5</v>
      </c>
      <c r="B50" s="237">
        <v>0</v>
      </c>
      <c r="C50" s="112">
        <f>B50+C43+B57+B67</f>
        <v>35451.378648887534</v>
      </c>
      <c r="D50" s="112">
        <f t="shared" si="41"/>
        <v>62202.82093572458</v>
      </c>
      <c r="E50" s="112">
        <f t="shared" si="31"/>
        <v>86761.786509795085</v>
      </c>
      <c r="F50" s="112">
        <f t="shared" si="32"/>
        <v>347769.99112190364</v>
      </c>
      <c r="G50" s="112">
        <f t="shared" si="33"/>
        <v>389517.94041208492</v>
      </c>
      <c r="H50" s="112">
        <f t="shared" si="34"/>
        <v>495376.3614204654</v>
      </c>
      <c r="I50" s="112">
        <f t="shared" si="35"/>
        <v>626412.40519032883</v>
      </c>
      <c r="J50" s="112">
        <f t="shared" si="36"/>
        <v>688745.2591028777</v>
      </c>
      <c r="K50" s="112">
        <f t="shared" si="37"/>
        <v>677588.28563661373</v>
      </c>
      <c r="L50" s="112">
        <f t="shared" si="38"/>
        <v>667946.94399817858</v>
      </c>
      <c r="M50" s="112">
        <f t="shared" si="39"/>
        <v>660508.0515945775</v>
      </c>
      <c r="N50" s="112">
        <f t="shared" si="39"/>
        <v>727645.65101754223</v>
      </c>
      <c r="O50" s="107">
        <f t="shared" si="42"/>
        <v>814499.69812624087</v>
      </c>
      <c r="P50" s="111">
        <f t="shared" si="40"/>
        <v>879753.01197768166</v>
      </c>
      <c r="Q50" s="112">
        <f t="shared" si="40"/>
        <v>875462.99975529965</v>
      </c>
    </row>
    <row r="51" spans="1:17" x14ac:dyDescent="0.25">
      <c r="A51" s="162" t="s">
        <v>6</v>
      </c>
      <c r="B51" s="237">
        <v>0</v>
      </c>
      <c r="C51" s="112">
        <f>B51+C44+B58+B68</f>
        <v>12846.423075086035</v>
      </c>
      <c r="D51" s="112">
        <f t="shared" si="41"/>
        <v>31780.437761980498</v>
      </c>
      <c r="E51" s="112">
        <f t="shared" si="31"/>
        <v>50111.735130498389</v>
      </c>
      <c r="F51" s="112">
        <f t="shared" si="32"/>
        <v>179053.66375197764</v>
      </c>
      <c r="G51" s="112">
        <f t="shared" si="33"/>
        <v>211768.67129877748</v>
      </c>
      <c r="H51" s="112">
        <f t="shared" si="34"/>
        <v>247109.90408394023</v>
      </c>
      <c r="I51" s="112">
        <f t="shared" si="35"/>
        <v>292949.7596327475</v>
      </c>
      <c r="J51" s="112">
        <f t="shared" si="36"/>
        <v>309441.28969776502</v>
      </c>
      <c r="K51" s="112">
        <f t="shared" si="37"/>
        <v>315228.96720884193</v>
      </c>
      <c r="L51" s="112">
        <f t="shared" si="38"/>
        <v>310488.83403370227</v>
      </c>
      <c r="M51" s="112">
        <f t="shared" si="39"/>
        <v>305578.31887189788</v>
      </c>
      <c r="N51" s="112">
        <f t="shared" si="39"/>
        <v>325764.81768564094</v>
      </c>
      <c r="O51" s="107">
        <f t="shared" si="42"/>
        <v>362281.74630281358</v>
      </c>
      <c r="P51" s="111">
        <f t="shared" si="40"/>
        <v>397227.85747302463</v>
      </c>
      <c r="Q51" s="112">
        <f t="shared" si="40"/>
        <v>403961.28787547298</v>
      </c>
    </row>
    <row r="52" spans="1:17" x14ac:dyDescent="0.25">
      <c r="A52" s="162" t="s">
        <v>7</v>
      </c>
      <c r="B52" s="237">
        <v>0</v>
      </c>
      <c r="C52" s="112">
        <f>B52+C45+B59+B69</f>
        <v>57872.328985229557</v>
      </c>
      <c r="D52" s="112">
        <f t="shared" si="41"/>
        <v>68053.779827052713</v>
      </c>
      <c r="E52" s="112">
        <f t="shared" si="31"/>
        <v>77196.748354058524</v>
      </c>
      <c r="F52" s="112">
        <f t="shared" si="32"/>
        <v>147665.34377263315</v>
      </c>
      <c r="G52" s="112">
        <f t="shared" si="33"/>
        <v>176059.84510998297</v>
      </c>
      <c r="H52" s="112">
        <f t="shared" si="34"/>
        <v>196762.78826986332</v>
      </c>
      <c r="I52" s="112">
        <f t="shared" si="35"/>
        <v>215810.67635439915</v>
      </c>
      <c r="J52" s="112">
        <f t="shared" si="36"/>
        <v>253857.70869328812</v>
      </c>
      <c r="K52" s="112">
        <f t="shared" si="37"/>
        <v>261319.62284246073</v>
      </c>
      <c r="L52" s="112">
        <f t="shared" si="38"/>
        <v>265629.20495069469</v>
      </c>
      <c r="M52" s="112">
        <f t="shared" si="39"/>
        <v>268367.5610766426</v>
      </c>
      <c r="N52" s="112">
        <f t="shared" si="39"/>
        <v>283924.96984419378</v>
      </c>
      <c r="O52" s="107">
        <f t="shared" si="42"/>
        <v>300720.45216172643</v>
      </c>
      <c r="P52" s="111">
        <f t="shared" si="40"/>
        <v>319906.80379630125</v>
      </c>
      <c r="Q52" s="112">
        <f t="shared" si="40"/>
        <v>331153.18950815999</v>
      </c>
    </row>
    <row r="53" spans="1:17" x14ac:dyDescent="0.25">
      <c r="B53" s="23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6"/>
      <c r="Q53" s="99"/>
    </row>
    <row r="54" spans="1:17" x14ac:dyDescent="0.25">
      <c r="A54" s="47" t="s">
        <v>65</v>
      </c>
      <c r="B54" s="241">
        <f>+'PCR (M2)'!AU67</f>
        <v>1.7616100000000003E-3</v>
      </c>
      <c r="C54" s="241">
        <f>+'PCR (M2)'!AV67</f>
        <v>1.5133241666666667E-3</v>
      </c>
      <c r="D54" s="241">
        <f>+'PCR (M2)'!AW67</f>
        <v>1.5959991666666667E-3</v>
      </c>
      <c r="E54" s="241">
        <f>+'PCR (M2)'!AX67</f>
        <v>1.5742316666666667E-3</v>
      </c>
      <c r="F54" s="241">
        <f>+'PCR (M2)'!AY67</f>
        <v>1.5029858333333332E-3</v>
      </c>
      <c r="G54" s="241">
        <f>+'PCR (M2)'!AZ67</f>
        <v>1.5738266666666667E-3</v>
      </c>
      <c r="H54" s="241">
        <f>+'PCR (M2)'!BA67</f>
        <v>7.8204999999999995E-4</v>
      </c>
      <c r="I54" s="241">
        <f>+'PCR (M2)'!BB67</f>
        <v>1.0755583333333334E-4</v>
      </c>
      <c r="J54" s="241">
        <f>+'PCR (M2)'!BC67</f>
        <v>1.046925E-4</v>
      </c>
      <c r="K54" s="241">
        <f>+'PCR (M2)'!BD67</f>
        <v>1.6138583333333333E-4</v>
      </c>
      <c r="L54" s="241">
        <f>+'PCR (M2)'!BE67</f>
        <v>1.1382083333333333E-4</v>
      </c>
      <c r="M54" s="241">
        <f>+'PCR (M2)'!BF67</f>
        <v>1.0326333333333334E-4</v>
      </c>
      <c r="N54" s="241">
        <f>+'PCR (M2)'!BG67</f>
        <v>1.6666666666666666E-4</v>
      </c>
      <c r="O54" s="311">
        <f>+'PCR (M2)'!BH67</f>
        <v>1.6666666666666666E-4</v>
      </c>
      <c r="P54" s="183">
        <f>+'PCR (M2)'!BI67</f>
        <v>1.6666666666666666E-4</v>
      </c>
      <c r="Q54" s="249">
        <f>+'PCR (M2)'!BJ67</f>
        <v>1.6666666666666666E-4</v>
      </c>
    </row>
    <row r="55" spans="1:17" x14ac:dyDescent="0.25">
      <c r="A55" s="162" t="s">
        <v>0</v>
      </c>
      <c r="B55" s="237">
        <f t="shared" ref="B55:Q59" si="43">B48*B$54</f>
        <v>0</v>
      </c>
      <c r="C55" s="112">
        <f>C48*C$54</f>
        <v>-430.45480025558288</v>
      </c>
      <c r="D55" s="112">
        <f t="shared" ref="D55:M55" si="44">D48*D$54</f>
        <v>-189.26319182871575</v>
      </c>
      <c r="E55" s="112">
        <f t="shared" si="44"/>
        <v>67.152604939182297</v>
      </c>
      <c r="F55" s="112">
        <f t="shared" si="44"/>
        <v>595.80521251318009</v>
      </c>
      <c r="G55" s="112">
        <f t="shared" si="44"/>
        <v>535.99848548295699</v>
      </c>
      <c r="H55" s="112">
        <f t="shared" si="44"/>
        <v>366.90961761232438</v>
      </c>
      <c r="I55" s="112">
        <f t="shared" si="44"/>
        <v>72.556898158736928</v>
      </c>
      <c r="J55" s="112">
        <f t="shared" si="44"/>
        <v>70.724055670718201</v>
      </c>
      <c r="K55" s="112">
        <f t="shared" si="44"/>
        <v>62.605181142567886</v>
      </c>
      <c r="L55" s="112">
        <f t="shared" si="44"/>
        <v>19.291439969969179</v>
      </c>
      <c r="M55" s="112">
        <f t="shared" si="44"/>
        <v>5.7098859480169475</v>
      </c>
      <c r="N55" s="112">
        <f t="shared" ref="N55" si="45">N48*N$54</f>
        <v>41.712208752508261</v>
      </c>
      <c r="O55" s="107">
        <f>O48*O$54</f>
        <v>68.702225176101763</v>
      </c>
      <c r="P55" s="111">
        <f t="shared" si="43"/>
        <v>45.606314448817585</v>
      </c>
      <c r="Q55" s="112">
        <f t="shared" si="43"/>
        <v>-17.519710445968144</v>
      </c>
    </row>
    <row r="56" spans="1:17" x14ac:dyDescent="0.25">
      <c r="A56" s="162" t="s">
        <v>4</v>
      </c>
      <c r="B56" s="237">
        <f t="shared" si="43"/>
        <v>0</v>
      </c>
      <c r="C56" s="112">
        <f t="shared" si="43"/>
        <v>-1.5972231024039192</v>
      </c>
      <c r="D56" s="112">
        <f t="shared" ref="D56:M56" si="46">D49*D$54</f>
        <v>9.2154472873133031</v>
      </c>
      <c r="E56" s="112">
        <f t="shared" si="46"/>
        <v>18.290589813386617</v>
      </c>
      <c r="F56" s="112">
        <f t="shared" si="46"/>
        <v>178.16646917374797</v>
      </c>
      <c r="G56" s="112">
        <f t="shared" si="46"/>
        <v>198.11518237792754</v>
      </c>
      <c r="H56" s="112">
        <f t="shared" si="46"/>
        <v>141.05833920540556</v>
      </c>
      <c r="I56" s="112">
        <f t="shared" si="46"/>
        <v>26.853455392360228</v>
      </c>
      <c r="J56" s="112">
        <f t="shared" si="46"/>
        <v>29.436416372143103</v>
      </c>
      <c r="K56" s="112">
        <f t="shared" si="46"/>
        <v>43.18554249432735</v>
      </c>
      <c r="L56" s="112">
        <f t="shared" si="46"/>
        <v>29.571188498562279</v>
      </c>
      <c r="M56" s="112">
        <f t="shared" si="46"/>
        <v>26.993545025168892</v>
      </c>
      <c r="N56" s="112">
        <f t="shared" ref="N56" si="47">N49*N$54</f>
        <v>50.581334762175821</v>
      </c>
      <c r="O56" s="107">
        <f t="shared" si="43"/>
        <v>58.376280711942314</v>
      </c>
      <c r="P56" s="111">
        <f t="shared" si="43"/>
        <v>61.643484333461757</v>
      </c>
      <c r="Q56" s="112">
        <f t="shared" si="43"/>
        <v>58.438554098841337</v>
      </c>
    </row>
    <row r="57" spans="1:17" x14ac:dyDescent="0.25">
      <c r="A57" s="162" t="s">
        <v>5</v>
      </c>
      <c r="B57" s="237">
        <f t="shared" si="43"/>
        <v>0</v>
      </c>
      <c r="C57" s="112">
        <f t="shared" si="43"/>
        <v>53.649428051012187</v>
      </c>
      <c r="D57" s="112">
        <f t="shared" ref="D57:M57" si="48">D50*D$54</f>
        <v>99.275650377732319</v>
      </c>
      <c r="E57" s="112">
        <f t="shared" si="48"/>
        <v>136.58315178029224</v>
      </c>
      <c r="F57" s="112">
        <f t="shared" si="48"/>
        <v>522.69336991468026</v>
      </c>
      <c r="G57" s="112">
        <f t="shared" si="48"/>
        <v>613.03372176561697</v>
      </c>
      <c r="H57" s="112">
        <f t="shared" si="48"/>
        <v>387.40908344887492</v>
      </c>
      <c r="I57" s="112">
        <f t="shared" si="48"/>
        <v>67.374308250583482</v>
      </c>
      <c r="J57" s="112">
        <f t="shared" si="48"/>
        <v>72.106463038628021</v>
      </c>
      <c r="K57" s="112">
        <f t="shared" si="48"/>
        <v>109.3531501343696</v>
      </c>
      <c r="L57" s="112">
        <f t="shared" si="48"/>
        <v>76.026277788326013</v>
      </c>
      <c r="M57" s="112">
        <f t="shared" si="48"/>
        <v>68.206263101161397</v>
      </c>
      <c r="N57" s="112">
        <f t="shared" ref="N57" si="49">N50*N$54</f>
        <v>121.27427516959037</v>
      </c>
      <c r="O57" s="107">
        <f t="shared" si="43"/>
        <v>135.74994968770682</v>
      </c>
      <c r="P57" s="111">
        <f t="shared" si="43"/>
        <v>146.62550199628026</v>
      </c>
      <c r="Q57" s="112">
        <f t="shared" si="43"/>
        <v>145.91049995921659</v>
      </c>
    </row>
    <row r="58" spans="1:17" x14ac:dyDescent="0.25">
      <c r="A58" s="162" t="s">
        <v>6</v>
      </c>
      <c r="B58" s="237">
        <f t="shared" si="43"/>
        <v>0</v>
      </c>
      <c r="C58" s="112">
        <f t="shared" si="43"/>
        <v>19.440802494752013</v>
      </c>
      <c r="D58" s="112">
        <f t="shared" ref="D58:M58" si="50">D51*D$54</f>
        <v>50.721552184422741</v>
      </c>
      <c r="E58" s="112">
        <f t="shared" si="50"/>
        <v>78.887480314043032</v>
      </c>
      <c r="F58" s="112">
        <f t="shared" si="50"/>
        <v>269.11512002565257</v>
      </c>
      <c r="G58" s="112">
        <f t="shared" si="50"/>
        <v>333.28718205458398</v>
      </c>
      <c r="H58" s="112">
        <f t="shared" si="50"/>
        <v>193.25230048884544</v>
      </c>
      <c r="I58" s="112">
        <f t="shared" si="50"/>
        <v>31.508455522099855</v>
      </c>
      <c r="J58" s="112">
        <f t="shared" si="50"/>
        <v>32.396182221683262</v>
      </c>
      <c r="K58" s="112">
        <f t="shared" si="50"/>
        <v>50.873489563804959</v>
      </c>
      <c r="L58" s="112">
        <f t="shared" si="50"/>
        <v>35.340097830411018</v>
      </c>
      <c r="M58" s="112">
        <f t="shared" si="50"/>
        <v>31.555035801108417</v>
      </c>
      <c r="N58" s="112">
        <f t="shared" ref="N58" si="51">N51*N$54</f>
        <v>54.294136280940158</v>
      </c>
      <c r="O58" s="107">
        <f t="shared" si="43"/>
        <v>60.380291050468927</v>
      </c>
      <c r="P58" s="111">
        <f t="shared" si="43"/>
        <v>66.204642912170769</v>
      </c>
      <c r="Q58" s="112">
        <f t="shared" si="43"/>
        <v>67.32688131257882</v>
      </c>
    </row>
    <row r="59" spans="1:17" ht="15.75" thickBot="1" x14ac:dyDescent="0.3">
      <c r="A59" s="162" t="s">
        <v>7</v>
      </c>
      <c r="B59" s="237">
        <f t="shared" si="43"/>
        <v>0</v>
      </c>
      <c r="C59" s="112">
        <f t="shared" si="43"/>
        <v>87.579594034631697</v>
      </c>
      <c r="D59" s="112">
        <f t="shared" ref="D59:M59" si="52">D52*D$54</f>
        <v>108.61377589249294</v>
      </c>
      <c r="E59" s="112">
        <f t="shared" si="52"/>
        <v>121.5255658226568</v>
      </c>
      <c r="F59" s="112">
        <f t="shared" si="52"/>
        <v>221.93891976456416</v>
      </c>
      <c r="G59" s="112">
        <f t="shared" si="52"/>
        <v>277.08767916329413</v>
      </c>
      <c r="H59" s="112">
        <f t="shared" si="52"/>
        <v>153.87833856644659</v>
      </c>
      <c r="I59" s="112">
        <f t="shared" si="52"/>
        <v>23.211697137527697</v>
      </c>
      <c r="J59" s="112">
        <f t="shared" si="52"/>
        <v>26.576998167372068</v>
      </c>
      <c r="K59" s="112">
        <f t="shared" si="52"/>
        <v>42.173285098782891</v>
      </c>
      <c r="L59" s="112">
        <f t="shared" si="52"/>
        <v>30.234137465158863</v>
      </c>
      <c r="M59" s="112">
        <f t="shared" si="52"/>
        <v>27.712528915311037</v>
      </c>
      <c r="N59" s="112">
        <f t="shared" ref="N59" si="53">N52*N$54</f>
        <v>47.32082830736563</v>
      </c>
      <c r="O59" s="107">
        <f t="shared" si="43"/>
        <v>50.120075360287736</v>
      </c>
      <c r="P59" s="111">
        <f t="shared" si="43"/>
        <v>53.317800632716875</v>
      </c>
      <c r="Q59" s="112">
        <f t="shared" si="43"/>
        <v>55.192198251359997</v>
      </c>
    </row>
    <row r="60" spans="1:17" ht="16.5" thickTop="1" thickBot="1" x14ac:dyDescent="0.3">
      <c r="A60" s="123" t="s">
        <v>71</v>
      </c>
      <c r="B60" s="242">
        <f>SUM(B55:B59)+SUM(B48:B52)-B63</f>
        <v>0</v>
      </c>
      <c r="C60" s="129">
        <f>SUM(C55:C59)+SUM(C48:C52)-C63</f>
        <v>0</v>
      </c>
      <c r="D60" s="129">
        <f t="shared" ref="D60:M60" si="54">SUM(D55:D59)+SUM(D48:D52)-D63</f>
        <v>0</v>
      </c>
      <c r="E60" s="129">
        <f t="shared" si="54"/>
        <v>0</v>
      </c>
      <c r="F60" s="129">
        <f t="shared" si="54"/>
        <v>0</v>
      </c>
      <c r="G60" s="129">
        <f t="shared" si="54"/>
        <v>0</v>
      </c>
      <c r="H60" s="129">
        <f t="shared" si="54"/>
        <v>0</v>
      </c>
      <c r="I60" s="129">
        <f t="shared" si="54"/>
        <v>0</v>
      </c>
      <c r="J60" s="129">
        <f t="shared" si="54"/>
        <v>0</v>
      </c>
      <c r="K60" s="129">
        <f t="shared" si="54"/>
        <v>0</v>
      </c>
      <c r="L60" s="129">
        <f t="shared" si="54"/>
        <v>0</v>
      </c>
      <c r="M60" s="129">
        <f t="shared" si="54"/>
        <v>0</v>
      </c>
      <c r="N60" s="129">
        <f t="shared" ref="N60:Q60" si="55">SUM(N55:N59)+SUM(N48:N52)-N63</f>
        <v>0</v>
      </c>
      <c r="O60" s="129">
        <f t="shared" si="55"/>
        <v>0</v>
      </c>
      <c r="P60" s="129">
        <f t="shared" si="55"/>
        <v>0</v>
      </c>
      <c r="Q60" s="129">
        <f t="shared" si="55"/>
        <v>0</v>
      </c>
    </row>
    <row r="61" spans="1:17" ht="16.5" thickTop="1" thickBot="1" x14ac:dyDescent="0.3">
      <c r="A61" s="123" t="s">
        <v>72</v>
      </c>
      <c r="B61" s="242">
        <f t="shared" ref="B61" si="56">SUM(B55:B59)-B38</f>
        <v>0</v>
      </c>
      <c r="C61" s="129">
        <f>SUM(C55:C59)-C38</f>
        <v>-2.198777590933787E-3</v>
      </c>
      <c r="D61" s="129">
        <f t="shared" ref="D61:M61" si="57">SUM(D55:D59)-D38</f>
        <v>3.2339132455661002E-3</v>
      </c>
      <c r="E61" s="129">
        <f t="shared" si="57"/>
        <v>-6.0733043898153483E-4</v>
      </c>
      <c r="F61" s="129">
        <f t="shared" si="57"/>
        <v>-9.0860817476823286E-4</v>
      </c>
      <c r="G61" s="129">
        <f t="shared" si="57"/>
        <v>2.2508443796596111E-3</v>
      </c>
      <c r="H61" s="129">
        <f t="shared" si="57"/>
        <v>-2.3206781031603896E-3</v>
      </c>
      <c r="I61" s="129">
        <f t="shared" si="57"/>
        <v>4.8144613082001797E-3</v>
      </c>
      <c r="J61" s="129">
        <f t="shared" si="57"/>
        <v>1.1547054464244866E-4</v>
      </c>
      <c r="K61" s="129">
        <f t="shared" si="57"/>
        <v>6.4843385274571119E-4</v>
      </c>
      <c r="L61" s="129">
        <f t="shared" si="57"/>
        <v>3.1415524273370465E-3</v>
      </c>
      <c r="M61" s="129">
        <f t="shared" si="57"/>
        <v>-2.7412092333349847E-3</v>
      </c>
      <c r="N61" s="129">
        <f t="shared" ref="N61:Q61" si="58">SUM(N55:N59)-N38</f>
        <v>2.7832725801886227E-3</v>
      </c>
      <c r="O61" s="129">
        <f t="shared" si="58"/>
        <v>8.4107940097055689E-6</v>
      </c>
      <c r="P61" s="129">
        <f>SUM(P55:P59)-P38</f>
        <v>9.2376525913095975E-6</v>
      </c>
      <c r="Q61" s="129">
        <f t="shared" si="58"/>
        <v>1.0064649075047782E-5</v>
      </c>
    </row>
    <row r="62" spans="1:17" ht="15.75" thickTop="1" x14ac:dyDescent="0.25">
      <c r="B62" s="23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6"/>
      <c r="Q62" s="99"/>
    </row>
    <row r="63" spans="1:17" x14ac:dyDescent="0.25">
      <c r="A63" s="47" t="s">
        <v>73</v>
      </c>
      <c r="B63" s="237">
        <f>(SUM(B15:B19)-SUM(B22:B26))+SUM(B55:B59)</f>
        <v>0</v>
      </c>
      <c r="C63" s="237">
        <f>(SUM(C15:C19)-SUM(C22:C26))+SUM(C55:C59)+B63+B64</f>
        <v>-179599.91256603706</v>
      </c>
      <c r="D63" s="237">
        <f>(SUM(D15:D19)-SUM(D22:D26))+SUM(D55:D59)+C63</f>
        <v>49303.672841789288</v>
      </c>
      <c r="E63" s="237">
        <f t="shared" ref="E63:M63" si="59">(SUM(E15:E19)-SUM(E22:E26))+SUM(E55:E59)+D63</f>
        <v>268768.834408372</v>
      </c>
      <c r="F63" s="237">
        <f t="shared" si="59"/>
        <v>1191232.790191635</v>
      </c>
      <c r="G63" s="237">
        <f t="shared" si="59"/>
        <v>1245755.3891343507</v>
      </c>
      <c r="H63" s="237">
        <f t="shared" si="59"/>
        <v>1590025.4235055437</v>
      </c>
      <c r="I63" s="237">
        <f t="shared" si="59"/>
        <v>2059661.7750118764</v>
      </c>
      <c r="J63" s="237">
        <f t="shared" si="59"/>
        <v>2208986.5518192183</v>
      </c>
      <c r="K63" s="237">
        <f t="shared" si="59"/>
        <v>1909959.3791595236</v>
      </c>
      <c r="L63" s="237">
        <f t="shared" si="59"/>
        <v>1673549.6889929471</v>
      </c>
      <c r="M63" s="237">
        <f t="shared" si="59"/>
        <v>1551313.4629436089</v>
      </c>
      <c r="N63" s="237">
        <f>(SUM(N15:N19)-SUM(N22:N26))+SUM(N55:N59)+M63</f>
        <v>1891411.8824187529</v>
      </c>
      <c r="O63" s="237">
        <f>(SUM(O15:O19)-SUM(O22:O26))+SUM(O55:O59)+N63</f>
        <v>2240346.2607410308</v>
      </c>
      <c r="P63" s="237">
        <f>(SUM(P15:P19)-SUM(P22:P26))+SUM(P55:P59)+O63</f>
        <v>2240759.8636850063</v>
      </c>
      <c r="Q63" s="237">
        <f>(SUM(Q15:Q19)-SUM(Q22:Q26))+SUM(Q55:Q59)+P63</f>
        <v>1856399.8874793467</v>
      </c>
    </row>
    <row r="64" spans="1:17" x14ac:dyDescent="0.25">
      <c r="A64" s="162" t="s">
        <v>105</v>
      </c>
      <c r="B64" s="246">
        <f>SUM(B65:B69)</f>
        <v>-426399.52254117257</v>
      </c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40"/>
      <c r="P64" s="341"/>
      <c r="Q64" s="342"/>
    </row>
    <row r="65" spans="1:47" x14ac:dyDescent="0.25">
      <c r="A65" s="196" t="s">
        <v>0</v>
      </c>
      <c r="B65" s="247">
        <v>-462683.00379415316</v>
      </c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95"/>
      <c r="P65" s="96"/>
      <c r="Q65" s="99"/>
    </row>
    <row r="66" spans="1:47" x14ac:dyDescent="0.25">
      <c r="A66" s="196" t="s">
        <v>4</v>
      </c>
      <c r="B66" s="247">
        <v>-10108.99213094723</v>
      </c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243"/>
      <c r="P66" s="244"/>
      <c r="Q66" s="245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</row>
    <row r="67" spans="1:47" x14ac:dyDescent="0.25">
      <c r="A67" s="196" t="s">
        <v>5</v>
      </c>
      <c r="B67" s="247">
        <v>3604.9193919342115</v>
      </c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95"/>
      <c r="P67" s="96"/>
      <c r="Q67" s="99"/>
    </row>
    <row r="68" spans="1:47" x14ac:dyDescent="0.25">
      <c r="A68" s="196" t="s">
        <v>6</v>
      </c>
      <c r="B68" s="247">
        <v>-6178.5070069833</v>
      </c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95"/>
      <c r="P68" s="96"/>
      <c r="Q68" s="99"/>
    </row>
    <row r="69" spans="1:47" ht="15.75" thickBot="1" x14ac:dyDescent="0.3">
      <c r="A69" s="196" t="s">
        <v>7</v>
      </c>
      <c r="B69" s="248">
        <v>48966.060998976864</v>
      </c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130"/>
      <c r="P69" s="131"/>
      <c r="Q69" s="132"/>
    </row>
  </sheetData>
  <mergeCells count="1">
    <mergeCell ref="O13:Q13"/>
  </mergeCells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-0.249977111117893"/>
  </sheetPr>
  <dimension ref="A1:K8"/>
  <sheetViews>
    <sheetView workbookViewId="0">
      <selection activeCell="H22" sqref="H22"/>
    </sheetView>
  </sheetViews>
  <sheetFormatPr defaultRowHeight="15" x14ac:dyDescent="0.25"/>
  <cols>
    <col min="2" max="2" width="18" customWidth="1"/>
    <col min="3" max="3" width="17.140625" customWidth="1"/>
    <col min="4" max="4" width="14.28515625" bestFit="1" customWidth="1"/>
    <col min="5" max="5" width="11.140625" customWidth="1"/>
    <col min="6" max="6" width="15.140625" customWidth="1"/>
    <col min="7" max="7" width="13.28515625" customWidth="1"/>
  </cols>
  <sheetData>
    <row r="1" spans="1:11" x14ac:dyDescent="0.25">
      <c r="A1" s="7" t="s">
        <v>115</v>
      </c>
      <c r="B1" s="162"/>
      <c r="C1" s="162"/>
    </row>
    <row r="2" spans="1:11" x14ac:dyDescent="0.25">
      <c r="A2" s="162"/>
      <c r="B2" s="197"/>
      <c r="C2" s="197"/>
    </row>
    <row r="3" spans="1:11" x14ac:dyDescent="0.25">
      <c r="A3" s="162"/>
      <c r="B3" s="162"/>
      <c r="C3" s="162"/>
      <c r="K3" s="55"/>
    </row>
    <row r="4" spans="1:11" x14ac:dyDescent="0.25">
      <c r="A4" s="165" t="s">
        <v>116</v>
      </c>
      <c r="B4" s="152">
        <v>0</v>
      </c>
      <c r="C4" s="162"/>
      <c r="D4" s="47"/>
      <c r="K4" s="55"/>
    </row>
    <row r="8" spans="1:11" x14ac:dyDescent="0.25">
      <c r="B8" s="4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 xmlns="$ListId:Library;">IN LEGAL CONTROL - DO NOT EDIT</Com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C34A9-022B-46F5-863A-69B00BA86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PPC</vt:lpstr>
      <vt:lpstr>PCR (M3)</vt:lpstr>
      <vt:lpstr>PCR (M2)</vt:lpstr>
      <vt:lpstr>PTD</vt:lpstr>
      <vt:lpstr>TDR (M3)</vt:lpstr>
      <vt:lpstr>TDR (M2)</vt:lpstr>
      <vt:lpstr>EO</vt:lpstr>
      <vt:lpstr>EOR (M2)</vt:lpstr>
      <vt:lpstr>OA</vt:lpstr>
      <vt:lpstr>OAR</vt:lpstr>
      <vt:lpstr>tariff tables (M3)</vt:lpstr>
      <vt:lpstr>tariff tables (M2)</vt:lpstr>
      <vt:lpstr>Sheet 91.23</vt:lpstr>
      <vt:lpstr>'EOR (M2)'!Print_Area</vt:lpstr>
      <vt:lpstr>OAR!Print_Area</vt:lpstr>
      <vt:lpstr>'PCR (M2)'!Print_Area</vt:lpstr>
      <vt:lpstr>'PCR (M3)'!Print_Area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DuMey, Rachael </cp:lastModifiedBy>
  <cp:lastPrinted>2020-12-03T16:18:42Z</cp:lastPrinted>
  <dcterms:created xsi:type="dcterms:W3CDTF">2013-08-12T19:20:10Z</dcterms:created>
  <dcterms:modified xsi:type="dcterms:W3CDTF">2020-12-03T16:18:46Z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Order">
    <vt:r8>3300</vt:r8>
  </property>
  <property fmtid="{D5CDD505-2E9C-101B-9397-08002B2CF9AE}" pid="5" name="SV_HIDDEN_GRID_QUERY_LIST_4F35BF76-6C0D-4D9B-82B2-816C12CF3733">
    <vt:lpwstr>empty_477D106A-C0D6-4607-AEBD-E2C9D60EA279</vt:lpwstr>
  </property>
</Properties>
</file>