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ER-2022-XXXX RESRAM Accumulation 3\"/>
    </mc:Choice>
  </mc:AlternateContent>
  <bookViews>
    <workbookView xWindow="0" yWindow="0" windowWidth="20520" windowHeight="9405" tabRatio="888" activeTab="4"/>
  </bookViews>
  <sheets>
    <sheet name="Monthly Cost Tracker 1" sheetId="31" r:id="rId1"/>
    <sheet name="Monthly Cost Tracker 2" sheetId="4" r:id="rId2"/>
    <sheet name="Monthly Cost Tracker 3" sheetId="47" r:id="rId3"/>
    <sheet name="True-Up" sheetId="32" r:id="rId4"/>
    <sheet name="Rate Schedule" sheetId="2" r:id="rId5"/>
    <sheet name="RRR" sheetId="9" r:id="rId6"/>
    <sheet name="SRP" sheetId="10" r:id="rId7"/>
    <sheet name="RAC" sheetId="11" r:id="rId8"/>
    <sheet name="Jan 19 int" sheetId="12" state="hidden" r:id="rId9"/>
    <sheet name="Feb 19 int" sheetId="15" state="hidden" r:id="rId10"/>
    <sheet name="Mar 19 int" sheetId="16" state="hidden" r:id="rId11"/>
    <sheet name="Apr 19 int" sheetId="14" state="hidden" r:id="rId12"/>
    <sheet name="May 19 int" sheetId="13" state="hidden" r:id="rId13"/>
    <sheet name="June 19 int" sheetId="18" state="hidden" r:id="rId14"/>
    <sheet name="July 19 int" sheetId="17" state="hidden" r:id="rId15"/>
    <sheet name="WACC" sheetId="49" r:id="rId16"/>
    <sheet name="Rate Base" sheetId="48" r:id="rId17"/>
    <sheet name="Aug 20 Int" sheetId="34" r:id="rId18"/>
    <sheet name="Sept 20 Int" sheetId="35" r:id="rId19"/>
    <sheet name="Oct 20 Int" sheetId="36" r:id="rId20"/>
    <sheet name="Nov 20 Int" sheetId="46" r:id="rId21"/>
    <sheet name="Dec 20 Int" sheetId="38" r:id="rId22"/>
    <sheet name="Jan 21 Int" sheetId="39" r:id="rId23"/>
    <sheet name="Feb 21 Int" sheetId="40" r:id="rId24"/>
    <sheet name="Mar 21 Int" sheetId="41" r:id="rId25"/>
    <sheet name="Apr 21 Int" sheetId="42" r:id="rId26"/>
    <sheet name="May 21 Int" sheetId="43" r:id="rId27"/>
    <sheet name="Jun 21 Int" sheetId="44" r:id="rId28"/>
    <sheet name="Jul 21 Int" sheetId="45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p" localSheetId="16">#REF!</definedName>
    <definedName name="\p" localSheetId="15">#REF!</definedName>
    <definedName name="\p">#REF!</definedName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DEPRECIATION" localSheetId="16">#REF!</definedName>
    <definedName name="DEPRECIATION" localSheetId="15">#REF!</definedName>
    <definedName name="DEPRECIATION">#REF!</definedName>
    <definedName name="FINAL_JV" localSheetId="16">#REF!</definedName>
    <definedName name="FINAL_JV" localSheetId="15">#REF!</definedName>
    <definedName name="FINAL_JV">#REF!</definedName>
    <definedName name="JOURNAL_VOUCHER" localSheetId="16">#REF!</definedName>
    <definedName name="JOURNAL_VOUCHER" localSheetId="15">#REF!</definedName>
    <definedName name="JOURNAL_VOUCHER">#REF!</definedName>
    <definedName name="LABOR_RATIO" localSheetId="16">#REF!</definedName>
    <definedName name="LABOR_RATIO" localSheetId="15">#REF!</definedName>
    <definedName name="LABOR_RATIO">#REF!</definedName>
    <definedName name="OTHER_TAXES" localSheetId="16">#REF!</definedName>
    <definedName name="OTHER_TAXES" localSheetId="15">#REF!</definedName>
    <definedName name="OTHER_TAXES">#REF!</definedName>
    <definedName name="OTHER_TAXES_2" localSheetId="16">#REF!</definedName>
    <definedName name="OTHER_TAXES_2" localSheetId="15">#REF!</definedName>
    <definedName name="OTHER_TAXES_2">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_xlnm.Print_Area" localSheetId="4">'Rate Schedule'!$A$1:$C$25</definedName>
    <definedName name="PRINT_MACRO" localSheetId="16">#REF!</definedName>
    <definedName name="PRINT_MACRO" localSheetId="15">#REF!</definedName>
    <definedName name="PRINT_MACRO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ANGE_NAMES" localSheetId="16">#REF!</definedName>
    <definedName name="RANGE_NAMES" localSheetId="15">#REF!</definedName>
    <definedName name="RANGE_NAMES">#REF!</definedName>
    <definedName name="Rec_Rate" localSheetId="16">'Rate Base'!#REF!</definedName>
    <definedName name="Rec_Rate" localSheetId="15">#REF!</definedName>
    <definedName name="Rec_Rate">#REF!</definedName>
    <definedName name="ROR" localSheetId="16">'Rate Base'!#REF!</definedName>
    <definedName name="ROR" localSheetId="15">#REF!</definedName>
    <definedName name="ROR">#REF!</definedName>
    <definedName name="ROR_Debt" localSheetId="16">'Rate Base'!#REF!</definedName>
    <definedName name="ROR_Debt" localSheetId="15">#REF!</definedName>
    <definedName name="ROR_Debt">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TAX_RATES_1" localSheetId="16">#REF!</definedName>
    <definedName name="TAX_RATES_1" localSheetId="15">#REF!</definedName>
    <definedName name="TAX_RATES_1">#REF!</definedName>
    <definedName name="TAX_RATES_2" localSheetId="16">#REF!</definedName>
    <definedName name="TAX_RATES_2" localSheetId="15">#REF!</definedName>
    <definedName name="TAX_RATES_2">#REF!</definedName>
    <definedName name="TAX_RATES_3" localSheetId="16">#REF!</definedName>
    <definedName name="TAX_RATES_3" localSheetId="15">#REF!</definedName>
    <definedName name="TAX_RATES_3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1" i="2"/>
  <c r="C13" i="2"/>
  <c r="C12" i="2" l="1"/>
  <c r="E13" i="32" l="1"/>
  <c r="E12" i="32"/>
  <c r="E11" i="32"/>
  <c r="E10" i="32"/>
  <c r="E9" i="32"/>
  <c r="E8" i="32"/>
  <c r="C20" i="49" l="1"/>
  <c r="E18" i="49" s="1"/>
  <c r="I18" i="49" s="1"/>
  <c r="I35" i="49"/>
  <c r="I25" i="49" s="1"/>
  <c r="G7" i="48"/>
  <c r="G10" i="48" s="1"/>
  <c r="F7" i="48"/>
  <c r="F10" i="48" s="1"/>
  <c r="E7" i="48"/>
  <c r="E10" i="48" s="1"/>
  <c r="D7" i="48"/>
  <c r="D14" i="48" s="1"/>
  <c r="D17" i="48" s="1"/>
  <c r="C7" i="48"/>
  <c r="B7" i="48"/>
  <c r="M7" i="48"/>
  <c r="L7" i="48"/>
  <c r="K7" i="48"/>
  <c r="J7" i="48"/>
  <c r="I7" i="48"/>
  <c r="H7" i="48"/>
  <c r="F14" i="48" l="1"/>
  <c r="F17" i="48" s="1"/>
  <c r="G14" i="48"/>
  <c r="G17" i="48" s="1"/>
  <c r="E14" i="48"/>
  <c r="E17" i="48" s="1"/>
  <c r="E14" i="49"/>
  <c r="I14" i="49" s="1"/>
  <c r="E16" i="49"/>
  <c r="I16" i="49" s="1"/>
  <c r="I26" i="49" s="1"/>
  <c r="I27" i="49" s="1"/>
  <c r="E12" i="49"/>
  <c r="J14" i="48"/>
  <c r="J17" i="48" s="1"/>
  <c r="J10" i="48"/>
  <c r="K10" i="48"/>
  <c r="K14" i="48"/>
  <c r="K17" i="48" s="1"/>
  <c r="M10" i="48"/>
  <c r="M14" i="48"/>
  <c r="M17" i="48" s="1"/>
  <c r="B14" i="48"/>
  <c r="B17" i="48" s="1"/>
  <c r="B10" i="48"/>
  <c r="L10" i="48"/>
  <c r="L14" i="48"/>
  <c r="L17" i="48" s="1"/>
  <c r="C14" i="48"/>
  <c r="C17" i="48" s="1"/>
  <c r="C10" i="48"/>
  <c r="H10" i="48"/>
  <c r="H14" i="48"/>
  <c r="H17" i="48" s="1"/>
  <c r="I14" i="48"/>
  <c r="I17" i="48" s="1"/>
  <c r="I10" i="48"/>
  <c r="D10" i="48"/>
  <c r="E20" i="49" l="1"/>
  <c r="I12" i="49"/>
  <c r="I20" i="49" l="1"/>
  <c r="I28" i="49"/>
  <c r="I30" i="49" s="1"/>
  <c r="G8" i="32" l="1"/>
  <c r="G9" i="32"/>
  <c r="G10" i="32"/>
  <c r="G11" i="32"/>
  <c r="G12" i="32"/>
  <c r="G13" i="32"/>
  <c r="C18" i="2" l="1"/>
  <c r="E25" i="32" l="1"/>
  <c r="G25" i="32" s="1"/>
  <c r="E24" i="32"/>
  <c r="G24" i="32" s="1"/>
  <c r="E23" i="32"/>
  <c r="G23" i="32" s="1"/>
  <c r="E22" i="32"/>
  <c r="G22" i="32" s="1"/>
  <c r="E21" i="32"/>
  <c r="G21" i="32" s="1"/>
  <c r="E20" i="32"/>
  <c r="G20" i="32" s="1"/>
  <c r="E19" i="32"/>
  <c r="G19" i="32" s="1"/>
  <c r="E18" i="32"/>
  <c r="G18" i="32" s="1"/>
  <c r="E17" i="32"/>
  <c r="G17" i="32" s="1"/>
  <c r="E16" i="32"/>
  <c r="G16" i="32" s="1"/>
  <c r="E15" i="32"/>
  <c r="G15" i="32" s="1"/>
  <c r="E14" i="32"/>
  <c r="G14" i="32" s="1"/>
  <c r="B19" i="32"/>
  <c r="B18" i="32"/>
  <c r="B17" i="32"/>
  <c r="B16" i="32"/>
  <c r="B15" i="32"/>
  <c r="B14" i="32"/>
  <c r="G27" i="32" l="1"/>
  <c r="B13" i="32"/>
  <c r="B12" i="32"/>
  <c r="B11" i="32"/>
  <c r="B10" i="32"/>
  <c r="B9" i="32"/>
  <c r="B8" i="32"/>
  <c r="B27" i="32" l="1"/>
  <c r="H13" i="32"/>
  <c r="H11" i="32"/>
  <c r="H9" i="32"/>
  <c r="H8" i="32"/>
  <c r="H12" i="32" l="1"/>
  <c r="H10" i="32"/>
  <c r="D27" i="32" l="1"/>
  <c r="J6" i="11"/>
  <c r="C20" i="32" l="1"/>
  <c r="H14" i="32"/>
  <c r="C10" i="9" l="1"/>
  <c r="E10" i="9" l="1"/>
  <c r="C11" i="9"/>
  <c r="D9" i="9"/>
  <c r="D8" i="9"/>
  <c r="E8" i="9" s="1"/>
  <c r="E9" i="9" l="1"/>
  <c r="E11" i="9" s="1"/>
  <c r="C14" i="2" s="1"/>
  <c r="D11" i="9"/>
  <c r="M28" i="47"/>
  <c r="L28" i="47"/>
  <c r="K28" i="47"/>
  <c r="J28" i="47"/>
  <c r="I28" i="47"/>
  <c r="H28" i="47"/>
  <c r="G28" i="47"/>
  <c r="F28" i="47"/>
  <c r="E28" i="47"/>
  <c r="D28" i="47"/>
  <c r="C28" i="47"/>
  <c r="B28" i="47"/>
  <c r="M25" i="47"/>
  <c r="L25" i="47"/>
  <c r="K25" i="47"/>
  <c r="J25" i="47"/>
  <c r="I25" i="47"/>
  <c r="H25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C9" i="2" l="1"/>
  <c r="C25" i="4"/>
  <c r="D25" i="4"/>
  <c r="E25" i="4"/>
  <c r="F25" i="4"/>
  <c r="G25" i="4"/>
  <c r="H25" i="4"/>
  <c r="N25" i="4"/>
  <c r="M25" i="4"/>
  <c r="L25" i="4"/>
  <c r="K25" i="4"/>
  <c r="J25" i="4"/>
  <c r="I25" i="4"/>
  <c r="M28" i="4"/>
  <c r="L28" i="4"/>
  <c r="K28" i="4"/>
  <c r="J28" i="4"/>
  <c r="I28" i="4"/>
  <c r="H31" i="4"/>
  <c r="H28" i="4"/>
  <c r="G28" i="4"/>
  <c r="F28" i="4"/>
  <c r="E28" i="4"/>
  <c r="D28" i="4"/>
  <c r="C28" i="4"/>
  <c r="J26" i="47"/>
  <c r="G25" i="47"/>
  <c r="G26" i="47" s="1"/>
  <c r="F25" i="47"/>
  <c r="F26" i="47" s="1"/>
  <c r="E25" i="47"/>
  <c r="E26" i="47" s="1"/>
  <c r="D25" i="47"/>
  <c r="D26" i="47" s="1"/>
  <c r="C25" i="47"/>
  <c r="C26" i="47" s="1"/>
  <c r="B25" i="47"/>
  <c r="M26" i="47"/>
  <c r="L26" i="47"/>
  <c r="K26" i="47"/>
  <c r="I26" i="47"/>
  <c r="H26" i="47"/>
  <c r="H28" i="31"/>
  <c r="G28" i="31"/>
  <c r="F28" i="31"/>
  <c r="EL40" i="46"/>
  <c r="EG40" i="46"/>
  <c r="EI40" i="46" s="1"/>
  <c r="DW40" i="46"/>
  <c r="DT40" i="46"/>
  <c r="DQ40" i="46"/>
  <c r="DN40" i="46"/>
  <c r="DK40" i="46"/>
  <c r="DH40" i="46"/>
  <c r="DE40" i="46"/>
  <c r="DB40" i="46"/>
  <c r="CY40" i="46"/>
  <c r="CV40" i="46"/>
  <c r="CS40" i="46"/>
  <c r="CP40" i="46"/>
  <c r="CM40" i="46"/>
  <c r="CJ40" i="46"/>
  <c r="CG40" i="46"/>
  <c r="CD40" i="46"/>
  <c r="CA40" i="46"/>
  <c r="BX40" i="46"/>
  <c r="BU40" i="46"/>
  <c r="BR40" i="46"/>
  <c r="BO40" i="46"/>
  <c r="BL40" i="46"/>
  <c r="BI40" i="46"/>
  <c r="BF40" i="46"/>
  <c r="BC40" i="46"/>
  <c r="AZ40" i="46"/>
  <c r="AW40" i="46"/>
  <c r="AT40" i="46"/>
  <c r="AQ40" i="46"/>
  <c r="AO40" i="46"/>
  <c r="AL40" i="46"/>
  <c r="EK40" i="46" s="1"/>
  <c r="AI40" i="46"/>
  <c r="AK40" i="46" s="1"/>
  <c r="AB40" i="46"/>
  <c r="Y40" i="46"/>
  <c r="V40" i="46"/>
  <c r="S40" i="46"/>
  <c r="EH40" i="46" s="1"/>
  <c r="P40" i="46"/>
  <c r="M40" i="46"/>
  <c r="J40" i="46"/>
  <c r="G40" i="46"/>
  <c r="D40" i="46"/>
  <c r="EL39" i="46"/>
  <c r="EK39" i="46"/>
  <c r="EG39" i="46"/>
  <c r="EI39" i="46" s="1"/>
  <c r="DW39" i="46"/>
  <c r="DT39" i="46"/>
  <c r="DQ39" i="46"/>
  <c r="DN39" i="46"/>
  <c r="DK39" i="46"/>
  <c r="DH39" i="46"/>
  <c r="DE39" i="46"/>
  <c r="EM39" i="46" s="1"/>
  <c r="DB39" i="46"/>
  <c r="CY39" i="46"/>
  <c r="CV39" i="46"/>
  <c r="CS39" i="46"/>
  <c r="CP39" i="46"/>
  <c r="CM39" i="46"/>
  <c r="CJ39" i="46"/>
  <c r="CG39" i="46"/>
  <c r="CD39" i="46"/>
  <c r="CA39" i="46"/>
  <c r="BX39" i="46"/>
  <c r="BU39" i="46"/>
  <c r="BR39" i="46"/>
  <c r="BO39" i="46"/>
  <c r="BL39" i="46"/>
  <c r="BI39" i="46"/>
  <c r="BF39" i="46"/>
  <c r="BC39" i="46"/>
  <c r="AZ39" i="46"/>
  <c r="AW39" i="46"/>
  <c r="AT39" i="46"/>
  <c r="AQ39" i="46"/>
  <c r="AO39" i="46"/>
  <c r="AN39" i="46"/>
  <c r="AL39" i="46"/>
  <c r="EB39" i="46" s="1"/>
  <c r="AK39" i="46"/>
  <c r="AI39" i="46"/>
  <c r="AB39" i="46"/>
  <c r="Y39" i="46"/>
  <c r="V39" i="46"/>
  <c r="EH39" i="46" s="1"/>
  <c r="S39" i="46"/>
  <c r="P39" i="46"/>
  <c r="M39" i="46"/>
  <c r="J39" i="46"/>
  <c r="G39" i="46"/>
  <c r="D39" i="46"/>
  <c r="ED39" i="46" s="1"/>
  <c r="EL38" i="46"/>
  <c r="EI38" i="46"/>
  <c r="EG38" i="46"/>
  <c r="DW38" i="46"/>
  <c r="DT38" i="46"/>
  <c r="DQ38" i="46"/>
  <c r="DN38" i="46"/>
  <c r="DK38" i="46"/>
  <c r="DH38" i="46"/>
  <c r="DE38" i="46"/>
  <c r="DB38" i="46"/>
  <c r="CY38" i="46"/>
  <c r="CV38" i="46"/>
  <c r="CS38" i="46"/>
  <c r="CP38" i="46"/>
  <c r="CM38" i="46"/>
  <c r="CJ38" i="46"/>
  <c r="CG38" i="46"/>
  <c r="CD38" i="46"/>
  <c r="CA38" i="46"/>
  <c r="BX38" i="46"/>
  <c r="BU38" i="46"/>
  <c r="BR38" i="46"/>
  <c r="BO38" i="46"/>
  <c r="BL38" i="46"/>
  <c r="BI38" i="46"/>
  <c r="BF38" i="46"/>
  <c r="BC38" i="46"/>
  <c r="AZ38" i="46"/>
  <c r="AW38" i="46"/>
  <c r="AT38" i="46"/>
  <c r="AO38" i="46"/>
  <c r="EK38" i="46" s="1"/>
  <c r="AL38" i="46"/>
  <c r="AN38" i="46" s="1"/>
  <c r="AI38" i="46"/>
  <c r="AK38" i="46" s="1"/>
  <c r="AB38" i="46"/>
  <c r="Y38" i="46"/>
  <c r="V38" i="46"/>
  <c r="S38" i="46"/>
  <c r="EH38" i="46" s="1"/>
  <c r="P38" i="46"/>
  <c r="M38" i="46"/>
  <c r="J38" i="46"/>
  <c r="G38" i="46"/>
  <c r="D38" i="46"/>
  <c r="EL37" i="46"/>
  <c r="EK37" i="46"/>
  <c r="EN37" i="46" s="1"/>
  <c r="EI37" i="46"/>
  <c r="EG37" i="46"/>
  <c r="DW37" i="46"/>
  <c r="DT37" i="46"/>
  <c r="DQ37" i="46"/>
  <c r="DN37" i="46"/>
  <c r="DK37" i="46"/>
  <c r="EM37" i="46" s="1"/>
  <c r="DH37" i="46"/>
  <c r="DE37" i="46"/>
  <c r="DB37" i="46"/>
  <c r="CY37" i="46"/>
  <c r="CV37" i="46"/>
  <c r="CS37" i="46"/>
  <c r="CP37" i="46"/>
  <c r="CM37" i="46"/>
  <c r="CJ37" i="46"/>
  <c r="CG37" i="46"/>
  <c r="CD37" i="46"/>
  <c r="CA37" i="46"/>
  <c r="BX37" i="46"/>
  <c r="BU37" i="46"/>
  <c r="BR37" i="46"/>
  <c r="BO37" i="46"/>
  <c r="BL37" i="46"/>
  <c r="BI37" i="46"/>
  <c r="BF37" i="46"/>
  <c r="BC37" i="46"/>
  <c r="AZ37" i="46"/>
  <c r="AW37" i="46"/>
  <c r="AT37" i="46"/>
  <c r="AQ37" i="46"/>
  <c r="AO37" i="46"/>
  <c r="AN37" i="46"/>
  <c r="AL37" i="46"/>
  <c r="EB37" i="46" s="1"/>
  <c r="AK37" i="46"/>
  <c r="AI37" i="46"/>
  <c r="AB37" i="46"/>
  <c r="Y37" i="46"/>
  <c r="V37" i="46"/>
  <c r="S37" i="46"/>
  <c r="EH37" i="46" s="1"/>
  <c r="P37" i="46"/>
  <c r="M37" i="46"/>
  <c r="J37" i="46"/>
  <c r="G37" i="46"/>
  <c r="D37" i="46"/>
  <c r="ED37" i="46" s="1"/>
  <c r="EL36" i="46"/>
  <c r="EG36" i="46"/>
  <c r="EI36" i="46" s="1"/>
  <c r="EB36" i="46"/>
  <c r="EE36" i="46" s="1"/>
  <c r="DW36" i="46"/>
  <c r="DT36" i="46"/>
  <c r="EM36" i="46" s="1"/>
  <c r="DQ36" i="46"/>
  <c r="DN36" i="46"/>
  <c r="DK36" i="46"/>
  <c r="DH36" i="46"/>
  <c r="DE36" i="46"/>
  <c r="DB36" i="46"/>
  <c r="CY36" i="46"/>
  <c r="CV36" i="46"/>
  <c r="CS36" i="46"/>
  <c r="CP36" i="46"/>
  <c r="CM36" i="46"/>
  <c r="CJ36" i="46"/>
  <c r="CG36" i="46"/>
  <c r="CD36" i="46"/>
  <c r="CA36" i="46"/>
  <c r="BX36" i="46"/>
  <c r="BU36" i="46"/>
  <c r="BR36" i="46"/>
  <c r="BO36" i="46"/>
  <c r="BL36" i="46"/>
  <c r="BI36" i="46"/>
  <c r="BF36" i="46"/>
  <c r="BC36" i="46"/>
  <c r="AZ36" i="46"/>
  <c r="AW36" i="46"/>
  <c r="AT36" i="46"/>
  <c r="AQ36" i="46"/>
  <c r="AN36" i="46"/>
  <c r="AL36" i="46"/>
  <c r="AK36" i="46"/>
  <c r="AI36" i="46"/>
  <c r="EK36" i="46" s="1"/>
  <c r="AB36" i="46"/>
  <c r="Y36" i="46"/>
  <c r="V36" i="46"/>
  <c r="S36" i="46"/>
  <c r="EH36" i="46" s="1"/>
  <c r="P36" i="46"/>
  <c r="M36" i="46"/>
  <c r="J36" i="46"/>
  <c r="G36" i="46"/>
  <c r="D36" i="46"/>
  <c r="ED36" i="46" s="1"/>
  <c r="EL35" i="46"/>
  <c r="EG35" i="46"/>
  <c r="EI35" i="46" s="1"/>
  <c r="EB35" i="46"/>
  <c r="EE35" i="46" s="1"/>
  <c r="DW35" i="46"/>
  <c r="DT35" i="46"/>
  <c r="EM35" i="46" s="1"/>
  <c r="DQ35" i="46"/>
  <c r="DN35" i="46"/>
  <c r="DK35" i="46"/>
  <c r="DH35" i="46"/>
  <c r="DE35" i="46"/>
  <c r="DB35" i="46"/>
  <c r="CY35" i="46"/>
  <c r="CV35" i="46"/>
  <c r="CS35" i="46"/>
  <c r="CP35" i="46"/>
  <c r="CM35" i="46"/>
  <c r="CJ35" i="46"/>
  <c r="CG35" i="46"/>
  <c r="CD35" i="46"/>
  <c r="CA35" i="46"/>
  <c r="BX35" i="46"/>
  <c r="BU35" i="46"/>
  <c r="BR35" i="46"/>
  <c r="BO35" i="46"/>
  <c r="BL35" i="46"/>
  <c r="BI35" i="46"/>
  <c r="BF35" i="46"/>
  <c r="BC35" i="46"/>
  <c r="AZ35" i="46"/>
  <c r="AW35" i="46"/>
  <c r="AT35" i="46"/>
  <c r="AQ35" i="46"/>
  <c r="AN35" i="46"/>
  <c r="AL35" i="46"/>
  <c r="AK35" i="46"/>
  <c r="AI35" i="46"/>
  <c r="EK35" i="46" s="1"/>
  <c r="AB35" i="46"/>
  <c r="Y35" i="46"/>
  <c r="V35" i="46"/>
  <c r="S35" i="46"/>
  <c r="EH35" i="46" s="1"/>
  <c r="P35" i="46"/>
  <c r="M35" i="46"/>
  <c r="J35" i="46"/>
  <c r="G35" i="46"/>
  <c r="D35" i="46"/>
  <c r="ED35" i="46" s="1"/>
  <c r="EL34" i="46"/>
  <c r="EG34" i="46"/>
  <c r="EI34" i="46" s="1"/>
  <c r="EB34" i="46"/>
  <c r="DW34" i="46"/>
  <c r="DT34" i="46"/>
  <c r="EM34" i="46" s="1"/>
  <c r="DQ34" i="46"/>
  <c r="DN34" i="46"/>
  <c r="DK34" i="46"/>
  <c r="DH34" i="46"/>
  <c r="DE34" i="46"/>
  <c r="DB34" i="46"/>
  <c r="CY34" i="46"/>
  <c r="CV34" i="46"/>
  <c r="CS34" i="46"/>
  <c r="CP34" i="46"/>
  <c r="CM34" i="46"/>
  <c r="CJ34" i="46"/>
  <c r="CG34" i="46"/>
  <c r="CD34" i="46"/>
  <c r="CA34" i="46"/>
  <c r="BX34" i="46"/>
  <c r="BU34" i="46"/>
  <c r="BR34" i="46"/>
  <c r="BO34" i="46"/>
  <c r="BL34" i="46"/>
  <c r="BI34" i="46"/>
  <c r="BF34" i="46"/>
  <c r="BC34" i="46"/>
  <c r="AZ34" i="46"/>
  <c r="AW34" i="46"/>
  <c r="AT34" i="46"/>
  <c r="AQ34" i="46"/>
  <c r="AN34" i="46"/>
  <c r="AL34" i="46"/>
  <c r="AK34" i="46"/>
  <c r="AI34" i="46"/>
  <c r="EK34" i="46" s="1"/>
  <c r="AB34" i="46"/>
  <c r="Y34" i="46"/>
  <c r="V34" i="46"/>
  <c r="S34" i="46"/>
  <c r="EH34" i="46" s="1"/>
  <c r="P34" i="46"/>
  <c r="M34" i="46"/>
  <c r="J34" i="46"/>
  <c r="G34" i="46"/>
  <c r="D34" i="46"/>
  <c r="ED34" i="46" s="1"/>
  <c r="EL33" i="46"/>
  <c r="EG33" i="46"/>
  <c r="EI33" i="46" s="1"/>
  <c r="DW33" i="46"/>
  <c r="DT33" i="46"/>
  <c r="DQ33" i="46"/>
  <c r="DN33" i="46"/>
  <c r="DK33" i="46"/>
  <c r="DH33" i="46"/>
  <c r="DE33" i="46"/>
  <c r="DB33" i="46"/>
  <c r="CY33" i="46"/>
  <c r="CV33" i="46"/>
  <c r="CS33" i="46"/>
  <c r="CP33" i="46"/>
  <c r="CM33" i="46"/>
  <c r="CJ33" i="46"/>
  <c r="CG33" i="46"/>
  <c r="CD33" i="46"/>
  <c r="CA33" i="46"/>
  <c r="BX33" i="46"/>
  <c r="BU33" i="46"/>
  <c r="BR33" i="46"/>
  <c r="BO33" i="46"/>
  <c r="BL33" i="46"/>
  <c r="BI33" i="46"/>
  <c r="BF33" i="46"/>
  <c r="BC33" i="46"/>
  <c r="AZ33" i="46"/>
  <c r="AW33" i="46"/>
  <c r="AT33" i="46"/>
  <c r="AO33" i="46"/>
  <c r="AQ33" i="46" s="1"/>
  <c r="AL33" i="46"/>
  <c r="AN33" i="46" s="1"/>
  <c r="AK33" i="46"/>
  <c r="AI33" i="46"/>
  <c r="AB33" i="46"/>
  <c r="Y33" i="46"/>
  <c r="V33" i="46"/>
  <c r="S33" i="46"/>
  <c r="EH33" i="46" s="1"/>
  <c r="P33" i="46"/>
  <c r="M33" i="46"/>
  <c r="J33" i="46"/>
  <c r="G33" i="46"/>
  <c r="D33" i="46"/>
  <c r="EL32" i="46"/>
  <c r="EG32" i="46"/>
  <c r="EI32" i="46" s="1"/>
  <c r="DW32" i="46"/>
  <c r="DT32" i="46"/>
  <c r="DQ32" i="46"/>
  <c r="EM32" i="46" s="1"/>
  <c r="DN32" i="46"/>
  <c r="DK32" i="46"/>
  <c r="DH32" i="46"/>
  <c r="DE32" i="46"/>
  <c r="DB32" i="46"/>
  <c r="CY32" i="46"/>
  <c r="CV32" i="46"/>
  <c r="CS32" i="46"/>
  <c r="CP32" i="46"/>
  <c r="CM32" i="46"/>
  <c r="CJ32" i="46"/>
  <c r="CG32" i="46"/>
  <c r="CD32" i="46"/>
  <c r="CA32" i="46"/>
  <c r="BX32" i="46"/>
  <c r="BU32" i="46"/>
  <c r="BR32" i="46"/>
  <c r="BO32" i="46"/>
  <c r="BL32" i="46"/>
  <c r="BI32" i="46"/>
  <c r="BF32" i="46"/>
  <c r="BC32" i="46"/>
  <c r="AZ32" i="46"/>
  <c r="AW32" i="46"/>
  <c r="AT32" i="46"/>
  <c r="AQ32" i="46"/>
  <c r="AO32" i="46"/>
  <c r="AN32" i="46"/>
  <c r="AL32" i="46"/>
  <c r="EB32" i="46" s="1"/>
  <c r="AK32" i="46"/>
  <c r="AI32" i="46"/>
  <c r="EH32" i="46"/>
  <c r="AB32" i="46"/>
  <c r="Y32" i="46"/>
  <c r="V32" i="46"/>
  <c r="S32" i="46"/>
  <c r="P32" i="46"/>
  <c r="M32" i="46"/>
  <c r="J32" i="46"/>
  <c r="G32" i="46"/>
  <c r="D32" i="46"/>
  <c r="ED32" i="46" s="1"/>
  <c r="EL31" i="46"/>
  <c r="EI31" i="46"/>
  <c r="EG31" i="46"/>
  <c r="DW31" i="46"/>
  <c r="DT31" i="46"/>
  <c r="DQ31" i="46"/>
  <c r="DN31" i="46"/>
  <c r="DK31" i="46"/>
  <c r="DH31" i="46"/>
  <c r="DE31" i="46"/>
  <c r="DB31" i="46"/>
  <c r="CY31" i="46"/>
  <c r="CV31" i="46"/>
  <c r="CS31" i="46"/>
  <c r="CP31" i="46"/>
  <c r="CM31" i="46"/>
  <c r="CJ31" i="46"/>
  <c r="CG31" i="46"/>
  <c r="CD31" i="46"/>
  <c r="CA31" i="46"/>
  <c r="BX31" i="46"/>
  <c r="BU31" i="46"/>
  <c r="BR31" i="46"/>
  <c r="BO31" i="46"/>
  <c r="BL31" i="46"/>
  <c r="BI31" i="46"/>
  <c r="BF31" i="46"/>
  <c r="BC31" i="46"/>
  <c r="AZ31" i="46"/>
  <c r="AW31" i="46"/>
  <c r="AT31" i="46"/>
  <c r="AO31" i="46"/>
  <c r="AQ31" i="46" s="1"/>
  <c r="AN31" i="46"/>
  <c r="AL31" i="46"/>
  <c r="EB31" i="46" s="1"/>
  <c r="AI31" i="46"/>
  <c r="AK31" i="46" s="1"/>
  <c r="AB31" i="46"/>
  <c r="Y31" i="46"/>
  <c r="V31" i="46"/>
  <c r="EH31" i="46" s="1"/>
  <c r="S31" i="46"/>
  <c r="P31" i="46"/>
  <c r="M31" i="46"/>
  <c r="ED31" i="46" s="1"/>
  <c r="J31" i="46"/>
  <c r="G31" i="46"/>
  <c r="D31" i="46"/>
  <c r="EL30" i="46"/>
  <c r="EK30" i="46"/>
  <c r="EI30" i="46"/>
  <c r="EG30" i="46"/>
  <c r="DW30" i="46"/>
  <c r="DT30" i="46"/>
  <c r="EM30" i="46" s="1"/>
  <c r="DQ30" i="46"/>
  <c r="DN30" i="46"/>
  <c r="DK30" i="46"/>
  <c r="DH30" i="46"/>
  <c r="DE30" i="46"/>
  <c r="DB30" i="46"/>
  <c r="CY30" i="46"/>
  <c r="CV30" i="46"/>
  <c r="CS30" i="46"/>
  <c r="CP30" i="46"/>
  <c r="CM30" i="46"/>
  <c r="CJ30" i="46"/>
  <c r="CG30" i="46"/>
  <c r="CD30" i="46"/>
  <c r="CA30" i="46"/>
  <c r="BX30" i="46"/>
  <c r="BU30" i="46"/>
  <c r="BR30" i="46"/>
  <c r="BO30" i="46"/>
  <c r="BL30" i="46"/>
  <c r="BI30" i="46"/>
  <c r="BF30" i="46"/>
  <c r="BC30" i="46"/>
  <c r="AZ30" i="46"/>
  <c r="AW30" i="46"/>
  <c r="AT30" i="46"/>
  <c r="AQ30" i="46"/>
  <c r="AO30" i="46"/>
  <c r="AN30" i="46"/>
  <c r="AL30" i="46"/>
  <c r="EB30" i="46" s="1"/>
  <c r="AK30" i="46"/>
  <c r="AI30" i="46"/>
  <c r="AB30" i="46"/>
  <c r="EH30" i="46" s="1"/>
  <c r="Y30" i="46"/>
  <c r="V30" i="46"/>
  <c r="S30" i="46"/>
  <c r="P30" i="46"/>
  <c r="M30" i="46"/>
  <c r="J30" i="46"/>
  <c r="G30" i="46"/>
  <c r="D30" i="46"/>
  <c r="ED30" i="46" s="1"/>
  <c r="EL29" i="46"/>
  <c r="EG29" i="46"/>
  <c r="EI29" i="46" s="1"/>
  <c r="DW29" i="46"/>
  <c r="DT29" i="46"/>
  <c r="DQ29" i="46"/>
  <c r="DN29" i="46"/>
  <c r="DK29" i="46"/>
  <c r="DH29" i="46"/>
  <c r="DE29" i="46"/>
  <c r="DB29" i="46"/>
  <c r="CY29" i="46"/>
  <c r="CV29" i="46"/>
  <c r="CS29" i="46"/>
  <c r="CP29" i="46"/>
  <c r="CM29" i="46"/>
  <c r="CJ29" i="46"/>
  <c r="CG29" i="46"/>
  <c r="CD29" i="46"/>
  <c r="CA29" i="46"/>
  <c r="BX29" i="46"/>
  <c r="BU29" i="46"/>
  <c r="BR29" i="46"/>
  <c r="BO29" i="46"/>
  <c r="BL29" i="46"/>
  <c r="BI29" i="46"/>
  <c r="BF29" i="46"/>
  <c r="BC29" i="46"/>
  <c r="AZ29" i="46"/>
  <c r="AW29" i="46"/>
  <c r="AT29" i="46"/>
  <c r="AQ29" i="46"/>
  <c r="AO29" i="46"/>
  <c r="AL29" i="46"/>
  <c r="EK29" i="46" s="1"/>
  <c r="AI29" i="46"/>
  <c r="AK29" i="46" s="1"/>
  <c r="AB29" i="46"/>
  <c r="Y29" i="46"/>
  <c r="V29" i="46"/>
  <c r="S29" i="46"/>
  <c r="EH29" i="46" s="1"/>
  <c r="P29" i="46"/>
  <c r="M29" i="46"/>
  <c r="J29" i="46"/>
  <c r="G29" i="46"/>
  <c r="D29" i="46"/>
  <c r="EL28" i="46"/>
  <c r="EK28" i="46"/>
  <c r="EG28" i="46"/>
  <c r="EI28" i="46" s="1"/>
  <c r="DW28" i="46"/>
  <c r="DT28" i="46"/>
  <c r="DQ28" i="46"/>
  <c r="DN28" i="46"/>
  <c r="DK28" i="46"/>
  <c r="DH28" i="46"/>
  <c r="DE28" i="46"/>
  <c r="EM28" i="46" s="1"/>
  <c r="DB28" i="46"/>
  <c r="CY28" i="46"/>
  <c r="CV28" i="46"/>
  <c r="CS28" i="46"/>
  <c r="CP28" i="46"/>
  <c r="CM28" i="46"/>
  <c r="CJ28" i="46"/>
  <c r="CG28" i="46"/>
  <c r="CD28" i="46"/>
  <c r="CA28" i="46"/>
  <c r="BX28" i="46"/>
  <c r="BU28" i="46"/>
  <c r="BR28" i="46"/>
  <c r="BO28" i="46"/>
  <c r="BL28" i="46"/>
  <c r="BI28" i="46"/>
  <c r="BF28" i="46"/>
  <c r="BC28" i="46"/>
  <c r="AZ28" i="46"/>
  <c r="AW28" i="46"/>
  <c r="AT28" i="46"/>
  <c r="AQ28" i="46"/>
  <c r="AO28" i="46"/>
  <c r="AN28" i="46"/>
  <c r="AL28" i="46"/>
  <c r="EB28" i="46" s="1"/>
  <c r="AK28" i="46"/>
  <c r="AI28" i="46"/>
  <c r="AB28" i="46"/>
  <c r="Y28" i="46"/>
  <c r="V28" i="46"/>
  <c r="EH28" i="46" s="1"/>
  <c r="S28" i="46"/>
  <c r="P28" i="46"/>
  <c r="M28" i="46"/>
  <c r="J28" i="46"/>
  <c r="G28" i="46"/>
  <c r="D28" i="46"/>
  <c r="ED28" i="46" s="1"/>
  <c r="EL27" i="46"/>
  <c r="EI27" i="46"/>
  <c r="EG27" i="46"/>
  <c r="DW27" i="46"/>
  <c r="DT27" i="46"/>
  <c r="DQ27" i="46"/>
  <c r="DN27" i="46"/>
  <c r="DK27" i="46"/>
  <c r="DH27" i="46"/>
  <c r="DE27" i="46"/>
  <c r="DB27" i="46"/>
  <c r="CY27" i="46"/>
  <c r="CV27" i="46"/>
  <c r="CS27" i="46"/>
  <c r="CP27" i="46"/>
  <c r="CM27" i="46"/>
  <c r="CJ27" i="46"/>
  <c r="CG27" i="46"/>
  <c r="CD27" i="46"/>
  <c r="CA27" i="46"/>
  <c r="BX27" i="46"/>
  <c r="BU27" i="46"/>
  <c r="BR27" i="46"/>
  <c r="BO27" i="46"/>
  <c r="BL27" i="46"/>
  <c r="BI27" i="46"/>
  <c r="BF27" i="46"/>
  <c r="BC27" i="46"/>
  <c r="AZ27" i="46"/>
  <c r="AW27" i="46"/>
  <c r="AT27" i="46"/>
  <c r="AO27" i="46"/>
  <c r="EK27" i="46" s="1"/>
  <c r="AL27" i="46"/>
  <c r="AN27" i="46" s="1"/>
  <c r="AI27" i="46"/>
  <c r="AK27" i="46" s="1"/>
  <c r="AB27" i="46"/>
  <c r="Y27" i="46"/>
  <c r="V27" i="46"/>
  <c r="S27" i="46"/>
  <c r="EH27" i="46" s="1"/>
  <c r="P27" i="46"/>
  <c r="M27" i="46"/>
  <c r="J27" i="46"/>
  <c r="G27" i="46"/>
  <c r="D27" i="46"/>
  <c r="EL26" i="46"/>
  <c r="EK26" i="46"/>
  <c r="EN26" i="46" s="1"/>
  <c r="EI26" i="46"/>
  <c r="EG26" i="46"/>
  <c r="DW26" i="46"/>
  <c r="DT26" i="46"/>
  <c r="DQ26" i="46"/>
  <c r="DN26" i="46"/>
  <c r="DK26" i="46"/>
  <c r="EM26" i="46" s="1"/>
  <c r="DH26" i="46"/>
  <c r="DE26" i="46"/>
  <c r="DB26" i="46"/>
  <c r="CY26" i="46"/>
  <c r="CV26" i="46"/>
  <c r="CS26" i="46"/>
  <c r="CP26" i="46"/>
  <c r="CM26" i="46"/>
  <c r="CJ26" i="46"/>
  <c r="CG26" i="46"/>
  <c r="CD26" i="46"/>
  <c r="CA26" i="46"/>
  <c r="BX26" i="46"/>
  <c r="BU26" i="46"/>
  <c r="BR26" i="46"/>
  <c r="BO26" i="46"/>
  <c r="BL26" i="46"/>
  <c r="BI26" i="46"/>
  <c r="BF26" i="46"/>
  <c r="BC26" i="46"/>
  <c r="AZ26" i="46"/>
  <c r="AW26" i="46"/>
  <c r="AT26" i="46"/>
  <c r="AQ26" i="46"/>
  <c r="AO26" i="46"/>
  <c r="AN26" i="46"/>
  <c r="AL26" i="46"/>
  <c r="EB26" i="46" s="1"/>
  <c r="AK26" i="46"/>
  <c r="AI26" i="46"/>
  <c r="AB26" i="46"/>
  <c r="Y26" i="46"/>
  <c r="V26" i="46"/>
  <c r="EH26" i="46" s="1"/>
  <c r="S26" i="46"/>
  <c r="P26" i="46"/>
  <c r="M26" i="46"/>
  <c r="J26" i="46"/>
  <c r="G26" i="46"/>
  <c r="D26" i="46"/>
  <c r="ED26" i="46" s="1"/>
  <c r="EL25" i="46"/>
  <c r="EG25" i="46"/>
  <c r="EI25" i="46" s="1"/>
  <c r="EB25" i="46"/>
  <c r="DW25" i="46"/>
  <c r="DT25" i="46"/>
  <c r="EM25" i="46" s="1"/>
  <c r="DQ25" i="46"/>
  <c r="DN25" i="46"/>
  <c r="DK25" i="46"/>
  <c r="DH25" i="46"/>
  <c r="DE25" i="46"/>
  <c r="DB25" i="46"/>
  <c r="CY25" i="46"/>
  <c r="CV25" i="46"/>
  <c r="CS25" i="46"/>
  <c r="CP25" i="46"/>
  <c r="CM25" i="46"/>
  <c r="CJ25" i="46"/>
  <c r="CG25" i="46"/>
  <c r="CD25" i="46"/>
  <c r="CA25" i="46"/>
  <c r="BX25" i="46"/>
  <c r="BU25" i="46"/>
  <c r="BR25" i="46"/>
  <c r="BO25" i="46"/>
  <c r="BL25" i="46"/>
  <c r="BI25" i="46"/>
  <c r="BF25" i="46"/>
  <c r="BC25" i="46"/>
  <c r="AZ25" i="46"/>
  <c r="AW25" i="46"/>
  <c r="AT25" i="46"/>
  <c r="AQ25" i="46"/>
  <c r="AN25" i="46"/>
  <c r="AL25" i="46"/>
  <c r="AK25" i="46"/>
  <c r="AI25" i="46"/>
  <c r="EK25" i="46" s="1"/>
  <c r="AB25" i="46"/>
  <c r="Y25" i="46"/>
  <c r="V25" i="46"/>
  <c r="S25" i="46"/>
  <c r="EH25" i="46" s="1"/>
  <c r="P25" i="46"/>
  <c r="M25" i="46"/>
  <c r="J25" i="46"/>
  <c r="G25" i="46"/>
  <c r="D25" i="46"/>
  <c r="ED25" i="46" s="1"/>
  <c r="EL24" i="46"/>
  <c r="EG24" i="46"/>
  <c r="EI24" i="46" s="1"/>
  <c r="EB24" i="46"/>
  <c r="EE24" i="46" s="1"/>
  <c r="DW24" i="46"/>
  <c r="DT24" i="46"/>
  <c r="EM24" i="46" s="1"/>
  <c r="DQ24" i="46"/>
  <c r="DN24" i="46"/>
  <c r="DK24" i="46"/>
  <c r="DH24" i="46"/>
  <c r="DE24" i="46"/>
  <c r="DB24" i="46"/>
  <c r="CY24" i="46"/>
  <c r="CV24" i="46"/>
  <c r="CS24" i="46"/>
  <c r="CP24" i="46"/>
  <c r="CM24" i="46"/>
  <c r="CJ24" i="46"/>
  <c r="CG24" i="46"/>
  <c r="CD24" i="46"/>
  <c r="CA24" i="46"/>
  <c r="BX24" i="46"/>
  <c r="BU24" i="46"/>
  <c r="BR24" i="46"/>
  <c r="BO24" i="46"/>
  <c r="BL24" i="46"/>
  <c r="BI24" i="46"/>
  <c r="BF24" i="46"/>
  <c r="BC24" i="46"/>
  <c r="AZ24" i="46"/>
  <c r="AW24" i="46"/>
  <c r="AT24" i="46"/>
  <c r="AQ24" i="46"/>
  <c r="AN24" i="46"/>
  <c r="AL24" i="46"/>
  <c r="AK24" i="46"/>
  <c r="AI24" i="46"/>
  <c r="EK24" i="46" s="1"/>
  <c r="AB24" i="46"/>
  <c r="Y24" i="46"/>
  <c r="V24" i="46"/>
  <c r="S24" i="46"/>
  <c r="EH24" i="46" s="1"/>
  <c r="P24" i="46"/>
  <c r="M24" i="46"/>
  <c r="J24" i="46"/>
  <c r="G24" i="46"/>
  <c r="D24" i="46"/>
  <c r="ED24" i="46" s="1"/>
  <c r="EL23" i="46"/>
  <c r="EG23" i="46"/>
  <c r="EI23" i="46" s="1"/>
  <c r="EB23" i="46"/>
  <c r="EE23" i="46" s="1"/>
  <c r="DW23" i="46"/>
  <c r="DT23" i="46"/>
  <c r="EM23" i="46" s="1"/>
  <c r="DQ23" i="46"/>
  <c r="DN23" i="46"/>
  <c r="DK23" i="46"/>
  <c r="DH23" i="46"/>
  <c r="DE23" i="46"/>
  <c r="DB23" i="46"/>
  <c r="CY23" i="46"/>
  <c r="CV23" i="46"/>
  <c r="CS23" i="46"/>
  <c r="CP23" i="46"/>
  <c r="CM23" i="46"/>
  <c r="CJ23" i="46"/>
  <c r="CG23" i="46"/>
  <c r="CD23" i="46"/>
  <c r="CA23" i="46"/>
  <c r="BX23" i="46"/>
  <c r="BU23" i="46"/>
  <c r="BR23" i="46"/>
  <c r="BO23" i="46"/>
  <c r="BL23" i="46"/>
  <c r="BI23" i="46"/>
  <c r="BF23" i="46"/>
  <c r="BC23" i="46"/>
  <c r="AZ23" i="46"/>
  <c r="AW23" i="46"/>
  <c r="AT23" i="46"/>
  <c r="AQ23" i="46"/>
  <c r="AN23" i="46"/>
  <c r="AL23" i="46"/>
  <c r="AK23" i="46"/>
  <c r="AI23" i="46"/>
  <c r="EK23" i="46" s="1"/>
  <c r="EN23" i="46" s="1"/>
  <c r="AB23" i="46"/>
  <c r="Y23" i="46"/>
  <c r="V23" i="46"/>
  <c r="S23" i="46"/>
  <c r="EH23" i="46" s="1"/>
  <c r="P23" i="46"/>
  <c r="M23" i="46"/>
  <c r="J23" i="46"/>
  <c r="G23" i="46"/>
  <c r="D23" i="46"/>
  <c r="ED23" i="46" s="1"/>
  <c r="EL22" i="46"/>
  <c r="EG22" i="46"/>
  <c r="EI22" i="46" s="1"/>
  <c r="EB22" i="46"/>
  <c r="EE22" i="46" s="1"/>
  <c r="DW22" i="46"/>
  <c r="DT22" i="46"/>
  <c r="EM22" i="46" s="1"/>
  <c r="DQ22" i="46"/>
  <c r="DN22" i="46"/>
  <c r="DK22" i="46"/>
  <c r="DH22" i="46"/>
  <c r="DE22" i="46"/>
  <c r="DB22" i="46"/>
  <c r="CY22" i="46"/>
  <c r="CV22" i="46"/>
  <c r="CS22" i="46"/>
  <c r="CP22" i="46"/>
  <c r="CM22" i="46"/>
  <c r="CJ22" i="46"/>
  <c r="CG22" i="46"/>
  <c r="CD22" i="46"/>
  <c r="CA22" i="46"/>
  <c r="BX22" i="46"/>
  <c r="BU22" i="46"/>
  <c r="BR22" i="46"/>
  <c r="BO22" i="46"/>
  <c r="BL22" i="46"/>
  <c r="BI22" i="46"/>
  <c r="BF22" i="46"/>
  <c r="BC22" i="46"/>
  <c r="AZ22" i="46"/>
  <c r="AW22" i="46"/>
  <c r="AT22" i="46"/>
  <c r="AQ22" i="46"/>
  <c r="AN22" i="46"/>
  <c r="AL22" i="46"/>
  <c r="AK22" i="46"/>
  <c r="AI22" i="46"/>
  <c r="EK22" i="46" s="1"/>
  <c r="AB22" i="46"/>
  <c r="Y22" i="46"/>
  <c r="V22" i="46"/>
  <c r="S22" i="46"/>
  <c r="EH22" i="46" s="1"/>
  <c r="P22" i="46"/>
  <c r="M22" i="46"/>
  <c r="J22" i="46"/>
  <c r="G22" i="46"/>
  <c r="D22" i="46"/>
  <c r="ED22" i="46" s="1"/>
  <c r="EL21" i="46"/>
  <c r="EG21" i="46"/>
  <c r="EI21" i="46" s="1"/>
  <c r="EB21" i="46"/>
  <c r="EE21" i="46" s="1"/>
  <c r="DW21" i="46"/>
  <c r="DT21" i="46"/>
  <c r="EM21" i="46" s="1"/>
  <c r="DQ21" i="46"/>
  <c r="DN21" i="46"/>
  <c r="DK21" i="46"/>
  <c r="DH21" i="46"/>
  <c r="DE21" i="46"/>
  <c r="DB21" i="46"/>
  <c r="CY21" i="46"/>
  <c r="CV21" i="46"/>
  <c r="CS21" i="46"/>
  <c r="CP21" i="46"/>
  <c r="CM21" i="46"/>
  <c r="CJ21" i="46"/>
  <c r="CG21" i="46"/>
  <c r="CD21" i="46"/>
  <c r="CA21" i="46"/>
  <c r="BX21" i="46"/>
  <c r="BU21" i="46"/>
  <c r="BR21" i="46"/>
  <c r="BO21" i="46"/>
  <c r="BL21" i="46"/>
  <c r="BI21" i="46"/>
  <c r="BF21" i="46"/>
  <c r="BC21" i="46"/>
  <c r="AZ21" i="46"/>
  <c r="AW21" i="46"/>
  <c r="AT21" i="46"/>
  <c r="AQ21" i="46"/>
  <c r="AN21" i="46"/>
  <c r="AL21" i="46"/>
  <c r="AK21" i="46"/>
  <c r="AI21" i="46"/>
  <c r="EK21" i="46" s="1"/>
  <c r="EN21" i="46" s="1"/>
  <c r="AB21" i="46"/>
  <c r="Y21" i="46"/>
  <c r="V21" i="46"/>
  <c r="S21" i="46"/>
  <c r="EH21" i="46" s="1"/>
  <c r="P21" i="46"/>
  <c r="M21" i="46"/>
  <c r="J21" i="46"/>
  <c r="G21" i="46"/>
  <c r="D21" i="46"/>
  <c r="ED21" i="46" s="1"/>
  <c r="EL20" i="46"/>
  <c r="EG20" i="46"/>
  <c r="EI20" i="46" s="1"/>
  <c r="EB20" i="46"/>
  <c r="DW20" i="46"/>
  <c r="DT20" i="46"/>
  <c r="EM20" i="46" s="1"/>
  <c r="DQ20" i="46"/>
  <c r="DN20" i="46"/>
  <c r="DK20" i="46"/>
  <c r="DH20" i="46"/>
  <c r="DE20" i="46"/>
  <c r="DB20" i="46"/>
  <c r="CY20" i="46"/>
  <c r="CV20" i="46"/>
  <c r="CS20" i="46"/>
  <c r="CP20" i="46"/>
  <c r="CM20" i="46"/>
  <c r="CJ20" i="46"/>
  <c r="CG20" i="46"/>
  <c r="CD20" i="46"/>
  <c r="CA20" i="46"/>
  <c r="BX20" i="46"/>
  <c r="BU20" i="46"/>
  <c r="BR20" i="46"/>
  <c r="BO20" i="46"/>
  <c r="BL20" i="46"/>
  <c r="BI20" i="46"/>
  <c r="BF20" i="46"/>
  <c r="BC20" i="46"/>
  <c r="AZ20" i="46"/>
  <c r="AW20" i="46"/>
  <c r="AT20" i="46"/>
  <c r="AQ20" i="46"/>
  <c r="AN20" i="46"/>
  <c r="AL20" i="46"/>
  <c r="AK20" i="46"/>
  <c r="AI20" i="46"/>
  <c r="EK20" i="46" s="1"/>
  <c r="AB20" i="46"/>
  <c r="Y20" i="46"/>
  <c r="V20" i="46"/>
  <c r="S20" i="46"/>
  <c r="EH20" i="46" s="1"/>
  <c r="P20" i="46"/>
  <c r="M20" i="46"/>
  <c r="J20" i="46"/>
  <c r="G20" i="46"/>
  <c r="D20" i="46"/>
  <c r="ED20" i="46" s="1"/>
  <c r="EL19" i="46"/>
  <c r="EG19" i="46"/>
  <c r="EI19" i="46" s="1"/>
  <c r="DW19" i="46"/>
  <c r="DT19" i="46"/>
  <c r="DQ19" i="46"/>
  <c r="DN19" i="46"/>
  <c r="DK19" i="46"/>
  <c r="DH19" i="46"/>
  <c r="DE19" i="46"/>
  <c r="DB19" i="46"/>
  <c r="CY19" i="46"/>
  <c r="CV19" i="46"/>
  <c r="CS19" i="46"/>
  <c r="CP19" i="46"/>
  <c r="CM19" i="46"/>
  <c r="CJ19" i="46"/>
  <c r="CG19" i="46"/>
  <c r="CD19" i="46"/>
  <c r="CA19" i="46"/>
  <c r="BX19" i="46"/>
  <c r="BU19" i="46"/>
  <c r="BR19" i="46"/>
  <c r="BO19" i="46"/>
  <c r="BL19" i="46"/>
  <c r="BI19" i="46"/>
  <c r="BF19" i="46"/>
  <c r="BC19" i="46"/>
  <c r="AZ19" i="46"/>
  <c r="AW19" i="46"/>
  <c r="AT19" i="46"/>
  <c r="AO19" i="46"/>
  <c r="AQ19" i="46" s="1"/>
  <c r="AL19" i="46"/>
  <c r="AN19" i="46" s="1"/>
  <c r="AK19" i="46"/>
  <c r="AI19" i="46"/>
  <c r="AB19" i="46"/>
  <c r="Y19" i="46"/>
  <c r="V19" i="46"/>
  <c r="S19" i="46"/>
  <c r="EH19" i="46" s="1"/>
  <c r="P19" i="46"/>
  <c r="M19" i="46"/>
  <c r="J19" i="46"/>
  <c r="G19" i="46"/>
  <c r="D19" i="46"/>
  <c r="EL18" i="46"/>
  <c r="EG18" i="46"/>
  <c r="EI18" i="46" s="1"/>
  <c r="DW18" i="46"/>
  <c r="DT18" i="46"/>
  <c r="DQ18" i="46"/>
  <c r="EM18" i="46" s="1"/>
  <c r="DN18" i="46"/>
  <c r="DK18" i="46"/>
  <c r="DH18" i="46"/>
  <c r="DE18" i="46"/>
  <c r="DB18" i="46"/>
  <c r="CY18" i="46"/>
  <c r="CV18" i="46"/>
  <c r="CS18" i="46"/>
  <c r="CP18" i="46"/>
  <c r="CM18" i="46"/>
  <c r="CJ18" i="46"/>
  <c r="CG18" i="46"/>
  <c r="CD18" i="46"/>
  <c r="CA18" i="46"/>
  <c r="BX18" i="46"/>
  <c r="BU18" i="46"/>
  <c r="BR18" i="46"/>
  <c r="BO18" i="46"/>
  <c r="BL18" i="46"/>
  <c r="BI18" i="46"/>
  <c r="BF18" i="46"/>
  <c r="BC18" i="46"/>
  <c r="AZ18" i="46"/>
  <c r="AW18" i="46"/>
  <c r="AT18" i="46"/>
  <c r="AQ18" i="46"/>
  <c r="AO18" i="46"/>
  <c r="AN18" i="46"/>
  <c r="AL18" i="46"/>
  <c r="EB18" i="46" s="1"/>
  <c r="AK18" i="46"/>
  <c r="AI18" i="46"/>
  <c r="EH18" i="46"/>
  <c r="AB18" i="46"/>
  <c r="Y18" i="46"/>
  <c r="V18" i="46"/>
  <c r="S18" i="46"/>
  <c r="P18" i="46"/>
  <c r="M18" i="46"/>
  <c r="J18" i="46"/>
  <c r="G18" i="46"/>
  <c r="D18" i="46"/>
  <c r="ED18" i="46" s="1"/>
  <c r="EL17" i="46"/>
  <c r="EI17" i="46"/>
  <c r="EG17" i="46"/>
  <c r="DW17" i="46"/>
  <c r="DT17" i="46"/>
  <c r="DQ17" i="46"/>
  <c r="DN17" i="46"/>
  <c r="DK17" i="46"/>
  <c r="DH17" i="46"/>
  <c r="DE17" i="46"/>
  <c r="DB17" i="46"/>
  <c r="CY17" i="46"/>
  <c r="CV17" i="46"/>
  <c r="CS17" i="46"/>
  <c r="CP17" i="46"/>
  <c r="CM17" i="46"/>
  <c r="CJ17" i="46"/>
  <c r="CG17" i="46"/>
  <c r="CD17" i="46"/>
  <c r="CA17" i="46"/>
  <c r="BX17" i="46"/>
  <c r="BU17" i="46"/>
  <c r="BR17" i="46"/>
  <c r="BO17" i="46"/>
  <c r="BL17" i="46"/>
  <c r="BI17" i="46"/>
  <c r="BF17" i="46"/>
  <c r="BC17" i="46"/>
  <c r="AZ17" i="46"/>
  <c r="AW17" i="46"/>
  <c r="AT17" i="46"/>
  <c r="AO17" i="46"/>
  <c r="AQ17" i="46" s="1"/>
  <c r="AN17" i="46"/>
  <c r="AL17" i="46"/>
  <c r="EB17" i="46" s="1"/>
  <c r="AI17" i="46"/>
  <c r="AK17" i="46" s="1"/>
  <c r="AB17" i="46"/>
  <c r="Y17" i="46"/>
  <c r="V17" i="46"/>
  <c r="EH17" i="46" s="1"/>
  <c r="S17" i="46"/>
  <c r="P17" i="46"/>
  <c r="M17" i="46"/>
  <c r="ED17" i="46" s="1"/>
  <c r="J17" i="46"/>
  <c r="G17" i="46"/>
  <c r="D17" i="46"/>
  <c r="EL16" i="46"/>
  <c r="EK16" i="46"/>
  <c r="EI16" i="46"/>
  <c r="EG16" i="46"/>
  <c r="DW16" i="46"/>
  <c r="DT16" i="46"/>
  <c r="EM16" i="46" s="1"/>
  <c r="DQ16" i="46"/>
  <c r="DN16" i="46"/>
  <c r="DK16" i="46"/>
  <c r="DH16" i="46"/>
  <c r="DE16" i="46"/>
  <c r="DB16" i="46"/>
  <c r="CY16" i="46"/>
  <c r="CV16" i="46"/>
  <c r="CS16" i="46"/>
  <c r="CP16" i="46"/>
  <c r="CM16" i="46"/>
  <c r="CJ16" i="46"/>
  <c r="CG16" i="46"/>
  <c r="CD16" i="46"/>
  <c r="CA16" i="46"/>
  <c r="BX16" i="46"/>
  <c r="BU16" i="46"/>
  <c r="BR16" i="46"/>
  <c r="BO16" i="46"/>
  <c r="BL16" i="46"/>
  <c r="BI16" i="46"/>
  <c r="BF16" i="46"/>
  <c r="BC16" i="46"/>
  <c r="AZ16" i="46"/>
  <c r="AW16" i="46"/>
  <c r="AT16" i="46"/>
  <c r="AQ16" i="46"/>
  <c r="AO16" i="46"/>
  <c r="AN16" i="46"/>
  <c r="AL16" i="46"/>
  <c r="EB16" i="46" s="1"/>
  <c r="AK16" i="46"/>
  <c r="AI16" i="46"/>
  <c r="AB16" i="46"/>
  <c r="EH16" i="46" s="1"/>
  <c r="Y16" i="46"/>
  <c r="V16" i="46"/>
  <c r="S16" i="46"/>
  <c r="P16" i="46"/>
  <c r="M16" i="46"/>
  <c r="J16" i="46"/>
  <c r="G16" i="46"/>
  <c r="D16" i="46"/>
  <c r="ED16" i="46" s="1"/>
  <c r="EL15" i="46"/>
  <c r="EG15" i="46"/>
  <c r="EI15" i="46" s="1"/>
  <c r="DW15" i="46"/>
  <c r="DT15" i="46"/>
  <c r="DQ15" i="46"/>
  <c r="DN15" i="46"/>
  <c r="DK15" i="46"/>
  <c r="DH15" i="46"/>
  <c r="DE15" i="46"/>
  <c r="DB15" i="46"/>
  <c r="CY15" i="46"/>
  <c r="CV15" i="46"/>
  <c r="CS15" i="46"/>
  <c r="CP15" i="46"/>
  <c r="CM15" i="46"/>
  <c r="CJ15" i="46"/>
  <c r="CG15" i="46"/>
  <c r="CD15" i="46"/>
  <c r="CA15" i="46"/>
  <c r="BX15" i="46"/>
  <c r="BU15" i="46"/>
  <c r="BR15" i="46"/>
  <c r="BO15" i="46"/>
  <c r="BL15" i="46"/>
  <c r="BI15" i="46"/>
  <c r="BF15" i="46"/>
  <c r="BC15" i="46"/>
  <c r="AZ15" i="46"/>
  <c r="AW15" i="46"/>
  <c r="AT15" i="46"/>
  <c r="AQ15" i="46"/>
  <c r="AO15" i="46"/>
  <c r="AL15" i="46"/>
  <c r="EK15" i="46" s="1"/>
  <c r="AI15" i="46"/>
  <c r="AK15" i="46" s="1"/>
  <c r="AB15" i="46"/>
  <c r="Y15" i="46"/>
  <c r="V15" i="46"/>
  <c r="S15" i="46"/>
  <c r="EH15" i="46" s="1"/>
  <c r="P15" i="46"/>
  <c r="M15" i="46"/>
  <c r="J15" i="46"/>
  <c r="G15" i="46"/>
  <c r="D15" i="46"/>
  <c r="EM14" i="46"/>
  <c r="EL14" i="46"/>
  <c r="EK14" i="46"/>
  <c r="EN14" i="46" s="1"/>
  <c r="EG14" i="46"/>
  <c r="EI14" i="46" s="1"/>
  <c r="DW14" i="46"/>
  <c r="DT14" i="46"/>
  <c r="DQ14" i="46"/>
  <c r="DN14" i="46"/>
  <c r="DK14" i="46"/>
  <c r="DH14" i="46"/>
  <c r="DE14" i="46"/>
  <c r="DB14" i="46"/>
  <c r="CY14" i="46"/>
  <c r="CV14" i="46"/>
  <c r="CS14" i="46"/>
  <c r="CP14" i="46"/>
  <c r="CM14" i="46"/>
  <c r="CJ14" i="46"/>
  <c r="CG14" i="46"/>
  <c r="CD14" i="46"/>
  <c r="CA14" i="46"/>
  <c r="BX14" i="46"/>
  <c r="BU14" i="46"/>
  <c r="BR14" i="46"/>
  <c r="BO14" i="46"/>
  <c r="BL14" i="46"/>
  <c r="BI14" i="46"/>
  <c r="BF14" i="46"/>
  <c r="BC14" i="46"/>
  <c r="AZ14" i="46"/>
  <c r="AW14" i="46"/>
  <c r="AT14" i="46"/>
  <c r="AQ14" i="46"/>
  <c r="AO14" i="46"/>
  <c r="AN14" i="46"/>
  <c r="AL14" i="46"/>
  <c r="EB14" i="46" s="1"/>
  <c r="AK14" i="46"/>
  <c r="AI14" i="46"/>
  <c r="AB14" i="46"/>
  <c r="Y14" i="46"/>
  <c r="V14" i="46"/>
  <c r="EH14" i="46" s="1"/>
  <c r="S14" i="46"/>
  <c r="P14" i="46"/>
  <c r="M14" i="46"/>
  <c r="J14" i="46"/>
  <c r="G14" i="46"/>
  <c r="D14" i="46"/>
  <c r="ED14" i="46" s="1"/>
  <c r="EL13" i="46"/>
  <c r="EI13" i="46"/>
  <c r="EG13" i="46"/>
  <c r="DW13" i="46"/>
  <c r="DT13" i="46"/>
  <c r="DQ13" i="46"/>
  <c r="DN13" i="46"/>
  <c r="DK13" i="46"/>
  <c r="DH13" i="46"/>
  <c r="DE13" i="46"/>
  <c r="DB13" i="46"/>
  <c r="CY13" i="46"/>
  <c r="CV13" i="46"/>
  <c r="CS13" i="46"/>
  <c r="CP13" i="46"/>
  <c r="CM13" i="46"/>
  <c r="CJ13" i="46"/>
  <c r="CG13" i="46"/>
  <c r="CD13" i="46"/>
  <c r="CA13" i="46"/>
  <c r="BX13" i="46"/>
  <c r="BU13" i="46"/>
  <c r="BR13" i="46"/>
  <c r="BO13" i="46"/>
  <c r="BL13" i="46"/>
  <c r="BI13" i="46"/>
  <c r="BF13" i="46"/>
  <c r="BC13" i="46"/>
  <c r="AZ13" i="46"/>
  <c r="AW13" i="46"/>
  <c r="AT13" i="46"/>
  <c r="AO13" i="46"/>
  <c r="EK13" i="46" s="1"/>
  <c r="AL13" i="46"/>
  <c r="AN13" i="46" s="1"/>
  <c r="AI13" i="46"/>
  <c r="AK13" i="46" s="1"/>
  <c r="AB13" i="46"/>
  <c r="Y13" i="46"/>
  <c r="V13" i="46"/>
  <c r="S13" i="46"/>
  <c r="EH13" i="46" s="1"/>
  <c r="P13" i="46"/>
  <c r="M13" i="46"/>
  <c r="J13" i="46"/>
  <c r="G13" i="46"/>
  <c r="D13" i="46"/>
  <c r="A13" i="46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EL12" i="46"/>
  <c r="EK12" i="46"/>
  <c r="EI12" i="46"/>
  <c r="EG12" i="46"/>
  <c r="DW12" i="46"/>
  <c r="DT12" i="46"/>
  <c r="DQ12" i="46"/>
  <c r="DN12" i="46"/>
  <c r="DK12" i="46"/>
  <c r="EM12" i="46" s="1"/>
  <c r="DH12" i="46"/>
  <c r="DE12" i="46"/>
  <c r="DB12" i="46"/>
  <c r="CY12" i="46"/>
  <c r="CV12" i="46"/>
  <c r="CS12" i="46"/>
  <c r="CP12" i="46"/>
  <c r="CM12" i="46"/>
  <c r="CJ12" i="46"/>
  <c r="CG12" i="46"/>
  <c r="CD12" i="46"/>
  <c r="CA12" i="46"/>
  <c r="BX12" i="46"/>
  <c r="BU12" i="46"/>
  <c r="BR12" i="46"/>
  <c r="BO12" i="46"/>
  <c r="BL12" i="46"/>
  <c r="BI12" i="46"/>
  <c r="BF12" i="46"/>
  <c r="BC12" i="46"/>
  <c r="AZ12" i="46"/>
  <c r="AW12" i="46"/>
  <c r="AT12" i="46"/>
  <c r="AQ12" i="46"/>
  <c r="AO12" i="46"/>
  <c r="AN12" i="46"/>
  <c r="AL12" i="46"/>
  <c r="EB12" i="46" s="1"/>
  <c r="AK12" i="46"/>
  <c r="AI12" i="46"/>
  <c r="AB12" i="46"/>
  <c r="Y12" i="46"/>
  <c r="V12" i="46"/>
  <c r="S12" i="46"/>
  <c r="EH12" i="46" s="1"/>
  <c r="P12" i="46"/>
  <c r="M12" i="46"/>
  <c r="J12" i="46"/>
  <c r="G12" i="46"/>
  <c r="D12" i="46"/>
  <c r="ED12" i="46" s="1"/>
  <c r="A12" i="46"/>
  <c r="EL11" i="46"/>
  <c r="EG11" i="46"/>
  <c r="EI3" i="46" s="1"/>
  <c r="EI4" i="46" s="1"/>
  <c r="EB11" i="46"/>
  <c r="DW11" i="46"/>
  <c r="DW41" i="46" s="1"/>
  <c r="DT11" i="46"/>
  <c r="EM11" i="46" s="1"/>
  <c r="DQ11" i="46"/>
  <c r="DQ41" i="46" s="1"/>
  <c r="DN11" i="46"/>
  <c r="DN41" i="46" s="1"/>
  <c r="DK11" i="46"/>
  <c r="DK41" i="46" s="1"/>
  <c r="DH11" i="46"/>
  <c r="DH41" i="46" s="1"/>
  <c r="DE11" i="46"/>
  <c r="DE41" i="46" s="1"/>
  <c r="DB11" i="46"/>
  <c r="DB41" i="46" s="1"/>
  <c r="CY11" i="46"/>
  <c r="CY41" i="46" s="1"/>
  <c r="CV11" i="46"/>
  <c r="CV41" i="46" s="1"/>
  <c r="CS11" i="46"/>
  <c r="CS41" i="46" s="1"/>
  <c r="CP11" i="46"/>
  <c r="CP41" i="46" s="1"/>
  <c r="CM11" i="46"/>
  <c r="CM41" i="46" s="1"/>
  <c r="CJ11" i="46"/>
  <c r="CJ41" i="46" s="1"/>
  <c r="CG11" i="46"/>
  <c r="CG41" i="46" s="1"/>
  <c r="CD11" i="46"/>
  <c r="CD41" i="46" s="1"/>
  <c r="CA11" i="46"/>
  <c r="CA41" i="46" s="1"/>
  <c r="BX11" i="46"/>
  <c r="BX41" i="46" s="1"/>
  <c r="BU11" i="46"/>
  <c r="BU41" i="46" s="1"/>
  <c r="BR11" i="46"/>
  <c r="BR41" i="46" s="1"/>
  <c r="BO11" i="46"/>
  <c r="BO41" i="46" s="1"/>
  <c r="BL11" i="46"/>
  <c r="BL41" i="46" s="1"/>
  <c r="BI11" i="46"/>
  <c r="BI41" i="46" s="1"/>
  <c r="BF11" i="46"/>
  <c r="BF41" i="46" s="1"/>
  <c r="BC11" i="46"/>
  <c r="BC41" i="46" s="1"/>
  <c r="AZ11" i="46"/>
  <c r="AZ41" i="46" s="1"/>
  <c r="AW11" i="46"/>
  <c r="AW41" i="46" s="1"/>
  <c r="AT11" i="46"/>
  <c r="AT41" i="46" s="1"/>
  <c r="AQ11" i="46"/>
  <c r="AN11" i="46"/>
  <c r="AL11" i="46"/>
  <c r="AK11" i="46"/>
  <c r="AI11" i="46"/>
  <c r="EK11" i="46" s="1"/>
  <c r="AH41" i="46"/>
  <c r="AE41" i="46"/>
  <c r="AB11" i="46"/>
  <c r="AB41" i="46" s="1"/>
  <c r="Y11" i="46"/>
  <c r="Y41" i="46" s="1"/>
  <c r="V11" i="46"/>
  <c r="V41" i="46" s="1"/>
  <c r="S11" i="46"/>
  <c r="EH11" i="46" s="1"/>
  <c r="P11" i="46"/>
  <c r="P41" i="46" s="1"/>
  <c r="M11" i="46"/>
  <c r="M41" i="46" s="1"/>
  <c r="J11" i="46"/>
  <c r="J41" i="46" s="1"/>
  <c r="G11" i="46"/>
  <c r="G41" i="46" s="1"/>
  <c r="D11" i="46"/>
  <c r="ED11" i="46" s="1"/>
  <c r="EI2" i="46"/>
  <c r="B26" i="47" l="1"/>
  <c r="C10" i="2"/>
  <c r="B29" i="47"/>
  <c r="B31" i="47" s="1"/>
  <c r="C29" i="47" s="1"/>
  <c r="C31" i="47" s="1"/>
  <c r="D29" i="47" s="1"/>
  <c r="D31" i="47" s="1"/>
  <c r="E29" i="47" s="1"/>
  <c r="E31" i="47" s="1"/>
  <c r="F29" i="47" s="1"/>
  <c r="F31" i="47" s="1"/>
  <c r="G29" i="47" s="1"/>
  <c r="G31" i="47" s="1"/>
  <c r="H29" i="47" s="1"/>
  <c r="H31" i="47" s="1"/>
  <c r="I29" i="47" s="1"/>
  <c r="I31" i="47" s="1"/>
  <c r="J29" i="47" s="1"/>
  <c r="J31" i="47" s="1"/>
  <c r="K29" i="47" s="1"/>
  <c r="K31" i="47" s="1"/>
  <c r="L29" i="47" s="1"/>
  <c r="L31" i="47" s="1"/>
  <c r="M29" i="47" s="1"/>
  <c r="EE18" i="46"/>
  <c r="EN22" i="46"/>
  <c r="EE32" i="46"/>
  <c r="EN36" i="46"/>
  <c r="EN39" i="46"/>
  <c r="EE30" i="46"/>
  <c r="EC30" i="46"/>
  <c r="EE31" i="46"/>
  <c r="EN35" i="46"/>
  <c r="EC37" i="46"/>
  <c r="EE37" i="46"/>
  <c r="EE39" i="46"/>
  <c r="EC39" i="46"/>
  <c r="EN20" i="46"/>
  <c r="EN34" i="46"/>
  <c r="EE17" i="46"/>
  <c r="EE14" i="46"/>
  <c r="EC14" i="46"/>
  <c r="EN16" i="46"/>
  <c r="ED19" i="46"/>
  <c r="EM19" i="46"/>
  <c r="EE20" i="46"/>
  <c r="EN30" i="46"/>
  <c r="ED33" i="46"/>
  <c r="EM33" i="46"/>
  <c r="EE34" i="46"/>
  <c r="EN11" i="46"/>
  <c r="EE28" i="46"/>
  <c r="EC28" i="46"/>
  <c r="EM13" i="46"/>
  <c r="EN13" i="46" s="1"/>
  <c r="EH41" i="46"/>
  <c r="EN25" i="46"/>
  <c r="EN28" i="46"/>
  <c r="EM38" i="46"/>
  <c r="EN38" i="46" s="1"/>
  <c r="EE16" i="46"/>
  <c r="EC16" i="46"/>
  <c r="AK41" i="46"/>
  <c r="EE11" i="46"/>
  <c r="EC12" i="46"/>
  <c r="EE12" i="46"/>
  <c r="EN12" i="46"/>
  <c r="EM17" i="46"/>
  <c r="EN24" i="46"/>
  <c r="EE25" i="46"/>
  <c r="EC26" i="46"/>
  <c r="EE26" i="46"/>
  <c r="EM31" i="46"/>
  <c r="EN2" i="46"/>
  <c r="EP2" i="46" s="1"/>
  <c r="EB40" i="46"/>
  <c r="S41" i="46"/>
  <c r="AQ13" i="46"/>
  <c r="ED13" i="46" s="1"/>
  <c r="AN15" i="46"/>
  <c r="EM15" i="46" s="1"/>
  <c r="EN15" i="46" s="1"/>
  <c r="EK17" i="46"/>
  <c r="EN17" i="46" s="1"/>
  <c r="AQ27" i="46"/>
  <c r="ED27" i="46" s="1"/>
  <c r="AN29" i="46"/>
  <c r="ED29" i="46" s="1"/>
  <c r="EK31" i="46"/>
  <c r="EC31" i="46" s="1"/>
  <c r="AQ38" i="46"/>
  <c r="ED38" i="46" s="1"/>
  <c r="AN40" i="46"/>
  <c r="ED40" i="46" s="1"/>
  <c r="EB15" i="46"/>
  <c r="EB29" i="46"/>
  <c r="EI11" i="46"/>
  <c r="EK18" i="46"/>
  <c r="EN18" i="46" s="1"/>
  <c r="EK32" i="46"/>
  <c r="EN32" i="46" s="1"/>
  <c r="EK19" i="46"/>
  <c r="EN19" i="46" s="1"/>
  <c r="EK33" i="46"/>
  <c r="EN33" i="46" s="1"/>
  <c r="D41" i="46"/>
  <c r="DT41" i="46"/>
  <c r="EI5" i="46"/>
  <c r="EB33" i="46"/>
  <c r="EB19" i="46"/>
  <c r="EC11" i="46"/>
  <c r="EC20" i="46"/>
  <c r="EC21" i="46"/>
  <c r="EC22" i="46"/>
  <c r="EC23" i="46"/>
  <c r="EC24" i="46"/>
  <c r="EC25" i="46"/>
  <c r="EC34" i="46"/>
  <c r="EC35" i="46"/>
  <c r="EC36" i="46"/>
  <c r="EB27" i="46"/>
  <c r="EB38" i="46"/>
  <c r="EB13" i="46"/>
  <c r="M31" i="47" l="1"/>
  <c r="AQ41" i="46"/>
  <c r="EC13" i="46"/>
  <c r="EE13" i="46"/>
  <c r="EN3" i="46"/>
  <c r="EC38" i="46"/>
  <c r="EE38" i="46"/>
  <c r="EE29" i="46"/>
  <c r="EC29" i="46"/>
  <c r="EN5" i="46"/>
  <c r="EM27" i="46"/>
  <c r="EN27" i="46" s="1"/>
  <c r="EC32" i="46"/>
  <c r="EC27" i="46"/>
  <c r="EE27" i="46"/>
  <c r="EC15" i="46"/>
  <c r="AN41" i="46"/>
  <c r="EC17" i="46"/>
  <c r="EM29" i="46"/>
  <c r="EN29" i="46" s="1"/>
  <c r="EE5" i="46"/>
  <c r="G7" i="46" s="1"/>
  <c r="EE2" i="46"/>
  <c r="EQ2" i="46" s="1"/>
  <c r="G4" i="46" s="1"/>
  <c r="EE40" i="46"/>
  <c r="EC40" i="46"/>
  <c r="EE19" i="46"/>
  <c r="EC19" i="46"/>
  <c r="EE3" i="46"/>
  <c r="EN31" i="46"/>
  <c r="ED15" i="46"/>
  <c r="EE15" i="46" s="1"/>
  <c r="EC18" i="46"/>
  <c r="EE33" i="46"/>
  <c r="EC33" i="46"/>
  <c r="EM40" i="46"/>
  <c r="EN40" i="46" s="1"/>
  <c r="ED41" i="46" l="1"/>
  <c r="EN4" i="46"/>
  <c r="EE4" i="46"/>
  <c r="G6" i="46" s="1"/>
  <c r="G5" i="46"/>
  <c r="EM41" i="46"/>
  <c r="E28" i="31" l="1"/>
  <c r="D28" i="31"/>
  <c r="C28" i="31"/>
  <c r="EL41" i="45" l="1"/>
  <c r="EK41" i="45"/>
  <c r="EN41" i="45" s="1"/>
  <c r="EG41" i="45"/>
  <c r="EI41" i="45" s="1"/>
  <c r="DW41" i="45"/>
  <c r="DT41" i="45"/>
  <c r="DQ41" i="45"/>
  <c r="DN41" i="45"/>
  <c r="DK41" i="45"/>
  <c r="DH41" i="45"/>
  <c r="DE41" i="45"/>
  <c r="EM41" i="45" s="1"/>
  <c r="DB41" i="45"/>
  <c r="CY41" i="45"/>
  <c r="CV41" i="45"/>
  <c r="CS41" i="45"/>
  <c r="CP41" i="45"/>
  <c r="CM41" i="45"/>
  <c r="CJ41" i="45"/>
  <c r="CG41" i="45"/>
  <c r="CD41" i="45"/>
  <c r="CA41" i="45"/>
  <c r="BX41" i="45"/>
  <c r="BU41" i="45"/>
  <c r="BR41" i="45"/>
  <c r="BO41" i="45"/>
  <c r="BL41" i="45"/>
  <c r="BI41" i="45"/>
  <c r="BF41" i="45"/>
  <c r="BC41" i="45"/>
  <c r="AZ41" i="45"/>
  <c r="AW41" i="45"/>
  <c r="AT41" i="45"/>
  <c r="AQ41" i="45"/>
  <c r="AN41" i="45"/>
  <c r="AK41" i="45"/>
  <c r="AB41" i="45"/>
  <c r="Y41" i="45"/>
  <c r="V41" i="45"/>
  <c r="S41" i="45"/>
  <c r="P41" i="45"/>
  <c r="M41" i="45"/>
  <c r="J41" i="45"/>
  <c r="G41" i="45"/>
  <c r="D41" i="45"/>
  <c r="ED41" i="45" s="1"/>
  <c r="EL40" i="45"/>
  <c r="EK40" i="45"/>
  <c r="EN40" i="45" s="1"/>
  <c r="EI40" i="45"/>
  <c r="EG40" i="45"/>
  <c r="DW40" i="45"/>
  <c r="DT40" i="45"/>
  <c r="EM40" i="45" s="1"/>
  <c r="DQ40" i="45"/>
  <c r="DN40" i="45"/>
  <c r="DK40" i="45"/>
  <c r="DH40" i="45"/>
  <c r="DE40" i="45"/>
  <c r="DB40" i="45"/>
  <c r="CY40" i="45"/>
  <c r="CV40" i="45"/>
  <c r="CS40" i="45"/>
  <c r="CP40" i="45"/>
  <c r="CM40" i="45"/>
  <c r="CJ40" i="45"/>
  <c r="CG40" i="45"/>
  <c r="CD40" i="45"/>
  <c r="CA40" i="45"/>
  <c r="BX40" i="45"/>
  <c r="BU40" i="45"/>
  <c r="BR40" i="45"/>
  <c r="BO40" i="45"/>
  <c r="BL40" i="45"/>
  <c r="BI40" i="45"/>
  <c r="BF40" i="45"/>
  <c r="BC40" i="45"/>
  <c r="AZ40" i="45"/>
  <c r="AW40" i="45"/>
  <c r="AT40" i="45"/>
  <c r="AQ40" i="45"/>
  <c r="AN40" i="45"/>
  <c r="AK40" i="45"/>
  <c r="AB40" i="45"/>
  <c r="Y40" i="45"/>
  <c r="V40" i="45"/>
  <c r="S40" i="45"/>
  <c r="P40" i="45"/>
  <c r="M40" i="45"/>
  <c r="J40" i="45"/>
  <c r="G40" i="45"/>
  <c r="EB40" i="45"/>
  <c r="EE40" i="45" s="1"/>
  <c r="EL39" i="45"/>
  <c r="EK39" i="45"/>
  <c r="EN39" i="45" s="1"/>
  <c r="EI39" i="45"/>
  <c r="EG39" i="45"/>
  <c r="DW39" i="45"/>
  <c r="DT39" i="45"/>
  <c r="EM39" i="45" s="1"/>
  <c r="DQ39" i="45"/>
  <c r="DN39" i="45"/>
  <c r="DK39" i="45"/>
  <c r="DH39" i="45"/>
  <c r="DE39" i="45"/>
  <c r="DB39" i="45"/>
  <c r="CY39" i="45"/>
  <c r="CV39" i="45"/>
  <c r="CS39" i="45"/>
  <c r="CP39" i="45"/>
  <c r="CM39" i="45"/>
  <c r="CJ39" i="45"/>
  <c r="CG39" i="45"/>
  <c r="CD39" i="45"/>
  <c r="CA39" i="45"/>
  <c r="BX39" i="45"/>
  <c r="BU39" i="45"/>
  <c r="BR39" i="45"/>
  <c r="BO39" i="45"/>
  <c r="BL39" i="45"/>
  <c r="BI39" i="45"/>
  <c r="BF39" i="45"/>
  <c r="BC39" i="45"/>
  <c r="AZ39" i="45"/>
  <c r="AW39" i="45"/>
  <c r="AT39" i="45"/>
  <c r="AQ39" i="45"/>
  <c r="AN39" i="45"/>
  <c r="AK39" i="45"/>
  <c r="AB39" i="45"/>
  <c r="Y39" i="45"/>
  <c r="V39" i="45"/>
  <c r="S39" i="45"/>
  <c r="P39" i="45"/>
  <c r="M39" i="45"/>
  <c r="J39" i="45"/>
  <c r="G39" i="45"/>
  <c r="EB39" i="45"/>
  <c r="EL38" i="45"/>
  <c r="EK38" i="45"/>
  <c r="EN38" i="45" s="1"/>
  <c r="EI38" i="45"/>
  <c r="EG38" i="45"/>
  <c r="DW38" i="45"/>
  <c r="DT38" i="45"/>
  <c r="EM38" i="45" s="1"/>
  <c r="DQ38" i="45"/>
  <c r="DN38" i="45"/>
  <c r="DK38" i="45"/>
  <c r="DH38" i="45"/>
  <c r="DE38" i="45"/>
  <c r="DB38" i="45"/>
  <c r="CY38" i="45"/>
  <c r="CV38" i="45"/>
  <c r="CS38" i="45"/>
  <c r="CP38" i="45"/>
  <c r="CM38" i="45"/>
  <c r="CJ38" i="45"/>
  <c r="CG38" i="45"/>
  <c r="CD38" i="45"/>
  <c r="CA38" i="45"/>
  <c r="BX38" i="45"/>
  <c r="BU38" i="45"/>
  <c r="BR38" i="45"/>
  <c r="BO38" i="45"/>
  <c r="BL38" i="45"/>
  <c r="BI38" i="45"/>
  <c r="BF38" i="45"/>
  <c r="BC38" i="45"/>
  <c r="AZ38" i="45"/>
  <c r="AW38" i="45"/>
  <c r="AT38" i="45"/>
  <c r="AQ38" i="45"/>
  <c r="AN38" i="45"/>
  <c r="AK38" i="45"/>
  <c r="AB38" i="45"/>
  <c r="Y38" i="45"/>
  <c r="V38" i="45"/>
  <c r="S38" i="45"/>
  <c r="P38" i="45"/>
  <c r="M38" i="45"/>
  <c r="J38" i="45"/>
  <c r="G38" i="45"/>
  <c r="D38" i="45"/>
  <c r="EL37" i="45"/>
  <c r="EK37" i="45"/>
  <c r="EN37" i="45" s="1"/>
  <c r="EG37" i="45"/>
  <c r="EI37" i="45" s="1"/>
  <c r="DW37" i="45"/>
  <c r="DT37" i="45"/>
  <c r="EM37" i="45" s="1"/>
  <c r="DQ37" i="45"/>
  <c r="DN37" i="45"/>
  <c r="DK37" i="45"/>
  <c r="DH37" i="45"/>
  <c r="DE37" i="45"/>
  <c r="DB37" i="45"/>
  <c r="CY37" i="45"/>
  <c r="CV37" i="45"/>
  <c r="CS37" i="45"/>
  <c r="CP37" i="45"/>
  <c r="CM37" i="45"/>
  <c r="CJ37" i="45"/>
  <c r="CG37" i="45"/>
  <c r="CD37" i="45"/>
  <c r="CA37" i="45"/>
  <c r="BX37" i="45"/>
  <c r="BU37" i="45"/>
  <c r="BR37" i="45"/>
  <c r="BO37" i="45"/>
  <c r="BL37" i="45"/>
  <c r="BI37" i="45"/>
  <c r="BF37" i="45"/>
  <c r="BC37" i="45"/>
  <c r="AZ37" i="45"/>
  <c r="AW37" i="45"/>
  <c r="AT37" i="45"/>
  <c r="AQ37" i="45"/>
  <c r="AN37" i="45"/>
  <c r="AK37" i="45"/>
  <c r="AB37" i="45"/>
  <c r="Y37" i="45"/>
  <c r="V37" i="45"/>
  <c r="S37" i="45"/>
  <c r="P37" i="45"/>
  <c r="M37" i="45"/>
  <c r="J37" i="45"/>
  <c r="G37" i="45"/>
  <c r="EB37" i="45"/>
  <c r="EN36" i="45"/>
  <c r="EL36" i="45"/>
  <c r="EK36" i="45"/>
  <c r="EG36" i="45"/>
  <c r="EI36" i="45" s="1"/>
  <c r="DW36" i="45"/>
  <c r="DT36" i="45"/>
  <c r="EM36" i="45" s="1"/>
  <c r="DQ36" i="45"/>
  <c r="DN36" i="45"/>
  <c r="DK36" i="45"/>
  <c r="DH36" i="45"/>
  <c r="DE36" i="45"/>
  <c r="DB36" i="45"/>
  <c r="CY36" i="45"/>
  <c r="CV36" i="45"/>
  <c r="CS36" i="45"/>
  <c r="CP36" i="45"/>
  <c r="CM36" i="45"/>
  <c r="CJ36" i="45"/>
  <c r="CG36" i="45"/>
  <c r="CD36" i="45"/>
  <c r="CA36" i="45"/>
  <c r="BX36" i="45"/>
  <c r="BU36" i="45"/>
  <c r="BR36" i="45"/>
  <c r="BO36" i="45"/>
  <c r="BL36" i="45"/>
  <c r="BI36" i="45"/>
  <c r="BF36" i="45"/>
  <c r="BC36" i="45"/>
  <c r="AZ36" i="45"/>
  <c r="AW36" i="45"/>
  <c r="AT36" i="45"/>
  <c r="AQ36" i="45"/>
  <c r="AN36" i="45"/>
  <c r="AK36" i="45"/>
  <c r="AB36" i="45"/>
  <c r="Y36" i="45"/>
  <c r="V36" i="45"/>
  <c r="S36" i="45"/>
  <c r="P36" i="45"/>
  <c r="M36" i="45"/>
  <c r="J36" i="45"/>
  <c r="G36" i="45"/>
  <c r="EB36" i="45"/>
  <c r="EN35" i="45"/>
  <c r="EL35" i="45"/>
  <c r="EK35" i="45"/>
  <c r="EG35" i="45"/>
  <c r="EI35" i="45" s="1"/>
  <c r="DW35" i="45"/>
  <c r="DT35" i="45"/>
  <c r="DQ35" i="45"/>
  <c r="DN35" i="45"/>
  <c r="DK35" i="45"/>
  <c r="EM35" i="45" s="1"/>
  <c r="DH35" i="45"/>
  <c r="DE35" i="45"/>
  <c r="DB35" i="45"/>
  <c r="CY35" i="45"/>
  <c r="CV35" i="45"/>
  <c r="CS35" i="45"/>
  <c r="CP35" i="45"/>
  <c r="CM35" i="45"/>
  <c r="CJ35" i="45"/>
  <c r="CG35" i="45"/>
  <c r="CD35" i="45"/>
  <c r="CA35" i="45"/>
  <c r="BX35" i="45"/>
  <c r="BU35" i="45"/>
  <c r="BR35" i="45"/>
  <c r="BO35" i="45"/>
  <c r="BL35" i="45"/>
  <c r="BI35" i="45"/>
  <c r="BF35" i="45"/>
  <c r="BC35" i="45"/>
  <c r="AZ35" i="45"/>
  <c r="AW35" i="45"/>
  <c r="AT35" i="45"/>
  <c r="AQ35" i="45"/>
  <c r="AN35" i="45"/>
  <c r="AK35" i="45"/>
  <c r="AB35" i="45"/>
  <c r="Y35" i="45"/>
  <c r="V35" i="45"/>
  <c r="S35" i="45"/>
  <c r="P35" i="45"/>
  <c r="M35" i="45"/>
  <c r="J35" i="45"/>
  <c r="G35" i="45"/>
  <c r="EB35" i="45"/>
  <c r="EN34" i="45"/>
  <c r="EM34" i="45"/>
  <c r="EL34" i="45"/>
  <c r="EK34" i="45"/>
  <c r="EI34" i="45"/>
  <c r="EG34" i="45"/>
  <c r="EB34" i="45"/>
  <c r="EE34" i="45" s="1"/>
  <c r="DW34" i="45"/>
  <c r="DT34" i="45"/>
  <c r="DQ34" i="45"/>
  <c r="DN34" i="45"/>
  <c r="DK34" i="45"/>
  <c r="DH34" i="45"/>
  <c r="DE34" i="45"/>
  <c r="DB34" i="45"/>
  <c r="CY34" i="45"/>
  <c r="CV34" i="45"/>
  <c r="CS34" i="45"/>
  <c r="CP34" i="45"/>
  <c r="CM34" i="45"/>
  <c r="CJ34" i="45"/>
  <c r="CG34" i="45"/>
  <c r="CD34" i="45"/>
  <c r="CA34" i="45"/>
  <c r="BX34" i="45"/>
  <c r="BU34" i="45"/>
  <c r="BR34" i="45"/>
  <c r="BO34" i="45"/>
  <c r="BL34" i="45"/>
  <c r="BI34" i="45"/>
  <c r="BF34" i="45"/>
  <c r="BC34" i="45"/>
  <c r="AZ34" i="45"/>
  <c r="AW34" i="45"/>
  <c r="AT34" i="45"/>
  <c r="AQ34" i="45"/>
  <c r="AN34" i="45"/>
  <c r="AK34" i="45"/>
  <c r="AB34" i="45"/>
  <c r="Y34" i="45"/>
  <c r="V34" i="45"/>
  <c r="S34" i="45"/>
  <c r="P34" i="45"/>
  <c r="M34" i="45"/>
  <c r="J34" i="45"/>
  <c r="G34" i="45"/>
  <c r="D34" i="45"/>
  <c r="EL33" i="45"/>
  <c r="EK33" i="45"/>
  <c r="EN33" i="45" s="1"/>
  <c r="EG33" i="45"/>
  <c r="EI33" i="45" s="1"/>
  <c r="DW33" i="45"/>
  <c r="DT33" i="45"/>
  <c r="DQ33" i="45"/>
  <c r="DN33" i="45"/>
  <c r="DK33" i="45"/>
  <c r="DH33" i="45"/>
  <c r="DE33" i="45"/>
  <c r="EM33" i="45" s="1"/>
  <c r="DB33" i="45"/>
  <c r="CY33" i="45"/>
  <c r="CV33" i="45"/>
  <c r="CS33" i="45"/>
  <c r="CP33" i="45"/>
  <c r="CM33" i="45"/>
  <c r="CJ33" i="45"/>
  <c r="CG33" i="45"/>
  <c r="CD33" i="45"/>
  <c r="CA33" i="45"/>
  <c r="BX33" i="45"/>
  <c r="BU33" i="45"/>
  <c r="BR33" i="45"/>
  <c r="BO33" i="45"/>
  <c r="BL33" i="45"/>
  <c r="BI33" i="45"/>
  <c r="BF33" i="45"/>
  <c r="BC33" i="45"/>
  <c r="AZ33" i="45"/>
  <c r="AW33" i="45"/>
  <c r="AT33" i="45"/>
  <c r="AQ33" i="45"/>
  <c r="AN33" i="45"/>
  <c r="AK33" i="45"/>
  <c r="AB33" i="45"/>
  <c r="Y33" i="45"/>
  <c r="EH33" i="45" s="1"/>
  <c r="V33" i="45"/>
  <c r="S33" i="45"/>
  <c r="P33" i="45"/>
  <c r="M33" i="45"/>
  <c r="J33" i="45"/>
  <c r="G33" i="45"/>
  <c r="D33" i="45"/>
  <c r="ED33" i="45" s="1"/>
  <c r="EL32" i="45"/>
  <c r="EK32" i="45"/>
  <c r="EN32" i="45" s="1"/>
  <c r="EG32" i="45"/>
  <c r="EI32" i="45" s="1"/>
  <c r="EB32" i="45"/>
  <c r="EE32" i="45" s="1"/>
  <c r="DW32" i="45"/>
  <c r="DT32" i="45"/>
  <c r="EM32" i="45" s="1"/>
  <c r="DQ32" i="45"/>
  <c r="DN32" i="45"/>
  <c r="DK32" i="45"/>
  <c r="DH32" i="45"/>
  <c r="DE32" i="45"/>
  <c r="DB32" i="45"/>
  <c r="CY32" i="45"/>
  <c r="CV32" i="45"/>
  <c r="CS32" i="45"/>
  <c r="CP32" i="45"/>
  <c r="CM32" i="45"/>
  <c r="CJ32" i="45"/>
  <c r="CG32" i="45"/>
  <c r="CD32" i="45"/>
  <c r="CA32" i="45"/>
  <c r="BX32" i="45"/>
  <c r="BU32" i="45"/>
  <c r="BR32" i="45"/>
  <c r="BO32" i="45"/>
  <c r="BL32" i="45"/>
  <c r="BI32" i="45"/>
  <c r="BF32" i="45"/>
  <c r="BC32" i="45"/>
  <c r="AZ32" i="45"/>
  <c r="AW32" i="45"/>
  <c r="AT32" i="45"/>
  <c r="AQ32" i="45"/>
  <c r="AN32" i="45"/>
  <c r="AK32" i="45"/>
  <c r="AB32" i="45"/>
  <c r="Y32" i="45"/>
  <c r="V32" i="45"/>
  <c r="S32" i="45"/>
  <c r="EH32" i="45" s="1"/>
  <c r="P32" i="45"/>
  <c r="M32" i="45"/>
  <c r="J32" i="45"/>
  <c r="G32" i="45"/>
  <c r="D32" i="45"/>
  <c r="ED32" i="45" s="1"/>
  <c r="EL31" i="45"/>
  <c r="EK31" i="45"/>
  <c r="EN31" i="45" s="1"/>
  <c r="EI31" i="45"/>
  <c r="EG31" i="45"/>
  <c r="DW31" i="45"/>
  <c r="DT31" i="45"/>
  <c r="EM31" i="45" s="1"/>
  <c r="DQ31" i="45"/>
  <c r="DN31" i="45"/>
  <c r="DK31" i="45"/>
  <c r="DH31" i="45"/>
  <c r="DE31" i="45"/>
  <c r="DB31" i="45"/>
  <c r="CY31" i="45"/>
  <c r="CV31" i="45"/>
  <c r="CS31" i="45"/>
  <c r="CP31" i="45"/>
  <c r="CM31" i="45"/>
  <c r="CJ31" i="45"/>
  <c r="CG31" i="45"/>
  <c r="CD31" i="45"/>
  <c r="CA31" i="45"/>
  <c r="BX31" i="45"/>
  <c r="BU31" i="45"/>
  <c r="BR31" i="45"/>
  <c r="BO31" i="45"/>
  <c r="BL31" i="45"/>
  <c r="BI31" i="45"/>
  <c r="BF31" i="45"/>
  <c r="BC31" i="45"/>
  <c r="AZ31" i="45"/>
  <c r="AW31" i="45"/>
  <c r="AT31" i="45"/>
  <c r="AQ31" i="45"/>
  <c r="AN31" i="45"/>
  <c r="AK31" i="45"/>
  <c r="AB31" i="45"/>
  <c r="Y31" i="45"/>
  <c r="V31" i="45"/>
  <c r="S31" i="45"/>
  <c r="EH31" i="45" s="1"/>
  <c r="P31" i="45"/>
  <c r="M31" i="45"/>
  <c r="J31" i="45"/>
  <c r="G31" i="45"/>
  <c r="D31" i="45"/>
  <c r="ED31" i="45" s="1"/>
  <c r="EB31" i="45"/>
  <c r="EL30" i="45"/>
  <c r="EK30" i="45"/>
  <c r="EN30" i="45" s="1"/>
  <c r="EI30" i="45"/>
  <c r="EG30" i="45"/>
  <c r="DW30" i="45"/>
  <c r="DT30" i="45"/>
  <c r="EM30" i="45" s="1"/>
  <c r="DQ30" i="45"/>
  <c r="DN30" i="45"/>
  <c r="DK30" i="45"/>
  <c r="DH30" i="45"/>
  <c r="DE30" i="45"/>
  <c r="DB30" i="45"/>
  <c r="CY30" i="45"/>
  <c r="CV30" i="45"/>
  <c r="CS30" i="45"/>
  <c r="CP30" i="45"/>
  <c r="CM30" i="45"/>
  <c r="CJ30" i="45"/>
  <c r="CG30" i="45"/>
  <c r="CD30" i="45"/>
  <c r="CA30" i="45"/>
  <c r="BX30" i="45"/>
  <c r="BU30" i="45"/>
  <c r="BR30" i="45"/>
  <c r="BO30" i="45"/>
  <c r="BL30" i="45"/>
  <c r="BI30" i="45"/>
  <c r="BF30" i="45"/>
  <c r="BC30" i="45"/>
  <c r="AZ30" i="45"/>
  <c r="AW30" i="45"/>
  <c r="AT30" i="45"/>
  <c r="AQ30" i="45"/>
  <c r="AN30" i="45"/>
  <c r="AK30" i="45"/>
  <c r="AI30" i="45"/>
  <c r="AB30" i="45"/>
  <c r="Y30" i="45"/>
  <c r="V30" i="45"/>
  <c r="S30" i="45"/>
  <c r="P30" i="45"/>
  <c r="M30" i="45"/>
  <c r="J30" i="45"/>
  <c r="G30" i="45"/>
  <c r="EB30" i="45"/>
  <c r="EL29" i="45"/>
  <c r="EK29" i="45"/>
  <c r="EN29" i="45" s="1"/>
  <c r="EI29" i="45"/>
  <c r="EG29" i="45"/>
  <c r="DW29" i="45"/>
  <c r="DT29" i="45"/>
  <c r="EM29" i="45" s="1"/>
  <c r="DQ29" i="45"/>
  <c r="DN29" i="45"/>
  <c r="DK29" i="45"/>
  <c r="DH29" i="45"/>
  <c r="DE29" i="45"/>
  <c r="DB29" i="45"/>
  <c r="CY29" i="45"/>
  <c r="CV29" i="45"/>
  <c r="CS29" i="45"/>
  <c r="CP29" i="45"/>
  <c r="CM29" i="45"/>
  <c r="CJ29" i="45"/>
  <c r="CG29" i="45"/>
  <c r="CD29" i="45"/>
  <c r="CA29" i="45"/>
  <c r="BX29" i="45"/>
  <c r="BU29" i="45"/>
  <c r="BR29" i="45"/>
  <c r="BO29" i="45"/>
  <c r="BL29" i="45"/>
  <c r="BI29" i="45"/>
  <c r="BF29" i="45"/>
  <c r="BC29" i="45"/>
  <c r="AZ29" i="45"/>
  <c r="AW29" i="45"/>
  <c r="AT29" i="45"/>
  <c r="AQ29" i="45"/>
  <c r="AN29" i="45"/>
  <c r="AK29" i="45"/>
  <c r="AI29" i="45"/>
  <c r="AB29" i="45"/>
  <c r="Y29" i="45"/>
  <c r="V29" i="45"/>
  <c r="S29" i="45"/>
  <c r="P29" i="45"/>
  <c r="M29" i="45"/>
  <c r="J29" i="45"/>
  <c r="G29" i="45"/>
  <c r="EB29" i="45"/>
  <c r="EL28" i="45"/>
  <c r="EK28" i="45"/>
  <c r="EN28" i="45" s="1"/>
  <c r="EI28" i="45"/>
  <c r="EG28" i="45"/>
  <c r="DW28" i="45"/>
  <c r="DT28" i="45"/>
  <c r="EM28" i="45" s="1"/>
  <c r="DQ28" i="45"/>
  <c r="DN28" i="45"/>
  <c r="DK28" i="45"/>
  <c r="DH28" i="45"/>
  <c r="DE28" i="45"/>
  <c r="DB28" i="45"/>
  <c r="CY28" i="45"/>
  <c r="CV28" i="45"/>
  <c r="CS28" i="45"/>
  <c r="CP28" i="45"/>
  <c r="CM28" i="45"/>
  <c r="CJ28" i="45"/>
  <c r="CG28" i="45"/>
  <c r="CD28" i="45"/>
  <c r="CA28" i="45"/>
  <c r="BX28" i="45"/>
  <c r="BU28" i="45"/>
  <c r="BR28" i="45"/>
  <c r="BO28" i="45"/>
  <c r="BL28" i="45"/>
  <c r="BI28" i="45"/>
  <c r="BF28" i="45"/>
  <c r="BC28" i="45"/>
  <c r="AZ28" i="45"/>
  <c r="AW28" i="45"/>
  <c r="AT28" i="45"/>
  <c r="AQ28" i="45"/>
  <c r="AN28" i="45"/>
  <c r="AK28" i="45"/>
  <c r="AB28" i="45"/>
  <c r="Y28" i="45"/>
  <c r="V28" i="45"/>
  <c r="S28" i="45"/>
  <c r="EH28" i="45" s="1"/>
  <c r="P28" i="45"/>
  <c r="M28" i="45"/>
  <c r="J28" i="45"/>
  <c r="G28" i="45"/>
  <c r="D28" i="45"/>
  <c r="ED28" i="45" s="1"/>
  <c r="EB28" i="45"/>
  <c r="EN27" i="45"/>
  <c r="EL27" i="45"/>
  <c r="EK27" i="45"/>
  <c r="EI27" i="45"/>
  <c r="EG27" i="45"/>
  <c r="DW27" i="45"/>
  <c r="DT27" i="45"/>
  <c r="EM27" i="45" s="1"/>
  <c r="DQ27" i="45"/>
  <c r="DN27" i="45"/>
  <c r="DK27" i="45"/>
  <c r="DH27" i="45"/>
  <c r="DE27" i="45"/>
  <c r="DB27" i="45"/>
  <c r="CY27" i="45"/>
  <c r="CV27" i="45"/>
  <c r="CS27" i="45"/>
  <c r="CP27" i="45"/>
  <c r="CM27" i="45"/>
  <c r="CJ27" i="45"/>
  <c r="CG27" i="45"/>
  <c r="CD27" i="45"/>
  <c r="CA27" i="45"/>
  <c r="BX27" i="45"/>
  <c r="BU27" i="45"/>
  <c r="BR27" i="45"/>
  <c r="BO27" i="45"/>
  <c r="BL27" i="45"/>
  <c r="BI27" i="45"/>
  <c r="BF27" i="45"/>
  <c r="BC27" i="45"/>
  <c r="AZ27" i="45"/>
  <c r="AW27" i="45"/>
  <c r="AT27" i="45"/>
  <c r="AQ27" i="45"/>
  <c r="AN27" i="45"/>
  <c r="AK27" i="45"/>
  <c r="AB27" i="45"/>
  <c r="Y27" i="45"/>
  <c r="V27" i="45"/>
  <c r="S27" i="45"/>
  <c r="P27" i="45"/>
  <c r="M27" i="45"/>
  <c r="J27" i="45"/>
  <c r="G27" i="45"/>
  <c r="D27" i="45"/>
  <c r="ED27" i="45" s="1"/>
  <c r="EL26" i="45"/>
  <c r="EK26" i="45"/>
  <c r="EN26" i="45" s="1"/>
  <c r="EG26" i="45"/>
  <c r="EI26" i="45" s="1"/>
  <c r="DW26" i="45"/>
  <c r="DT26" i="45"/>
  <c r="DQ26" i="45"/>
  <c r="EM26" i="45" s="1"/>
  <c r="DN26" i="45"/>
  <c r="DK26" i="45"/>
  <c r="DH26" i="45"/>
  <c r="DE26" i="45"/>
  <c r="DB26" i="45"/>
  <c r="CY26" i="45"/>
  <c r="CV26" i="45"/>
  <c r="CS26" i="45"/>
  <c r="CP26" i="45"/>
  <c r="CM26" i="45"/>
  <c r="CJ26" i="45"/>
  <c r="CG26" i="45"/>
  <c r="CD26" i="45"/>
  <c r="CA26" i="45"/>
  <c r="BX26" i="45"/>
  <c r="BU26" i="45"/>
  <c r="BR26" i="45"/>
  <c r="BO26" i="45"/>
  <c r="BL26" i="45"/>
  <c r="BI26" i="45"/>
  <c r="BF26" i="45"/>
  <c r="BC26" i="45"/>
  <c r="AZ26" i="45"/>
  <c r="AW26" i="45"/>
  <c r="AT26" i="45"/>
  <c r="AQ26" i="45"/>
  <c r="AN26" i="45"/>
  <c r="AK26" i="45"/>
  <c r="AB26" i="45"/>
  <c r="Y26" i="45"/>
  <c r="V26" i="45"/>
  <c r="S26" i="45"/>
  <c r="P26" i="45"/>
  <c r="M26" i="45"/>
  <c r="J26" i="45"/>
  <c r="G26" i="45"/>
  <c r="EB26" i="45"/>
  <c r="EL25" i="45"/>
  <c r="EK25" i="45"/>
  <c r="EN25" i="45" s="1"/>
  <c r="EG25" i="45"/>
  <c r="EI25" i="45" s="1"/>
  <c r="EB25" i="45"/>
  <c r="EC25" i="45" s="1"/>
  <c r="DW25" i="45"/>
  <c r="DT25" i="45"/>
  <c r="EM25" i="45" s="1"/>
  <c r="DQ25" i="45"/>
  <c r="DN25" i="45"/>
  <c r="DK25" i="45"/>
  <c r="DH25" i="45"/>
  <c r="DE25" i="45"/>
  <c r="DB25" i="45"/>
  <c r="CY25" i="45"/>
  <c r="CV25" i="45"/>
  <c r="CS25" i="45"/>
  <c r="CP25" i="45"/>
  <c r="CM25" i="45"/>
  <c r="CJ25" i="45"/>
  <c r="CG25" i="45"/>
  <c r="CD25" i="45"/>
  <c r="CA25" i="45"/>
  <c r="BX25" i="45"/>
  <c r="BU25" i="45"/>
  <c r="BR25" i="45"/>
  <c r="BO25" i="45"/>
  <c r="BL25" i="45"/>
  <c r="BI25" i="45"/>
  <c r="BF25" i="45"/>
  <c r="BC25" i="45"/>
  <c r="AZ25" i="45"/>
  <c r="AW25" i="45"/>
  <c r="AT25" i="45"/>
  <c r="AQ25" i="45"/>
  <c r="AN25" i="45"/>
  <c r="AK25" i="45"/>
  <c r="AB25" i="45"/>
  <c r="Y25" i="45"/>
  <c r="V25" i="45"/>
  <c r="S25" i="45"/>
  <c r="P25" i="45"/>
  <c r="M25" i="45"/>
  <c r="J25" i="45"/>
  <c r="G25" i="45"/>
  <c r="D25" i="45"/>
  <c r="ED25" i="45" s="1"/>
  <c r="EN24" i="45"/>
  <c r="EL24" i="45"/>
  <c r="EK24" i="45"/>
  <c r="EI24" i="45"/>
  <c r="EG24" i="45"/>
  <c r="DW24" i="45"/>
  <c r="DT24" i="45"/>
  <c r="EM24" i="45" s="1"/>
  <c r="DQ24" i="45"/>
  <c r="DN24" i="45"/>
  <c r="DK24" i="45"/>
  <c r="DH24" i="45"/>
  <c r="DE24" i="45"/>
  <c r="DB24" i="45"/>
  <c r="CY24" i="45"/>
  <c r="CV24" i="45"/>
  <c r="CS24" i="45"/>
  <c r="CP24" i="45"/>
  <c r="CM24" i="45"/>
  <c r="CJ24" i="45"/>
  <c r="CG24" i="45"/>
  <c r="CD24" i="45"/>
  <c r="CA24" i="45"/>
  <c r="BX24" i="45"/>
  <c r="BU24" i="45"/>
  <c r="BR24" i="45"/>
  <c r="BO24" i="45"/>
  <c r="BL24" i="45"/>
  <c r="BI24" i="45"/>
  <c r="BF24" i="45"/>
  <c r="BC24" i="45"/>
  <c r="AZ24" i="45"/>
  <c r="AW24" i="45"/>
  <c r="AT24" i="45"/>
  <c r="AQ24" i="45"/>
  <c r="AN24" i="45"/>
  <c r="AK24" i="45"/>
  <c r="AB24" i="45"/>
  <c r="Y24" i="45"/>
  <c r="V24" i="45"/>
  <c r="S24" i="45"/>
  <c r="P24" i="45"/>
  <c r="M24" i="45"/>
  <c r="J24" i="45"/>
  <c r="G24" i="45"/>
  <c r="D24" i="45"/>
  <c r="EB24" i="45"/>
  <c r="EN23" i="45"/>
  <c r="EL23" i="45"/>
  <c r="EK23" i="45"/>
  <c r="EI23" i="45"/>
  <c r="EG23" i="45"/>
  <c r="DW23" i="45"/>
  <c r="DT23" i="45"/>
  <c r="DQ23" i="45"/>
  <c r="DN23" i="45"/>
  <c r="DK23" i="45"/>
  <c r="DH23" i="45"/>
  <c r="DE23" i="45"/>
  <c r="DB23" i="45"/>
  <c r="CY23" i="45"/>
  <c r="CV23" i="45"/>
  <c r="CS23" i="45"/>
  <c r="CP23" i="45"/>
  <c r="CM23" i="45"/>
  <c r="CJ23" i="45"/>
  <c r="CG23" i="45"/>
  <c r="EM23" i="45" s="1"/>
  <c r="CD23" i="45"/>
  <c r="CA23" i="45"/>
  <c r="BX23" i="45"/>
  <c r="BU23" i="45"/>
  <c r="BR23" i="45"/>
  <c r="BO23" i="45"/>
  <c r="BL23" i="45"/>
  <c r="BI23" i="45"/>
  <c r="BF23" i="45"/>
  <c r="BC23" i="45"/>
  <c r="AZ23" i="45"/>
  <c r="AW23" i="45"/>
  <c r="AT23" i="45"/>
  <c r="AQ23" i="45"/>
  <c r="AN23" i="45"/>
  <c r="AK23" i="45"/>
  <c r="AB23" i="45"/>
  <c r="Y23" i="45"/>
  <c r="V23" i="45"/>
  <c r="S23" i="45"/>
  <c r="P23" i="45"/>
  <c r="M23" i="45"/>
  <c r="J23" i="45"/>
  <c r="G23" i="45"/>
  <c r="D23" i="45"/>
  <c r="EB23" i="45"/>
  <c r="EL22" i="45"/>
  <c r="EK22" i="45"/>
  <c r="EN22" i="45" s="1"/>
  <c r="EG22" i="45"/>
  <c r="EI22" i="45" s="1"/>
  <c r="DW22" i="45"/>
  <c r="DT22" i="45"/>
  <c r="DQ22" i="45"/>
  <c r="DN22" i="45"/>
  <c r="DK22" i="45"/>
  <c r="DH22" i="45"/>
  <c r="DE22" i="45"/>
  <c r="DB22" i="45"/>
  <c r="EM22" i="45" s="1"/>
  <c r="CY22" i="45"/>
  <c r="CV22" i="45"/>
  <c r="CS22" i="45"/>
  <c r="CP22" i="45"/>
  <c r="CM22" i="45"/>
  <c r="CJ22" i="45"/>
  <c r="CG22" i="45"/>
  <c r="CD22" i="45"/>
  <c r="CA22" i="45"/>
  <c r="BX22" i="45"/>
  <c r="BU22" i="45"/>
  <c r="BR22" i="45"/>
  <c r="BO22" i="45"/>
  <c r="BL22" i="45"/>
  <c r="BI22" i="45"/>
  <c r="BF22" i="45"/>
  <c r="BC22" i="45"/>
  <c r="AZ22" i="45"/>
  <c r="AW22" i="45"/>
  <c r="AT22" i="45"/>
  <c r="AQ22" i="45"/>
  <c r="AN22" i="45"/>
  <c r="AK22" i="45"/>
  <c r="AB22" i="45"/>
  <c r="Y22" i="45"/>
  <c r="EH22" i="45" s="1"/>
  <c r="V22" i="45"/>
  <c r="S22" i="45"/>
  <c r="P22" i="45"/>
  <c r="M22" i="45"/>
  <c r="J22" i="45"/>
  <c r="G22" i="45"/>
  <c r="D22" i="45"/>
  <c r="ED22" i="45" s="1"/>
  <c r="EL21" i="45"/>
  <c r="EK21" i="45"/>
  <c r="EN21" i="45" s="1"/>
  <c r="EG21" i="45"/>
  <c r="EI21" i="45" s="1"/>
  <c r="EB21" i="45"/>
  <c r="EE21" i="45" s="1"/>
  <c r="DW21" i="45"/>
  <c r="DT21" i="45"/>
  <c r="EM21" i="45" s="1"/>
  <c r="DQ21" i="45"/>
  <c r="DN21" i="45"/>
  <c r="DK21" i="45"/>
  <c r="DH21" i="45"/>
  <c r="DE21" i="45"/>
  <c r="DB21" i="45"/>
  <c r="CY21" i="45"/>
  <c r="CV21" i="45"/>
  <c r="CS21" i="45"/>
  <c r="CP21" i="45"/>
  <c r="CM21" i="45"/>
  <c r="CJ21" i="45"/>
  <c r="CG21" i="45"/>
  <c r="CD21" i="45"/>
  <c r="CA21" i="45"/>
  <c r="BX21" i="45"/>
  <c r="BU21" i="45"/>
  <c r="BR21" i="45"/>
  <c r="BO21" i="45"/>
  <c r="BL21" i="45"/>
  <c r="BI21" i="45"/>
  <c r="BF21" i="45"/>
  <c r="BC21" i="45"/>
  <c r="AZ21" i="45"/>
  <c r="AW21" i="45"/>
  <c r="AT21" i="45"/>
  <c r="AQ21" i="45"/>
  <c r="AN21" i="45"/>
  <c r="AK21" i="45"/>
  <c r="AB21" i="45"/>
  <c r="Y21" i="45"/>
  <c r="V21" i="45"/>
  <c r="S21" i="45"/>
  <c r="EH21" i="45" s="1"/>
  <c r="P21" i="45"/>
  <c r="M21" i="45"/>
  <c r="J21" i="45"/>
  <c r="G21" i="45"/>
  <c r="D21" i="45"/>
  <c r="ED21" i="45" s="1"/>
  <c r="EL20" i="45"/>
  <c r="EK20" i="45"/>
  <c r="EN20" i="45" s="1"/>
  <c r="EI20" i="45"/>
  <c r="EG20" i="45"/>
  <c r="DW20" i="45"/>
  <c r="DT20" i="45"/>
  <c r="EM20" i="45" s="1"/>
  <c r="DQ20" i="45"/>
  <c r="DN20" i="45"/>
  <c r="DK20" i="45"/>
  <c r="DH20" i="45"/>
  <c r="DE20" i="45"/>
  <c r="DB20" i="45"/>
  <c r="CY20" i="45"/>
  <c r="CV20" i="45"/>
  <c r="CS20" i="45"/>
  <c r="CP20" i="45"/>
  <c r="CM20" i="45"/>
  <c r="CJ20" i="45"/>
  <c r="CG20" i="45"/>
  <c r="CD20" i="45"/>
  <c r="CA20" i="45"/>
  <c r="BX20" i="45"/>
  <c r="BU20" i="45"/>
  <c r="BR20" i="45"/>
  <c r="BO20" i="45"/>
  <c r="BL20" i="45"/>
  <c r="BI20" i="45"/>
  <c r="BF20" i="45"/>
  <c r="BC20" i="45"/>
  <c r="AZ20" i="45"/>
  <c r="AW20" i="45"/>
  <c r="AT20" i="45"/>
  <c r="AQ20" i="45"/>
  <c r="AN20" i="45"/>
  <c r="AK20" i="45"/>
  <c r="AB20" i="45"/>
  <c r="Y20" i="45"/>
  <c r="V20" i="45"/>
  <c r="S20" i="45"/>
  <c r="EH20" i="45" s="1"/>
  <c r="P20" i="45"/>
  <c r="M20" i="45"/>
  <c r="J20" i="45"/>
  <c r="G20" i="45"/>
  <c r="D20" i="45"/>
  <c r="ED20" i="45" s="1"/>
  <c r="EB20" i="45"/>
  <c r="EN19" i="45"/>
  <c r="EL19" i="45"/>
  <c r="EK19" i="45"/>
  <c r="EI19" i="45"/>
  <c r="EG19" i="45"/>
  <c r="DW19" i="45"/>
  <c r="DT19" i="45"/>
  <c r="EM19" i="45" s="1"/>
  <c r="DQ19" i="45"/>
  <c r="DN19" i="45"/>
  <c r="DK19" i="45"/>
  <c r="DH19" i="45"/>
  <c r="DE19" i="45"/>
  <c r="DB19" i="45"/>
  <c r="CY19" i="45"/>
  <c r="CV19" i="45"/>
  <c r="CS19" i="45"/>
  <c r="CP19" i="45"/>
  <c r="CM19" i="45"/>
  <c r="CJ19" i="45"/>
  <c r="CG19" i="45"/>
  <c r="CD19" i="45"/>
  <c r="CA19" i="45"/>
  <c r="BX19" i="45"/>
  <c r="BU19" i="45"/>
  <c r="BR19" i="45"/>
  <c r="BO19" i="45"/>
  <c r="BL19" i="45"/>
  <c r="BI19" i="45"/>
  <c r="BF19" i="45"/>
  <c r="BC19" i="45"/>
  <c r="AZ19" i="45"/>
  <c r="AW19" i="45"/>
  <c r="AT19" i="45"/>
  <c r="AQ19" i="45"/>
  <c r="AN19" i="45"/>
  <c r="AK19" i="45"/>
  <c r="AB19" i="45"/>
  <c r="Y19" i="45"/>
  <c r="V19" i="45"/>
  <c r="S19" i="45"/>
  <c r="P19" i="45"/>
  <c r="M19" i="45"/>
  <c r="J19" i="45"/>
  <c r="G19" i="45"/>
  <c r="EB19" i="45"/>
  <c r="EL18" i="45"/>
  <c r="EK18" i="45"/>
  <c r="EN18" i="45" s="1"/>
  <c r="EG18" i="45"/>
  <c r="EI18" i="45" s="1"/>
  <c r="DW18" i="45"/>
  <c r="DT18" i="45"/>
  <c r="DQ18" i="45"/>
  <c r="EM18" i="45" s="1"/>
  <c r="DN18" i="45"/>
  <c r="DK18" i="45"/>
  <c r="DH18" i="45"/>
  <c r="DE18" i="45"/>
  <c r="DB18" i="45"/>
  <c r="CY18" i="45"/>
  <c r="CV18" i="45"/>
  <c r="CS18" i="45"/>
  <c r="CP18" i="45"/>
  <c r="CM18" i="45"/>
  <c r="CJ18" i="45"/>
  <c r="CG18" i="45"/>
  <c r="CD18" i="45"/>
  <c r="CA18" i="45"/>
  <c r="BX18" i="45"/>
  <c r="BU18" i="45"/>
  <c r="BR18" i="45"/>
  <c r="BO18" i="45"/>
  <c r="BL18" i="45"/>
  <c r="BI18" i="45"/>
  <c r="BF18" i="45"/>
  <c r="BC18" i="45"/>
  <c r="AZ18" i="45"/>
  <c r="AW18" i="45"/>
  <c r="AT18" i="45"/>
  <c r="AQ18" i="45"/>
  <c r="AN18" i="45"/>
  <c r="AK18" i="45"/>
  <c r="AB18" i="45"/>
  <c r="Y18" i="45"/>
  <c r="V18" i="45"/>
  <c r="S18" i="45"/>
  <c r="P18" i="45"/>
  <c r="M18" i="45"/>
  <c r="J18" i="45"/>
  <c r="G18" i="45"/>
  <c r="EB18" i="45"/>
  <c r="EL17" i="45"/>
  <c r="EK17" i="45"/>
  <c r="EN17" i="45" s="1"/>
  <c r="EG17" i="45"/>
  <c r="EI17" i="45" s="1"/>
  <c r="DW17" i="45"/>
  <c r="DT17" i="45"/>
  <c r="EM17" i="45" s="1"/>
  <c r="DQ17" i="45"/>
  <c r="DN17" i="45"/>
  <c r="DK17" i="45"/>
  <c r="DK42" i="45" s="1"/>
  <c r="DH17" i="45"/>
  <c r="DE17" i="45"/>
  <c r="DB17" i="45"/>
  <c r="CY17" i="45"/>
  <c r="CV17" i="45"/>
  <c r="CS17" i="45"/>
  <c r="CP17" i="45"/>
  <c r="CM17" i="45"/>
  <c r="CM42" i="45" s="1"/>
  <c r="CJ17" i="45"/>
  <c r="CG17" i="45"/>
  <c r="CD17" i="45"/>
  <c r="CA17" i="45"/>
  <c r="BX17" i="45"/>
  <c r="BU17" i="45"/>
  <c r="BR17" i="45"/>
  <c r="BO17" i="45"/>
  <c r="BO42" i="45" s="1"/>
  <c r="BL17" i="45"/>
  <c r="BI17" i="45"/>
  <c r="BF17" i="45"/>
  <c r="BC17" i="45"/>
  <c r="AZ17" i="45"/>
  <c r="AW17" i="45"/>
  <c r="AT17" i="45"/>
  <c r="AQ17" i="45"/>
  <c r="AQ42" i="45" s="1"/>
  <c r="AN17" i="45"/>
  <c r="AK17" i="45"/>
  <c r="AB17" i="45"/>
  <c r="Y17" i="45"/>
  <c r="V17" i="45"/>
  <c r="S17" i="45"/>
  <c r="P17" i="45"/>
  <c r="M17" i="45"/>
  <c r="J17" i="45"/>
  <c r="G17" i="45"/>
  <c r="D17" i="45"/>
  <c r="ED17" i="45" s="1"/>
  <c r="EN16" i="45"/>
  <c r="EL16" i="45"/>
  <c r="EK16" i="45"/>
  <c r="EI16" i="45"/>
  <c r="EG16" i="45"/>
  <c r="DW16" i="45"/>
  <c r="DT16" i="45"/>
  <c r="EM16" i="45" s="1"/>
  <c r="DQ16" i="45"/>
  <c r="DN16" i="45"/>
  <c r="DK16" i="45"/>
  <c r="DH16" i="45"/>
  <c r="DE16" i="45"/>
  <c r="DB16" i="45"/>
  <c r="CY16" i="45"/>
  <c r="CV16" i="45"/>
  <c r="CS16" i="45"/>
  <c r="CP16" i="45"/>
  <c r="CM16" i="45"/>
  <c r="CJ16" i="45"/>
  <c r="CG16" i="45"/>
  <c r="CD16" i="45"/>
  <c r="CA16" i="45"/>
  <c r="BX16" i="45"/>
  <c r="BU16" i="45"/>
  <c r="BR16" i="45"/>
  <c r="BO16" i="45"/>
  <c r="BL16" i="45"/>
  <c r="BI16" i="45"/>
  <c r="BF16" i="45"/>
  <c r="BC16" i="45"/>
  <c r="AZ16" i="45"/>
  <c r="AW16" i="45"/>
  <c r="AT16" i="45"/>
  <c r="AQ16" i="45"/>
  <c r="AN16" i="45"/>
  <c r="AK16" i="45"/>
  <c r="AB16" i="45"/>
  <c r="Y16" i="45"/>
  <c r="V16" i="45"/>
  <c r="S16" i="45"/>
  <c r="P16" i="45"/>
  <c r="M16" i="45"/>
  <c r="J16" i="45"/>
  <c r="G16" i="45"/>
  <c r="EB16" i="45"/>
  <c r="EN15" i="45"/>
  <c r="EL15" i="45"/>
  <c r="EK15" i="45"/>
  <c r="EI15" i="45"/>
  <c r="EG15" i="45"/>
  <c r="DW15" i="45"/>
  <c r="DT15" i="45"/>
  <c r="DQ15" i="45"/>
  <c r="DN15" i="45"/>
  <c r="DK15" i="45"/>
  <c r="DH15" i="45"/>
  <c r="DE15" i="45"/>
  <c r="EM15" i="45" s="1"/>
  <c r="DB15" i="45"/>
  <c r="CY15" i="45"/>
  <c r="CV15" i="45"/>
  <c r="CS15" i="45"/>
  <c r="CP15" i="45"/>
  <c r="CM15" i="45"/>
  <c r="CJ15" i="45"/>
  <c r="CG15" i="45"/>
  <c r="CD15" i="45"/>
  <c r="CA15" i="45"/>
  <c r="BX15" i="45"/>
  <c r="BU15" i="45"/>
  <c r="BR15" i="45"/>
  <c r="BO15" i="45"/>
  <c r="BL15" i="45"/>
  <c r="BI15" i="45"/>
  <c r="BF15" i="45"/>
  <c r="BC15" i="45"/>
  <c r="AZ15" i="45"/>
  <c r="AW15" i="45"/>
  <c r="AT15" i="45"/>
  <c r="AQ15" i="45"/>
  <c r="AN15" i="45"/>
  <c r="AK15" i="45"/>
  <c r="AB15" i="45"/>
  <c r="Y15" i="45"/>
  <c r="EH15" i="45" s="1"/>
  <c r="V15" i="45"/>
  <c r="S15" i="45"/>
  <c r="P15" i="45"/>
  <c r="M15" i="45"/>
  <c r="J15" i="45"/>
  <c r="G15" i="45"/>
  <c r="EB15" i="45"/>
  <c r="EL14" i="45"/>
  <c r="EK14" i="45"/>
  <c r="EN14" i="45" s="1"/>
  <c r="EG14" i="45"/>
  <c r="EI14" i="45" s="1"/>
  <c r="EB14" i="45"/>
  <c r="EC14" i="45" s="1"/>
  <c r="DW14" i="45"/>
  <c r="DT14" i="45"/>
  <c r="DQ14" i="45"/>
  <c r="DN14" i="45"/>
  <c r="DK14" i="45"/>
  <c r="DH14" i="45"/>
  <c r="DE14" i="45"/>
  <c r="EM14" i="45" s="1"/>
  <c r="DB14" i="45"/>
  <c r="CY14" i="45"/>
  <c r="CV14" i="45"/>
  <c r="CS14" i="45"/>
  <c r="CP14" i="45"/>
  <c r="CM14" i="45"/>
  <c r="CJ14" i="45"/>
  <c r="CG14" i="45"/>
  <c r="CD14" i="45"/>
  <c r="CA14" i="45"/>
  <c r="BX14" i="45"/>
  <c r="BU14" i="45"/>
  <c r="BR14" i="45"/>
  <c r="BO14" i="45"/>
  <c r="BL14" i="45"/>
  <c r="BI14" i="45"/>
  <c r="BF14" i="45"/>
  <c r="BC14" i="45"/>
  <c r="AZ14" i="45"/>
  <c r="AW14" i="45"/>
  <c r="AT14" i="45"/>
  <c r="AQ14" i="45"/>
  <c r="AN14" i="45"/>
  <c r="AK14" i="45"/>
  <c r="AB14" i="45"/>
  <c r="Y14" i="45"/>
  <c r="V14" i="45"/>
  <c r="S14" i="45"/>
  <c r="P14" i="45"/>
  <c r="M14" i="45"/>
  <c r="J14" i="45"/>
  <c r="G14" i="45"/>
  <c r="D14" i="45"/>
  <c r="EL13" i="45"/>
  <c r="EK13" i="45"/>
  <c r="EN13" i="45" s="1"/>
  <c r="EG13" i="45"/>
  <c r="EI13" i="45" s="1"/>
  <c r="DW13" i="45"/>
  <c r="DT13" i="45"/>
  <c r="EM13" i="45" s="1"/>
  <c r="DQ13" i="45"/>
  <c r="DN13" i="45"/>
  <c r="DN42" i="45" s="1"/>
  <c r="DK13" i="45"/>
  <c r="DH13" i="45"/>
  <c r="DE13" i="45"/>
  <c r="DB13" i="45"/>
  <c r="CY13" i="45"/>
  <c r="CV13" i="45"/>
  <c r="CS13" i="45"/>
  <c r="CP13" i="45"/>
  <c r="CP42" i="45" s="1"/>
  <c r="CM13" i="45"/>
  <c r="CJ13" i="45"/>
  <c r="CG13" i="45"/>
  <c r="CD13" i="45"/>
  <c r="CA13" i="45"/>
  <c r="BX13" i="45"/>
  <c r="BU13" i="45"/>
  <c r="BR13" i="45"/>
  <c r="BR42" i="45" s="1"/>
  <c r="BO13" i="45"/>
  <c r="BL13" i="45"/>
  <c r="BI13" i="45"/>
  <c r="BF13" i="45"/>
  <c r="BC13" i="45"/>
  <c r="AZ13" i="45"/>
  <c r="AW13" i="45"/>
  <c r="AT13" i="45"/>
  <c r="AT42" i="45" s="1"/>
  <c r="AQ13" i="45"/>
  <c r="AN13" i="45"/>
  <c r="AK13" i="45"/>
  <c r="AB13" i="45"/>
  <c r="Y13" i="45"/>
  <c r="V13" i="45"/>
  <c r="V42" i="45" s="1"/>
  <c r="S13" i="45"/>
  <c r="EH13" i="45" s="1"/>
  <c r="P13" i="45"/>
  <c r="M13" i="45"/>
  <c r="J13" i="45"/>
  <c r="G13" i="45"/>
  <c r="D13" i="45"/>
  <c r="ED13" i="45" s="1"/>
  <c r="EB13" i="45"/>
  <c r="EE13" i="45" s="1"/>
  <c r="A13" i="45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EL12" i="45"/>
  <c r="EK12" i="45"/>
  <c r="EN5" i="45" s="1"/>
  <c r="EI12" i="45"/>
  <c r="EG12" i="45"/>
  <c r="DW12" i="45"/>
  <c r="DT12" i="45"/>
  <c r="EM12" i="45" s="1"/>
  <c r="DQ12" i="45"/>
  <c r="DN12" i="45"/>
  <c r="DK12" i="45"/>
  <c r="DH12" i="45"/>
  <c r="DE12" i="45"/>
  <c r="DB12" i="45"/>
  <c r="CY12" i="45"/>
  <c r="CV12" i="45"/>
  <c r="CS12" i="45"/>
  <c r="CP12" i="45"/>
  <c r="CM12" i="45"/>
  <c r="CJ12" i="45"/>
  <c r="CG12" i="45"/>
  <c r="CD12" i="45"/>
  <c r="CA12" i="45"/>
  <c r="BX12" i="45"/>
  <c r="BU12" i="45"/>
  <c r="BR12" i="45"/>
  <c r="BO12" i="45"/>
  <c r="BL12" i="45"/>
  <c r="BI12" i="45"/>
  <c r="BF12" i="45"/>
  <c r="BC12" i="45"/>
  <c r="AZ12" i="45"/>
  <c r="AW12" i="45"/>
  <c r="AT12" i="45"/>
  <c r="AQ12" i="45"/>
  <c r="AN12" i="45"/>
  <c r="AK12" i="45"/>
  <c r="AB12" i="45"/>
  <c r="Y12" i="45"/>
  <c r="V12" i="45"/>
  <c r="S12" i="45"/>
  <c r="EH12" i="45" s="1"/>
  <c r="P12" i="45"/>
  <c r="M12" i="45"/>
  <c r="J12" i="45"/>
  <c r="G12" i="45"/>
  <c r="D12" i="45"/>
  <c r="ED12" i="45" s="1"/>
  <c r="EB12" i="45"/>
  <c r="A12" i="45"/>
  <c r="EN11" i="45"/>
  <c r="EL11" i="45"/>
  <c r="EK11" i="45"/>
  <c r="EI11" i="45"/>
  <c r="EG11" i="45"/>
  <c r="DW11" i="45"/>
  <c r="DW42" i="45" s="1"/>
  <c r="DT11" i="45"/>
  <c r="EM11" i="45" s="1"/>
  <c r="DQ11" i="45"/>
  <c r="DQ42" i="45" s="1"/>
  <c r="DN11" i="45"/>
  <c r="DK11" i="45"/>
  <c r="DH11" i="45"/>
  <c r="DH42" i="45" s="1"/>
  <c r="DE11" i="45"/>
  <c r="DE42" i="45" s="1"/>
  <c r="DB11" i="45"/>
  <c r="DB42" i="45" s="1"/>
  <c r="CY11" i="45"/>
  <c r="CY42" i="45" s="1"/>
  <c r="CV11" i="45"/>
  <c r="CV42" i="45" s="1"/>
  <c r="CS11" i="45"/>
  <c r="CS42" i="45" s="1"/>
  <c r="CP11" i="45"/>
  <c r="CM11" i="45"/>
  <c r="CJ11" i="45"/>
  <c r="CJ42" i="45" s="1"/>
  <c r="CG11" i="45"/>
  <c r="CG42" i="45" s="1"/>
  <c r="CD11" i="45"/>
  <c r="CD42" i="45" s="1"/>
  <c r="CA11" i="45"/>
  <c r="CA42" i="45" s="1"/>
  <c r="BX11" i="45"/>
  <c r="BX42" i="45" s="1"/>
  <c r="BU11" i="45"/>
  <c r="BU42" i="45" s="1"/>
  <c r="BR11" i="45"/>
  <c r="BO11" i="45"/>
  <c r="BL11" i="45"/>
  <c r="BL42" i="45" s="1"/>
  <c r="BI11" i="45"/>
  <c r="BI42" i="45" s="1"/>
  <c r="BF11" i="45"/>
  <c r="BF42" i="45" s="1"/>
  <c r="BC11" i="45"/>
  <c r="BC42" i="45" s="1"/>
  <c r="AZ11" i="45"/>
  <c r="AZ42" i="45" s="1"/>
  <c r="AW11" i="45"/>
  <c r="AW42" i="45" s="1"/>
  <c r="AT11" i="45"/>
  <c r="AQ11" i="45"/>
  <c r="AN11" i="45"/>
  <c r="AN42" i="45" s="1"/>
  <c r="AK11" i="45"/>
  <c r="AK42" i="45" s="1"/>
  <c r="AB11" i="45"/>
  <c r="AB42" i="45" s="1"/>
  <c r="Y11" i="45"/>
  <c r="V11" i="45"/>
  <c r="S11" i="45"/>
  <c r="P11" i="45"/>
  <c r="P42" i="45" s="1"/>
  <c r="M11" i="45"/>
  <c r="M42" i="45" s="1"/>
  <c r="J11" i="45"/>
  <c r="J42" i="45" s="1"/>
  <c r="G11" i="45"/>
  <c r="G42" i="45" s="1"/>
  <c r="D11" i="45"/>
  <c r="EN2" i="45"/>
  <c r="EP2" i="45" s="1"/>
  <c r="EI2" i="45"/>
  <c r="EH14" i="45" l="1"/>
  <c r="D15" i="45"/>
  <c r="D16" i="45"/>
  <c r="EH29" i="45"/>
  <c r="EH30" i="45"/>
  <c r="D40" i="45"/>
  <c r="ED40" i="45" s="1"/>
  <c r="ED14" i="45"/>
  <c r="EB17" i="45"/>
  <c r="EH38" i="45"/>
  <c r="D39" i="45"/>
  <c r="ED39" i="45" s="1"/>
  <c r="EB41" i="45"/>
  <c r="EE2" i="45" s="1"/>
  <c r="EQ2" i="45" s="1"/>
  <c r="G4" i="45" s="1"/>
  <c r="EH11" i="45"/>
  <c r="EH42" i="45" s="1"/>
  <c r="EH19" i="45"/>
  <c r="EB22" i="45"/>
  <c r="EC22" i="45" s="1"/>
  <c r="ED23" i="45"/>
  <c r="EE25" i="45"/>
  <c r="EH27" i="45"/>
  <c r="D29" i="45"/>
  <c r="ED29" i="45" s="1"/>
  <c r="D30" i="45"/>
  <c r="ED30" i="45" s="1"/>
  <c r="EB33" i="45"/>
  <c r="EE33" i="45" s="1"/>
  <c r="ED34" i="45"/>
  <c r="EC34" i="45"/>
  <c r="ED38" i="45"/>
  <c r="ED15" i="45"/>
  <c r="EH37" i="45"/>
  <c r="AH42" i="45"/>
  <c r="ED16" i="45"/>
  <c r="EH17" i="45"/>
  <c r="EH18" i="45"/>
  <c r="EH24" i="45"/>
  <c r="EH25" i="45"/>
  <c r="EH26" i="45"/>
  <c r="EH34" i="45"/>
  <c r="EH36" i="45"/>
  <c r="EH41" i="45"/>
  <c r="EH16" i="45"/>
  <c r="EH40" i="45"/>
  <c r="AE42" i="45"/>
  <c r="ED24" i="45"/>
  <c r="EH23" i="45"/>
  <c r="EH35" i="45"/>
  <c r="EH39" i="45"/>
  <c r="EC24" i="45"/>
  <c r="EE24" i="45"/>
  <c r="EC16" i="45"/>
  <c r="EE16" i="45"/>
  <c r="EC36" i="45"/>
  <c r="EE36" i="45"/>
  <c r="EE26" i="45"/>
  <c r="EC26" i="45"/>
  <c r="EC15" i="45"/>
  <c r="EE15" i="45"/>
  <c r="EE39" i="45"/>
  <c r="EC39" i="45"/>
  <c r="EE37" i="45"/>
  <c r="EC37" i="45"/>
  <c r="EC23" i="45"/>
  <c r="EE23" i="45"/>
  <c r="EE29" i="45"/>
  <c r="EC29" i="45"/>
  <c r="EE30" i="45"/>
  <c r="EC30" i="45"/>
  <c r="EE31" i="45"/>
  <c r="EC31" i="45"/>
  <c r="EC35" i="45"/>
  <c r="EE35" i="45"/>
  <c r="EE20" i="45"/>
  <c r="EC20" i="45"/>
  <c r="EE28" i="45"/>
  <c r="EC28" i="45"/>
  <c r="EM42" i="45"/>
  <c r="EE18" i="45"/>
  <c r="EC18" i="45"/>
  <c r="ED11" i="45"/>
  <c r="EE12" i="45"/>
  <c r="EC12" i="45"/>
  <c r="EE19" i="45"/>
  <c r="EC19" i="45"/>
  <c r="S42" i="45"/>
  <c r="D19" i="45"/>
  <c r="ED19" i="45" s="1"/>
  <c r="EC13" i="45"/>
  <c r="D18" i="45"/>
  <c r="ED18" i="45" s="1"/>
  <c r="EC21" i="45"/>
  <c r="D26" i="45"/>
  <c r="ED26" i="45" s="1"/>
  <c r="EC32" i="45"/>
  <c r="D37" i="45"/>
  <c r="ED37" i="45" s="1"/>
  <c r="EC40" i="45"/>
  <c r="Y42" i="45"/>
  <c r="EB11" i="45"/>
  <c r="EE14" i="45"/>
  <c r="EE22" i="45"/>
  <c r="EB27" i="45"/>
  <c r="D36" i="45"/>
  <c r="ED36" i="45" s="1"/>
  <c r="EB38" i="45"/>
  <c r="EE41" i="45"/>
  <c r="DT42" i="45"/>
  <c r="EI3" i="45"/>
  <c r="EI4" i="45" s="1"/>
  <c r="EI5" i="45"/>
  <c r="EN12" i="45"/>
  <c r="D35" i="45"/>
  <c r="ED35" i="45" s="1"/>
  <c r="EN3" i="45"/>
  <c r="EN4" i="45" s="1"/>
  <c r="EC17" i="45" l="1"/>
  <c r="EE17" i="45"/>
  <c r="EC33" i="45"/>
  <c r="EC41" i="45"/>
  <c r="EE38" i="45"/>
  <c r="EC38" i="45"/>
  <c r="EE27" i="45"/>
  <c r="EC27" i="45"/>
  <c r="EE11" i="45"/>
  <c r="EC11" i="45"/>
  <c r="EE5" i="45"/>
  <c r="G7" i="45" s="1"/>
  <c r="EE3" i="45"/>
  <c r="D42" i="45"/>
  <c r="ED42" i="45"/>
  <c r="EE4" i="45" l="1"/>
  <c r="G6" i="45" s="1"/>
  <c r="N28" i="4" s="1"/>
  <c r="G5" i="45"/>
  <c r="EN40" i="44" l="1"/>
  <c r="EL40" i="44"/>
  <c r="EK40" i="44"/>
  <c r="EG40" i="44"/>
  <c r="EI40" i="44" s="1"/>
  <c r="EB40" i="44"/>
  <c r="EE2" i="44" s="1"/>
  <c r="EQ2" i="44" s="1"/>
  <c r="G4" i="44" s="1"/>
  <c r="DW40" i="44"/>
  <c r="DT40" i="44"/>
  <c r="DQ40" i="44"/>
  <c r="DN40" i="44"/>
  <c r="DK40" i="44"/>
  <c r="EM40" i="44" s="1"/>
  <c r="DH40" i="44"/>
  <c r="DE40" i="44"/>
  <c r="DB40" i="44"/>
  <c r="CY40" i="44"/>
  <c r="CV40" i="44"/>
  <c r="CS40" i="44"/>
  <c r="CP40" i="44"/>
  <c r="CM40" i="44"/>
  <c r="CJ40" i="44"/>
  <c r="CG40" i="44"/>
  <c r="CD40" i="44"/>
  <c r="CA40" i="44"/>
  <c r="BX40" i="44"/>
  <c r="BU40" i="44"/>
  <c r="BR40" i="44"/>
  <c r="BO40" i="44"/>
  <c r="BL40" i="44"/>
  <c r="BI40" i="44"/>
  <c r="BF40" i="44"/>
  <c r="BC40" i="44"/>
  <c r="AZ40" i="44"/>
  <c r="AW40" i="44"/>
  <c r="AT40" i="44"/>
  <c r="AQ40" i="44"/>
  <c r="AN40" i="44"/>
  <c r="AK40" i="44"/>
  <c r="AB40" i="44"/>
  <c r="Y40" i="44"/>
  <c r="V40" i="44"/>
  <c r="S40" i="44"/>
  <c r="EH40" i="44" s="1"/>
  <c r="P40" i="44"/>
  <c r="M40" i="44"/>
  <c r="J40" i="44"/>
  <c r="ED40" i="44" s="1"/>
  <c r="G40" i="44"/>
  <c r="D40" i="44"/>
  <c r="EL39" i="44"/>
  <c r="EK39" i="44"/>
  <c r="EN39" i="44" s="1"/>
  <c r="EI39" i="44"/>
  <c r="EG39" i="44"/>
  <c r="EB39" i="44"/>
  <c r="EE39" i="44" s="1"/>
  <c r="DW39" i="44"/>
  <c r="DT39" i="44"/>
  <c r="EM39" i="44" s="1"/>
  <c r="DQ39" i="44"/>
  <c r="DN39" i="44"/>
  <c r="DK39" i="44"/>
  <c r="DH39" i="44"/>
  <c r="DE39" i="44"/>
  <c r="DB39" i="44"/>
  <c r="CY39" i="44"/>
  <c r="CV39" i="44"/>
  <c r="CS39" i="44"/>
  <c r="CP39" i="44"/>
  <c r="CM39" i="44"/>
  <c r="CJ39" i="44"/>
  <c r="CG39" i="44"/>
  <c r="CD39" i="44"/>
  <c r="CA39" i="44"/>
  <c r="BX39" i="44"/>
  <c r="BU39" i="44"/>
  <c r="BR39" i="44"/>
  <c r="BO39" i="44"/>
  <c r="BL39" i="44"/>
  <c r="BI39" i="44"/>
  <c r="BF39" i="44"/>
  <c r="BC39" i="44"/>
  <c r="AZ39" i="44"/>
  <c r="AW39" i="44"/>
  <c r="AT39" i="44"/>
  <c r="AQ39" i="44"/>
  <c r="AN39" i="44"/>
  <c r="AK39" i="44"/>
  <c r="AB39" i="44"/>
  <c r="Y39" i="44"/>
  <c r="EH39" i="44" s="1"/>
  <c r="V39" i="44"/>
  <c r="S39" i="44"/>
  <c r="P39" i="44"/>
  <c r="M39" i="44"/>
  <c r="J39" i="44"/>
  <c r="G39" i="44"/>
  <c r="D39" i="44"/>
  <c r="ED39" i="44" s="1"/>
  <c r="EL38" i="44"/>
  <c r="EG38" i="44"/>
  <c r="EI38" i="44" s="1"/>
  <c r="DW38" i="44"/>
  <c r="DT38" i="44"/>
  <c r="DQ38" i="44"/>
  <c r="DN38" i="44"/>
  <c r="DK38" i="44"/>
  <c r="DH38" i="44"/>
  <c r="DE38" i="44"/>
  <c r="DB38" i="44"/>
  <c r="CY38" i="44"/>
  <c r="CV38" i="44"/>
  <c r="CS38" i="44"/>
  <c r="CP38" i="44"/>
  <c r="CM38" i="44"/>
  <c r="CJ38" i="44"/>
  <c r="CG38" i="44"/>
  <c r="CD38" i="44"/>
  <c r="CA38" i="44"/>
  <c r="BX38" i="44"/>
  <c r="BU38" i="44"/>
  <c r="BR38" i="44"/>
  <c r="BO38" i="44"/>
  <c r="BL38" i="44"/>
  <c r="BI38" i="44"/>
  <c r="BF38" i="44"/>
  <c r="BC38" i="44"/>
  <c r="AZ38" i="44"/>
  <c r="AW38" i="44"/>
  <c r="AT38" i="44"/>
  <c r="AQ38" i="44"/>
  <c r="AN38" i="44"/>
  <c r="AI38" i="44"/>
  <c r="AK38" i="44" s="1"/>
  <c r="AB38" i="44"/>
  <c r="Y38" i="44"/>
  <c r="V38" i="44"/>
  <c r="EH38" i="44" s="1"/>
  <c r="S38" i="44"/>
  <c r="P38" i="44"/>
  <c r="M38" i="44"/>
  <c r="J38" i="44"/>
  <c r="G38" i="44"/>
  <c r="D38" i="44"/>
  <c r="EN37" i="44"/>
  <c r="EL37" i="44"/>
  <c r="EK37" i="44"/>
  <c r="EG37" i="44"/>
  <c r="EI37" i="44" s="1"/>
  <c r="EE37" i="44"/>
  <c r="EB37" i="44"/>
  <c r="EC37" i="44" s="1"/>
  <c r="DW37" i="44"/>
  <c r="DT37" i="44"/>
  <c r="EM37" i="44" s="1"/>
  <c r="DQ37" i="44"/>
  <c r="DN37" i="44"/>
  <c r="DK37" i="44"/>
  <c r="DH37" i="44"/>
  <c r="DE37" i="44"/>
  <c r="DB37" i="44"/>
  <c r="CY37" i="44"/>
  <c r="CV37" i="44"/>
  <c r="CS37" i="44"/>
  <c r="CP37" i="44"/>
  <c r="CM37" i="44"/>
  <c r="CJ37" i="44"/>
  <c r="CG37" i="44"/>
  <c r="CD37" i="44"/>
  <c r="CA37" i="44"/>
  <c r="BX37" i="44"/>
  <c r="BU37" i="44"/>
  <c r="BR37" i="44"/>
  <c r="BO37" i="44"/>
  <c r="BL37" i="44"/>
  <c r="BI37" i="44"/>
  <c r="BF37" i="44"/>
  <c r="BC37" i="44"/>
  <c r="AZ37" i="44"/>
  <c r="AW37" i="44"/>
  <c r="AT37" i="44"/>
  <c r="AQ37" i="44"/>
  <c r="AN37" i="44"/>
  <c r="AK37" i="44"/>
  <c r="AB37" i="44"/>
  <c r="Y37" i="44"/>
  <c r="V37" i="44"/>
  <c r="S37" i="44"/>
  <c r="EH37" i="44" s="1"/>
  <c r="P37" i="44"/>
  <c r="ED37" i="44" s="1"/>
  <c r="M37" i="44"/>
  <c r="J37" i="44"/>
  <c r="G37" i="44"/>
  <c r="D37" i="44"/>
  <c r="EN36" i="44"/>
  <c r="EM36" i="44"/>
  <c r="EL36" i="44"/>
  <c r="EK36" i="44"/>
  <c r="EG36" i="44"/>
  <c r="EI36" i="44" s="1"/>
  <c r="EE36" i="44"/>
  <c r="EC36" i="44"/>
  <c r="EB36" i="44"/>
  <c r="DW36" i="44"/>
  <c r="DT36" i="44"/>
  <c r="DQ36" i="44"/>
  <c r="DN36" i="44"/>
  <c r="DK36" i="44"/>
  <c r="DH36" i="44"/>
  <c r="DE36" i="44"/>
  <c r="DB36" i="44"/>
  <c r="CY36" i="44"/>
  <c r="CV36" i="44"/>
  <c r="CS36" i="44"/>
  <c r="CP36" i="44"/>
  <c r="CM36" i="44"/>
  <c r="CJ36" i="44"/>
  <c r="CG36" i="44"/>
  <c r="CD36" i="44"/>
  <c r="CA36" i="44"/>
  <c r="BX36" i="44"/>
  <c r="BU36" i="44"/>
  <c r="BR36" i="44"/>
  <c r="BO36" i="44"/>
  <c r="BL36" i="44"/>
  <c r="BI36" i="44"/>
  <c r="BF36" i="44"/>
  <c r="BC36" i="44"/>
  <c r="AZ36" i="44"/>
  <c r="AW36" i="44"/>
  <c r="AT36" i="44"/>
  <c r="AQ36" i="44"/>
  <c r="AN36" i="44"/>
  <c r="AK36" i="44"/>
  <c r="AB36" i="44"/>
  <c r="Y36" i="44"/>
  <c r="V36" i="44"/>
  <c r="S36" i="44"/>
  <c r="EH36" i="44" s="1"/>
  <c r="P36" i="44"/>
  <c r="M36" i="44"/>
  <c r="J36" i="44"/>
  <c r="ED36" i="44" s="1"/>
  <c r="G36" i="44"/>
  <c r="D36" i="44"/>
  <c r="EL35" i="44"/>
  <c r="EK35" i="44"/>
  <c r="EC35" i="44" s="1"/>
  <c r="EI35" i="44"/>
  <c r="EG35" i="44"/>
  <c r="EB35" i="44"/>
  <c r="EE35" i="44" s="1"/>
  <c r="DW35" i="44"/>
  <c r="DT35" i="44"/>
  <c r="DQ35" i="44"/>
  <c r="DN35" i="44"/>
  <c r="DK35" i="44"/>
  <c r="DH35" i="44"/>
  <c r="DE35" i="44"/>
  <c r="EM35" i="44" s="1"/>
  <c r="DB35" i="44"/>
  <c r="CY35" i="44"/>
  <c r="CV35" i="44"/>
  <c r="CS35" i="44"/>
  <c r="CP35" i="44"/>
  <c r="CM35" i="44"/>
  <c r="CJ35" i="44"/>
  <c r="CG35" i="44"/>
  <c r="CD35" i="44"/>
  <c r="CA35" i="44"/>
  <c r="BX35" i="44"/>
  <c r="BU35" i="44"/>
  <c r="BR35" i="44"/>
  <c r="BO35" i="44"/>
  <c r="BL35" i="44"/>
  <c r="BI35" i="44"/>
  <c r="BF35" i="44"/>
  <c r="BC35" i="44"/>
  <c r="AZ35" i="44"/>
  <c r="AW35" i="44"/>
  <c r="AT35" i="44"/>
  <c r="AQ35" i="44"/>
  <c r="AN35" i="44"/>
  <c r="AK35" i="44"/>
  <c r="AB35" i="44"/>
  <c r="Y35" i="44"/>
  <c r="V35" i="44"/>
  <c r="S35" i="44"/>
  <c r="EH35" i="44" s="1"/>
  <c r="P35" i="44"/>
  <c r="M35" i="44"/>
  <c r="J35" i="44"/>
  <c r="G35" i="44"/>
  <c r="D35" i="44"/>
  <c r="ED35" i="44" s="1"/>
  <c r="EL34" i="44"/>
  <c r="EK34" i="44"/>
  <c r="EG34" i="44"/>
  <c r="EI34" i="44" s="1"/>
  <c r="DW34" i="44"/>
  <c r="DT34" i="44"/>
  <c r="EM34" i="44" s="1"/>
  <c r="DQ34" i="44"/>
  <c r="DN34" i="44"/>
  <c r="DK34" i="44"/>
  <c r="DH34" i="44"/>
  <c r="DE34" i="44"/>
  <c r="DB34" i="44"/>
  <c r="CY34" i="44"/>
  <c r="CV34" i="44"/>
  <c r="CS34" i="44"/>
  <c r="CP34" i="44"/>
  <c r="CM34" i="44"/>
  <c r="CJ34" i="44"/>
  <c r="CG34" i="44"/>
  <c r="CD34" i="44"/>
  <c r="CA34" i="44"/>
  <c r="BX34" i="44"/>
  <c r="BU34" i="44"/>
  <c r="BR34" i="44"/>
  <c r="BO34" i="44"/>
  <c r="BL34" i="44"/>
  <c r="BI34" i="44"/>
  <c r="BF34" i="44"/>
  <c r="BC34" i="44"/>
  <c r="AZ34" i="44"/>
  <c r="AW34" i="44"/>
  <c r="AT34" i="44"/>
  <c r="AQ34" i="44"/>
  <c r="AN34" i="44"/>
  <c r="AK34" i="44"/>
  <c r="AI34" i="44"/>
  <c r="EB34" i="44" s="1"/>
  <c r="AB34" i="44"/>
  <c r="EH34" i="44" s="1"/>
  <c r="Y34" i="44"/>
  <c r="V34" i="44"/>
  <c r="S34" i="44"/>
  <c r="P34" i="44"/>
  <c r="M34" i="44"/>
  <c r="J34" i="44"/>
  <c r="G34" i="44"/>
  <c r="D34" i="44"/>
  <c r="ED34" i="44" s="1"/>
  <c r="EL33" i="44"/>
  <c r="EG33" i="44"/>
  <c r="EI33" i="44" s="1"/>
  <c r="DW33" i="44"/>
  <c r="DT33" i="44"/>
  <c r="EM33" i="44" s="1"/>
  <c r="DQ33" i="44"/>
  <c r="DN33" i="44"/>
  <c r="DK33" i="44"/>
  <c r="DH33" i="44"/>
  <c r="DE33" i="44"/>
  <c r="DB33" i="44"/>
  <c r="CY33" i="44"/>
  <c r="CV33" i="44"/>
  <c r="CS33" i="44"/>
  <c r="CP33" i="44"/>
  <c r="CM33" i="44"/>
  <c r="CJ33" i="44"/>
  <c r="CG33" i="44"/>
  <c r="CD33" i="44"/>
  <c r="CA33" i="44"/>
  <c r="BX33" i="44"/>
  <c r="BU33" i="44"/>
  <c r="BR33" i="44"/>
  <c r="BO33" i="44"/>
  <c r="BL33" i="44"/>
  <c r="BI33" i="44"/>
  <c r="BF33" i="44"/>
  <c r="BC33" i="44"/>
  <c r="AZ33" i="44"/>
  <c r="AW33" i="44"/>
  <c r="AT33" i="44"/>
  <c r="AQ33" i="44"/>
  <c r="AN33" i="44"/>
  <c r="AK33" i="44"/>
  <c r="AI33" i="44"/>
  <c r="EB33" i="44" s="1"/>
  <c r="AB33" i="44"/>
  <c r="Y33" i="44"/>
  <c r="V33" i="44"/>
  <c r="EH33" i="44" s="1"/>
  <c r="S33" i="44"/>
  <c r="P33" i="44"/>
  <c r="M33" i="44"/>
  <c r="J33" i="44"/>
  <c r="G33" i="44"/>
  <c r="D33" i="44"/>
  <c r="ED33" i="44" s="1"/>
  <c r="EL32" i="44"/>
  <c r="EG32" i="44"/>
  <c r="EI32" i="44" s="1"/>
  <c r="DW32" i="44"/>
  <c r="DT32" i="44"/>
  <c r="DQ32" i="44"/>
  <c r="DN32" i="44"/>
  <c r="DK32" i="44"/>
  <c r="DH32" i="44"/>
  <c r="DE32" i="44"/>
  <c r="DB32" i="44"/>
  <c r="CY32" i="44"/>
  <c r="CV32" i="44"/>
  <c r="CS32" i="44"/>
  <c r="CP32" i="44"/>
  <c r="CM32" i="44"/>
  <c r="CJ32" i="44"/>
  <c r="CG32" i="44"/>
  <c r="CD32" i="44"/>
  <c r="CA32" i="44"/>
  <c r="BX32" i="44"/>
  <c r="BU32" i="44"/>
  <c r="BR32" i="44"/>
  <c r="BO32" i="44"/>
  <c r="BL32" i="44"/>
  <c r="BI32" i="44"/>
  <c r="BF32" i="44"/>
  <c r="BC32" i="44"/>
  <c r="AZ32" i="44"/>
  <c r="AW32" i="44"/>
  <c r="AT32" i="44"/>
  <c r="AQ32" i="44"/>
  <c r="AN32" i="44"/>
  <c r="AI32" i="44"/>
  <c r="AK32" i="44" s="1"/>
  <c r="AB32" i="44"/>
  <c r="Y32" i="44"/>
  <c r="V32" i="44"/>
  <c r="EH32" i="44" s="1"/>
  <c r="S32" i="44"/>
  <c r="P32" i="44"/>
  <c r="M32" i="44"/>
  <c r="J32" i="44"/>
  <c r="G32" i="44"/>
  <c r="D32" i="44"/>
  <c r="EL31" i="44"/>
  <c r="EG31" i="44"/>
  <c r="EI31" i="44" s="1"/>
  <c r="ED31" i="44"/>
  <c r="DW31" i="44"/>
  <c r="DT31" i="44"/>
  <c r="DQ31" i="44"/>
  <c r="DN31" i="44"/>
  <c r="EM31" i="44" s="1"/>
  <c r="DK31" i="44"/>
  <c r="DH31" i="44"/>
  <c r="DE31" i="44"/>
  <c r="DB31" i="44"/>
  <c r="CY31" i="44"/>
  <c r="CV31" i="44"/>
  <c r="CS31" i="44"/>
  <c r="CP31" i="44"/>
  <c r="CM31" i="44"/>
  <c r="CJ31" i="44"/>
  <c r="CG31" i="44"/>
  <c r="CD31" i="44"/>
  <c r="CA31" i="44"/>
  <c r="BX31" i="44"/>
  <c r="BU31" i="44"/>
  <c r="BR31" i="44"/>
  <c r="BO31" i="44"/>
  <c r="BL31" i="44"/>
  <c r="BI31" i="44"/>
  <c r="BF31" i="44"/>
  <c r="BC31" i="44"/>
  <c r="AZ31" i="44"/>
  <c r="AX31" i="44"/>
  <c r="AW31" i="44"/>
  <c r="AU31" i="44"/>
  <c r="EK31" i="44" s="1"/>
  <c r="EN31" i="44" s="1"/>
  <c r="AT31" i="44"/>
  <c r="AR31" i="44"/>
  <c r="EB31" i="44" s="1"/>
  <c r="AQ31" i="44"/>
  <c r="AN31" i="44"/>
  <c r="AK31" i="44"/>
  <c r="AI31" i="44"/>
  <c r="AB31" i="44"/>
  <c r="Y31" i="44"/>
  <c r="V31" i="44"/>
  <c r="S31" i="44"/>
  <c r="EH31" i="44" s="1"/>
  <c r="P31" i="44"/>
  <c r="M31" i="44"/>
  <c r="J31" i="44"/>
  <c r="G31" i="44"/>
  <c r="D31" i="44"/>
  <c r="EL30" i="44"/>
  <c r="EG30" i="44"/>
  <c r="EI30" i="44" s="1"/>
  <c r="DW30" i="44"/>
  <c r="DT30" i="44"/>
  <c r="EM30" i="44" s="1"/>
  <c r="DQ30" i="44"/>
  <c r="DN30" i="44"/>
  <c r="DK30" i="44"/>
  <c r="DH30" i="44"/>
  <c r="DE30" i="44"/>
  <c r="DB30" i="44"/>
  <c r="CY30" i="44"/>
  <c r="CV30" i="44"/>
  <c r="CS30" i="44"/>
  <c r="CP30" i="44"/>
  <c r="CM30" i="44"/>
  <c r="CJ30" i="44"/>
  <c r="CG30" i="44"/>
  <c r="CD30" i="44"/>
  <c r="CA30" i="44"/>
  <c r="BX30" i="44"/>
  <c r="BU30" i="44"/>
  <c r="BR30" i="44"/>
  <c r="BO30" i="44"/>
  <c r="BL30" i="44"/>
  <c r="BI30" i="44"/>
  <c r="BF30" i="44"/>
  <c r="BC30" i="44"/>
  <c r="AZ30" i="44"/>
  <c r="AX30" i="44"/>
  <c r="EK30" i="44" s="1"/>
  <c r="EN30" i="44" s="1"/>
  <c r="AW30" i="44"/>
  <c r="AU30" i="44"/>
  <c r="AR30" i="44"/>
  <c r="AT30" i="44" s="1"/>
  <c r="AQ30" i="44"/>
  <c r="AO30" i="44"/>
  <c r="AN30" i="44"/>
  <c r="AL30" i="44"/>
  <c r="EB30" i="44" s="1"/>
  <c r="AK30" i="44"/>
  <c r="AB30" i="44"/>
  <c r="Y30" i="44"/>
  <c r="V30" i="44"/>
  <c r="S30" i="44"/>
  <c r="EH30" i="44" s="1"/>
  <c r="P30" i="44"/>
  <c r="M30" i="44"/>
  <c r="J30" i="44"/>
  <c r="G30" i="44"/>
  <c r="D30" i="44"/>
  <c r="ED30" i="44" s="1"/>
  <c r="EL29" i="44"/>
  <c r="EK29" i="44"/>
  <c r="EI29" i="44"/>
  <c r="EG29" i="44"/>
  <c r="DW29" i="44"/>
  <c r="DT29" i="44"/>
  <c r="DQ29" i="44"/>
  <c r="DN29" i="44"/>
  <c r="DK29" i="44"/>
  <c r="DH29" i="44"/>
  <c r="DE29" i="44"/>
  <c r="DB29" i="44"/>
  <c r="CY29" i="44"/>
  <c r="CV29" i="44"/>
  <c r="CS29" i="44"/>
  <c r="CP29" i="44"/>
  <c r="CM29" i="44"/>
  <c r="CJ29" i="44"/>
  <c r="CG29" i="44"/>
  <c r="CD29" i="44"/>
  <c r="CA29" i="44"/>
  <c r="BX29" i="44"/>
  <c r="BU29" i="44"/>
  <c r="BR29" i="44"/>
  <c r="BO29" i="44"/>
  <c r="BL29" i="44"/>
  <c r="BI29" i="44"/>
  <c r="BF29" i="44"/>
  <c r="BC29" i="44"/>
  <c r="AZ29" i="44"/>
  <c r="AX29" i="44"/>
  <c r="AU29" i="44"/>
  <c r="AW29" i="44" s="1"/>
  <c r="AR29" i="44"/>
  <c r="AT29" i="44" s="1"/>
  <c r="AO29" i="44"/>
  <c r="EB29" i="44" s="1"/>
  <c r="AN29" i="44"/>
  <c r="AL29" i="44"/>
  <c r="AK29" i="44"/>
  <c r="AB29" i="44"/>
  <c r="Y29" i="44"/>
  <c r="V29" i="44"/>
  <c r="S29" i="44"/>
  <c r="EH29" i="44" s="1"/>
  <c r="P29" i="44"/>
  <c r="M29" i="44"/>
  <c r="J29" i="44"/>
  <c r="G29" i="44"/>
  <c r="D29" i="44"/>
  <c r="EL28" i="44"/>
  <c r="EG28" i="44"/>
  <c r="EI28" i="44" s="1"/>
  <c r="DW28" i="44"/>
  <c r="DT28" i="44"/>
  <c r="DQ28" i="44"/>
  <c r="DN28" i="44"/>
  <c r="DK28" i="44"/>
  <c r="DH28" i="44"/>
  <c r="DE28" i="44"/>
  <c r="DB28" i="44"/>
  <c r="CY28" i="44"/>
  <c r="CV28" i="44"/>
  <c r="CS28" i="44"/>
  <c r="CP28" i="44"/>
  <c r="CM28" i="44"/>
  <c r="CJ28" i="44"/>
  <c r="CG28" i="44"/>
  <c r="CD28" i="44"/>
  <c r="CA28" i="44"/>
  <c r="BX28" i="44"/>
  <c r="BU28" i="44"/>
  <c r="BR28" i="44"/>
  <c r="BO28" i="44"/>
  <c r="BL28" i="44"/>
  <c r="BI28" i="44"/>
  <c r="BF28" i="44"/>
  <c r="BC28" i="44"/>
  <c r="AZ28" i="44"/>
  <c r="AX28" i="44"/>
  <c r="AW28" i="44"/>
  <c r="AU28" i="44"/>
  <c r="EK28" i="44" s="1"/>
  <c r="AT28" i="44"/>
  <c r="AR28" i="44"/>
  <c r="AO28" i="44"/>
  <c r="AQ28" i="44" s="1"/>
  <c r="AN28" i="44"/>
  <c r="AL28" i="44"/>
  <c r="EB28" i="44" s="1"/>
  <c r="AK28" i="44"/>
  <c r="AB28" i="44"/>
  <c r="Y28" i="44"/>
  <c r="V28" i="44"/>
  <c r="S28" i="44"/>
  <c r="EH28" i="44" s="1"/>
  <c r="P28" i="44"/>
  <c r="M28" i="44"/>
  <c r="J28" i="44"/>
  <c r="G28" i="44"/>
  <c r="D28" i="44"/>
  <c r="EL27" i="44"/>
  <c r="EK27" i="44"/>
  <c r="EH27" i="44"/>
  <c r="EG27" i="44"/>
  <c r="EI27" i="44" s="1"/>
  <c r="DW27" i="44"/>
  <c r="DT27" i="44"/>
  <c r="DQ27" i="44"/>
  <c r="DN27" i="44"/>
  <c r="DK27" i="44"/>
  <c r="DH27" i="44"/>
  <c r="DE27" i="44"/>
  <c r="DB27" i="44"/>
  <c r="CY27" i="44"/>
  <c r="CV27" i="44"/>
  <c r="CS27" i="44"/>
  <c r="CP27" i="44"/>
  <c r="CM27" i="44"/>
  <c r="CJ27" i="44"/>
  <c r="CG27" i="44"/>
  <c r="CD27" i="44"/>
  <c r="CA27" i="44"/>
  <c r="BX27" i="44"/>
  <c r="BU27" i="44"/>
  <c r="BR27" i="44"/>
  <c r="BO27" i="44"/>
  <c r="BL27" i="44"/>
  <c r="BI27" i="44"/>
  <c r="BF27" i="44"/>
  <c r="BC27" i="44"/>
  <c r="AZ27" i="44"/>
  <c r="AW27" i="44"/>
  <c r="AU27" i="44"/>
  <c r="AR27" i="44"/>
  <c r="AT27" i="44" s="1"/>
  <c r="AQ27" i="44"/>
  <c r="AO27" i="44"/>
  <c r="AN27" i="44"/>
  <c r="AL27" i="44"/>
  <c r="EB27" i="44" s="1"/>
  <c r="AK27" i="44"/>
  <c r="AI27" i="44"/>
  <c r="AB27" i="44"/>
  <c r="Y27" i="44"/>
  <c r="V27" i="44"/>
  <c r="S27" i="44"/>
  <c r="P27" i="44"/>
  <c r="M27" i="44"/>
  <c r="J27" i="44"/>
  <c r="G27" i="44"/>
  <c r="D27" i="44"/>
  <c r="ED27" i="44" s="1"/>
  <c r="EL26" i="44"/>
  <c r="EG26" i="44"/>
  <c r="EI26" i="44" s="1"/>
  <c r="DW26" i="44"/>
  <c r="DT26" i="44"/>
  <c r="DQ26" i="44"/>
  <c r="DN26" i="44"/>
  <c r="DK26" i="44"/>
  <c r="DH26" i="44"/>
  <c r="DE26" i="44"/>
  <c r="DB26" i="44"/>
  <c r="CY26" i="44"/>
  <c r="CV26" i="44"/>
  <c r="CS26" i="44"/>
  <c r="CP26" i="44"/>
  <c r="CM26" i="44"/>
  <c r="CJ26" i="44"/>
  <c r="CG26" i="44"/>
  <c r="CD26" i="44"/>
  <c r="CA26" i="44"/>
  <c r="BX26" i="44"/>
  <c r="BU26" i="44"/>
  <c r="BR26" i="44"/>
  <c r="BO26" i="44"/>
  <c r="BL26" i="44"/>
  <c r="BI26" i="44"/>
  <c r="BF26" i="44"/>
  <c r="BC26" i="44"/>
  <c r="AZ26" i="44"/>
  <c r="AU26" i="44"/>
  <c r="AW26" i="44" s="1"/>
  <c r="AR26" i="44"/>
  <c r="EK26" i="44" s="1"/>
  <c r="AO26" i="44"/>
  <c r="EB26" i="44" s="1"/>
  <c r="AN26" i="44"/>
  <c r="AL26" i="44"/>
  <c r="AI26" i="44"/>
  <c r="AK26" i="44" s="1"/>
  <c r="AB26" i="44"/>
  <c r="Y26" i="44"/>
  <c r="V26" i="44"/>
  <c r="EH26" i="44" s="1"/>
  <c r="S26" i="44"/>
  <c r="P26" i="44"/>
  <c r="M26" i="44"/>
  <c r="J26" i="44"/>
  <c r="G26" i="44"/>
  <c r="D26" i="44"/>
  <c r="EL25" i="44"/>
  <c r="EG25" i="44"/>
  <c r="EI25" i="44" s="1"/>
  <c r="DW25" i="44"/>
  <c r="DT25" i="44"/>
  <c r="EM25" i="44" s="1"/>
  <c r="DQ25" i="44"/>
  <c r="DN25" i="44"/>
  <c r="DK25" i="44"/>
  <c r="DH25" i="44"/>
  <c r="DE25" i="44"/>
  <c r="DB25" i="44"/>
  <c r="CY25" i="44"/>
  <c r="CV25" i="44"/>
  <c r="CS25" i="44"/>
  <c r="CP25" i="44"/>
  <c r="CM25" i="44"/>
  <c r="CJ25" i="44"/>
  <c r="CG25" i="44"/>
  <c r="CD25" i="44"/>
  <c r="CA25" i="44"/>
  <c r="BX25" i="44"/>
  <c r="BU25" i="44"/>
  <c r="BR25" i="44"/>
  <c r="BO25" i="44"/>
  <c r="BL25" i="44"/>
  <c r="BI25" i="44"/>
  <c r="BF25" i="44"/>
  <c r="BC25" i="44"/>
  <c r="AZ25" i="44"/>
  <c r="AW25" i="44"/>
  <c r="AU25" i="44"/>
  <c r="EK25" i="44" s="1"/>
  <c r="EN25" i="44" s="1"/>
  <c r="AT25" i="44"/>
  <c r="AR25" i="44"/>
  <c r="AO25" i="44"/>
  <c r="AQ25" i="44" s="1"/>
  <c r="AN25" i="44"/>
  <c r="AL25" i="44"/>
  <c r="AK25" i="44"/>
  <c r="AI25" i="44"/>
  <c r="EH25" i="44"/>
  <c r="AB25" i="44"/>
  <c r="Y25" i="44"/>
  <c r="V25" i="44"/>
  <c r="S25" i="44"/>
  <c r="P25" i="44"/>
  <c r="M25" i="44"/>
  <c r="J25" i="44"/>
  <c r="G25" i="44"/>
  <c r="D25" i="44"/>
  <c r="EL24" i="44"/>
  <c r="EI24" i="44"/>
  <c r="EG24" i="44"/>
  <c r="DW24" i="44"/>
  <c r="DT24" i="44"/>
  <c r="DQ24" i="44"/>
  <c r="DN24" i="44"/>
  <c r="DK24" i="44"/>
  <c r="DH24" i="44"/>
  <c r="DE24" i="44"/>
  <c r="DB24" i="44"/>
  <c r="CY24" i="44"/>
  <c r="CV24" i="44"/>
  <c r="CS24" i="44"/>
  <c r="CP24" i="44"/>
  <c r="CM24" i="44"/>
  <c r="CJ24" i="44"/>
  <c r="CG24" i="44"/>
  <c r="CD24" i="44"/>
  <c r="CA24" i="44"/>
  <c r="BX24" i="44"/>
  <c r="BU24" i="44"/>
  <c r="BR24" i="44"/>
  <c r="BO24" i="44"/>
  <c r="BL24" i="44"/>
  <c r="BI24" i="44"/>
  <c r="BF24" i="44"/>
  <c r="BC24" i="44"/>
  <c r="AZ24" i="44"/>
  <c r="AW24" i="44"/>
  <c r="AU24" i="44"/>
  <c r="AR24" i="44"/>
  <c r="AT24" i="44" s="1"/>
  <c r="AO24" i="44"/>
  <c r="AQ24" i="44" s="1"/>
  <c r="AL24" i="44"/>
  <c r="EB24" i="44" s="1"/>
  <c r="AK24" i="44"/>
  <c r="AI24" i="44"/>
  <c r="AB24" i="44"/>
  <c r="Y24" i="44"/>
  <c r="V24" i="44"/>
  <c r="S24" i="44"/>
  <c r="EH24" i="44" s="1"/>
  <c r="P24" i="44"/>
  <c r="M24" i="44"/>
  <c r="J24" i="44"/>
  <c r="G24" i="44"/>
  <c r="D24" i="44"/>
  <c r="EL23" i="44"/>
  <c r="EI23" i="44"/>
  <c r="EG23" i="44"/>
  <c r="DW23" i="44"/>
  <c r="DT23" i="44"/>
  <c r="DQ23" i="44"/>
  <c r="DN23" i="44"/>
  <c r="DK23" i="44"/>
  <c r="DH23" i="44"/>
  <c r="DE23" i="44"/>
  <c r="DB23" i="44"/>
  <c r="CY23" i="44"/>
  <c r="CV23" i="44"/>
  <c r="CS23" i="44"/>
  <c r="CP23" i="44"/>
  <c r="CM23" i="44"/>
  <c r="CJ23" i="44"/>
  <c r="CG23" i="44"/>
  <c r="CD23" i="44"/>
  <c r="CA23" i="44"/>
  <c r="BX23" i="44"/>
  <c r="BU23" i="44"/>
  <c r="BR23" i="44"/>
  <c r="BO23" i="44"/>
  <c r="BL23" i="44"/>
  <c r="BI23" i="44"/>
  <c r="BF23" i="44"/>
  <c r="BC23" i="44"/>
  <c r="AZ23" i="44"/>
  <c r="AW23" i="44"/>
  <c r="AR23" i="44"/>
  <c r="EK23" i="44" s="1"/>
  <c r="AO23" i="44"/>
  <c r="EB23" i="44" s="1"/>
  <c r="AN23" i="44"/>
  <c r="AL23" i="44"/>
  <c r="AK23" i="44"/>
  <c r="AB23" i="44"/>
  <c r="Y23" i="44"/>
  <c r="V23" i="44"/>
  <c r="S23" i="44"/>
  <c r="EH23" i="44" s="1"/>
  <c r="P23" i="44"/>
  <c r="M23" i="44"/>
  <c r="J23" i="44"/>
  <c r="G23" i="44"/>
  <c r="D23" i="44"/>
  <c r="EL22" i="44"/>
  <c r="EG22" i="44"/>
  <c r="EI22" i="44" s="1"/>
  <c r="DW22" i="44"/>
  <c r="DT22" i="44"/>
  <c r="DQ22" i="44"/>
  <c r="DN22" i="44"/>
  <c r="DK22" i="44"/>
  <c r="DH22" i="44"/>
  <c r="DE22" i="44"/>
  <c r="DB22" i="44"/>
  <c r="CY22" i="44"/>
  <c r="CV22" i="44"/>
  <c r="CS22" i="44"/>
  <c r="CP22" i="44"/>
  <c r="CM22" i="44"/>
  <c r="CJ22" i="44"/>
  <c r="CG22" i="44"/>
  <c r="CD22" i="44"/>
  <c r="CA22" i="44"/>
  <c r="BX22" i="44"/>
  <c r="BU22" i="44"/>
  <c r="BR22" i="44"/>
  <c r="BO22" i="44"/>
  <c r="BL22" i="44"/>
  <c r="BI22" i="44"/>
  <c r="BF22" i="44"/>
  <c r="BC22" i="44"/>
  <c r="AZ22" i="44"/>
  <c r="AW22" i="44"/>
  <c r="AT22" i="44"/>
  <c r="AR22" i="44"/>
  <c r="EK22" i="44" s="1"/>
  <c r="AQ22" i="44"/>
  <c r="AO22" i="44"/>
  <c r="AL22" i="44"/>
  <c r="EB22" i="44" s="1"/>
  <c r="AK22" i="44"/>
  <c r="AB22" i="44"/>
  <c r="Y22" i="44"/>
  <c r="V22" i="44"/>
  <c r="S22" i="44"/>
  <c r="EH22" i="44" s="1"/>
  <c r="P22" i="44"/>
  <c r="M22" i="44"/>
  <c r="J22" i="44"/>
  <c r="G22" i="44"/>
  <c r="D22" i="44"/>
  <c r="EL21" i="44"/>
  <c r="EG21" i="44"/>
  <c r="EI21" i="44" s="1"/>
  <c r="DW21" i="44"/>
  <c r="DT21" i="44"/>
  <c r="DQ21" i="44"/>
  <c r="DN21" i="44"/>
  <c r="DK21" i="44"/>
  <c r="DH21" i="44"/>
  <c r="DE21" i="44"/>
  <c r="DB21" i="44"/>
  <c r="CY21" i="44"/>
  <c r="CV21" i="44"/>
  <c r="CS21" i="44"/>
  <c r="CP21" i="44"/>
  <c r="CM21" i="44"/>
  <c r="CJ21" i="44"/>
  <c r="CG21" i="44"/>
  <c r="CD21" i="44"/>
  <c r="CA21" i="44"/>
  <c r="BX21" i="44"/>
  <c r="BU21" i="44"/>
  <c r="BR21" i="44"/>
  <c r="BO21" i="44"/>
  <c r="BL21" i="44"/>
  <c r="BI21" i="44"/>
  <c r="BF21" i="44"/>
  <c r="BC21" i="44"/>
  <c r="AZ21" i="44"/>
  <c r="AW21" i="44"/>
  <c r="AR21" i="44"/>
  <c r="EK21" i="44" s="1"/>
  <c r="AQ21" i="44"/>
  <c r="AO21" i="44"/>
  <c r="AL21" i="44"/>
  <c r="EB21" i="44" s="1"/>
  <c r="AK21" i="44"/>
  <c r="AB21" i="44"/>
  <c r="EH21" i="44" s="1"/>
  <c r="Y21" i="44"/>
  <c r="V21" i="44"/>
  <c r="S21" i="44"/>
  <c r="P21" i="44"/>
  <c r="M21" i="44"/>
  <c r="J21" i="44"/>
  <c r="G21" i="44"/>
  <c r="D21" i="44"/>
  <c r="EL20" i="44"/>
  <c r="EG20" i="44"/>
  <c r="EI20" i="44" s="1"/>
  <c r="DW20" i="44"/>
  <c r="DT20" i="44"/>
  <c r="EM20" i="44" s="1"/>
  <c r="DQ20" i="44"/>
  <c r="DN20" i="44"/>
  <c r="DK20" i="44"/>
  <c r="DH20" i="44"/>
  <c r="DE20" i="44"/>
  <c r="DB20" i="44"/>
  <c r="CY20" i="44"/>
  <c r="CV20" i="44"/>
  <c r="CS20" i="44"/>
  <c r="CP20" i="44"/>
  <c r="CM20" i="44"/>
  <c r="CJ20" i="44"/>
  <c r="CG20" i="44"/>
  <c r="CD20" i="44"/>
  <c r="CA20" i="44"/>
  <c r="BX20" i="44"/>
  <c r="BU20" i="44"/>
  <c r="BR20" i="44"/>
  <c r="BO20" i="44"/>
  <c r="BL20" i="44"/>
  <c r="BI20" i="44"/>
  <c r="BF20" i="44"/>
  <c r="BC20" i="44"/>
  <c r="AZ20" i="44"/>
  <c r="AW20" i="44"/>
  <c r="AT20" i="44"/>
  <c r="AQ20" i="44"/>
  <c r="AO20" i="44"/>
  <c r="EK20" i="44" s="1"/>
  <c r="AL20" i="44"/>
  <c r="AN20" i="44" s="1"/>
  <c r="AI20" i="44"/>
  <c r="AK20" i="44" s="1"/>
  <c r="AB20" i="44"/>
  <c r="Y20" i="44"/>
  <c r="V20" i="44"/>
  <c r="S20" i="44"/>
  <c r="EH20" i="44" s="1"/>
  <c r="P20" i="44"/>
  <c r="M20" i="44"/>
  <c r="J20" i="44"/>
  <c r="G20" i="44"/>
  <c r="D20" i="44"/>
  <c r="ED20" i="44" s="1"/>
  <c r="EL19" i="44"/>
  <c r="EK19" i="44"/>
  <c r="EG19" i="44"/>
  <c r="EI19" i="44" s="1"/>
  <c r="DW19" i="44"/>
  <c r="DT19" i="44"/>
  <c r="DQ19" i="44"/>
  <c r="DN19" i="44"/>
  <c r="DK19" i="44"/>
  <c r="DH19" i="44"/>
  <c r="DE19" i="44"/>
  <c r="DB19" i="44"/>
  <c r="CY19" i="44"/>
  <c r="CV19" i="44"/>
  <c r="CS19" i="44"/>
  <c r="CP19" i="44"/>
  <c r="CM19" i="44"/>
  <c r="CJ19" i="44"/>
  <c r="CG19" i="44"/>
  <c r="CD19" i="44"/>
  <c r="CA19" i="44"/>
  <c r="BX19" i="44"/>
  <c r="BU19" i="44"/>
  <c r="BR19" i="44"/>
  <c r="BO19" i="44"/>
  <c r="BL19" i="44"/>
  <c r="BI19" i="44"/>
  <c r="BF19" i="44"/>
  <c r="BC19" i="44"/>
  <c r="AZ19" i="44"/>
  <c r="AW19" i="44"/>
  <c r="AT19" i="44"/>
  <c r="AO19" i="44"/>
  <c r="AQ19" i="44" s="1"/>
  <c r="AN19" i="44"/>
  <c r="AL19" i="44"/>
  <c r="EB19" i="44" s="1"/>
  <c r="AK19" i="44"/>
  <c r="AI19" i="44"/>
  <c r="EH19" i="44"/>
  <c r="AB19" i="44"/>
  <c r="Y19" i="44"/>
  <c r="V19" i="44"/>
  <c r="S19" i="44"/>
  <c r="P19" i="44"/>
  <c r="M19" i="44"/>
  <c r="J19" i="44"/>
  <c r="G19" i="44"/>
  <c r="D19" i="44"/>
  <c r="EL18" i="44"/>
  <c r="EI18" i="44"/>
  <c r="EG18" i="44"/>
  <c r="DW18" i="44"/>
  <c r="DT18" i="44"/>
  <c r="DQ18" i="44"/>
  <c r="DN18" i="44"/>
  <c r="DK18" i="44"/>
  <c r="DH18" i="44"/>
  <c r="DE18" i="44"/>
  <c r="DB18" i="44"/>
  <c r="CY18" i="44"/>
  <c r="CV18" i="44"/>
  <c r="CS18" i="44"/>
  <c r="CP18" i="44"/>
  <c r="CM18" i="44"/>
  <c r="CJ18" i="44"/>
  <c r="CG18" i="44"/>
  <c r="CD18" i="44"/>
  <c r="CA18" i="44"/>
  <c r="BX18" i="44"/>
  <c r="BU18" i="44"/>
  <c r="BR18" i="44"/>
  <c r="BO18" i="44"/>
  <c r="BL18" i="44"/>
  <c r="BI18" i="44"/>
  <c r="BF18" i="44"/>
  <c r="BC18" i="44"/>
  <c r="AZ18" i="44"/>
  <c r="AW18" i="44"/>
  <c r="AT18" i="44"/>
  <c r="AO18" i="44"/>
  <c r="AQ18" i="44" s="1"/>
  <c r="AL18" i="44"/>
  <c r="EB18" i="44" s="1"/>
  <c r="AI18" i="44"/>
  <c r="AK18" i="44" s="1"/>
  <c r="AB18" i="44"/>
  <c r="Y18" i="44"/>
  <c r="V18" i="44"/>
  <c r="S18" i="44"/>
  <c r="EH18" i="44" s="1"/>
  <c r="P18" i="44"/>
  <c r="M18" i="44"/>
  <c r="J18" i="44"/>
  <c r="G18" i="44"/>
  <c r="D18" i="44"/>
  <c r="EL17" i="44"/>
  <c r="EK17" i="44"/>
  <c r="EI17" i="44"/>
  <c r="EG17" i="44"/>
  <c r="DW17" i="44"/>
  <c r="DT17" i="44"/>
  <c r="DQ17" i="44"/>
  <c r="DN17" i="44"/>
  <c r="DK17" i="44"/>
  <c r="DH17" i="44"/>
  <c r="DE17" i="44"/>
  <c r="EM17" i="44" s="1"/>
  <c r="DB17" i="44"/>
  <c r="CY17" i="44"/>
  <c r="CV17" i="44"/>
  <c r="CS17" i="44"/>
  <c r="CP17" i="44"/>
  <c r="CM17" i="44"/>
  <c r="CJ17" i="44"/>
  <c r="CG17" i="44"/>
  <c r="CD17" i="44"/>
  <c r="CA17" i="44"/>
  <c r="BX17" i="44"/>
  <c r="BU17" i="44"/>
  <c r="BR17" i="44"/>
  <c r="BO17" i="44"/>
  <c r="BL17" i="44"/>
  <c r="BI17" i="44"/>
  <c r="BF17" i="44"/>
  <c r="BC17" i="44"/>
  <c r="AZ17" i="44"/>
  <c r="AW17" i="44"/>
  <c r="AT17" i="44"/>
  <c r="AQ17" i="44"/>
  <c r="AO17" i="44"/>
  <c r="AN17" i="44"/>
  <c r="AL17" i="44"/>
  <c r="EB17" i="44" s="1"/>
  <c r="AK17" i="44"/>
  <c r="AI17" i="44"/>
  <c r="AB17" i="44"/>
  <c r="Y17" i="44"/>
  <c r="V17" i="44"/>
  <c r="S17" i="44"/>
  <c r="EH17" i="44" s="1"/>
  <c r="P17" i="44"/>
  <c r="M17" i="44"/>
  <c r="J17" i="44"/>
  <c r="G17" i="44"/>
  <c r="D17" i="44"/>
  <c r="ED17" i="44" s="1"/>
  <c r="EL16" i="44"/>
  <c r="EG16" i="44"/>
  <c r="EI16" i="44" s="1"/>
  <c r="DW16" i="44"/>
  <c r="DT16" i="44"/>
  <c r="DQ16" i="44"/>
  <c r="DN16" i="44"/>
  <c r="DK16" i="44"/>
  <c r="DH16" i="44"/>
  <c r="DE16" i="44"/>
  <c r="DB16" i="44"/>
  <c r="CY16" i="44"/>
  <c r="CV16" i="44"/>
  <c r="CS16" i="44"/>
  <c r="CP16" i="44"/>
  <c r="CM16" i="44"/>
  <c r="CJ16" i="44"/>
  <c r="CG16" i="44"/>
  <c r="CD16" i="44"/>
  <c r="CA16" i="44"/>
  <c r="BX16" i="44"/>
  <c r="BU16" i="44"/>
  <c r="BR16" i="44"/>
  <c r="BO16" i="44"/>
  <c r="BL16" i="44"/>
  <c r="BI16" i="44"/>
  <c r="BF16" i="44"/>
  <c r="BC16" i="44"/>
  <c r="AZ16" i="44"/>
  <c r="AW16" i="44"/>
  <c r="AT16" i="44"/>
  <c r="AO16" i="44"/>
  <c r="EK16" i="44" s="1"/>
  <c r="AL16" i="44"/>
  <c r="AN16" i="44" s="1"/>
  <c r="AK16" i="44"/>
  <c r="AI16" i="44"/>
  <c r="AB16" i="44"/>
  <c r="Y16" i="44"/>
  <c r="V16" i="44"/>
  <c r="S16" i="44"/>
  <c r="EH16" i="44" s="1"/>
  <c r="P16" i="44"/>
  <c r="M16" i="44"/>
  <c r="J16" i="44"/>
  <c r="G16" i="44"/>
  <c r="D16" i="44"/>
  <c r="EL15" i="44"/>
  <c r="EI15" i="44"/>
  <c r="EG15" i="44"/>
  <c r="DW15" i="44"/>
  <c r="DT15" i="44"/>
  <c r="DQ15" i="44"/>
  <c r="DN15" i="44"/>
  <c r="DK15" i="44"/>
  <c r="DH15" i="44"/>
  <c r="DE15" i="44"/>
  <c r="DB15" i="44"/>
  <c r="CY15" i="44"/>
  <c r="CV15" i="44"/>
  <c r="CS15" i="44"/>
  <c r="CP15" i="44"/>
  <c r="CM15" i="44"/>
  <c r="CJ15" i="44"/>
  <c r="CG15" i="44"/>
  <c r="CD15" i="44"/>
  <c r="CA15" i="44"/>
  <c r="BX15" i="44"/>
  <c r="BU15" i="44"/>
  <c r="BR15" i="44"/>
  <c r="BO15" i="44"/>
  <c r="BL15" i="44"/>
  <c r="BI15" i="44"/>
  <c r="BF15" i="44"/>
  <c r="BC15" i="44"/>
  <c r="AZ15" i="44"/>
  <c r="AW15" i="44"/>
  <c r="AT15" i="44"/>
  <c r="AQ15" i="44"/>
  <c r="AO15" i="44"/>
  <c r="EK15" i="44" s="1"/>
  <c r="AN15" i="44"/>
  <c r="AL15" i="44"/>
  <c r="EB15" i="44" s="1"/>
  <c r="AI15" i="44"/>
  <c r="AK15" i="44" s="1"/>
  <c r="AB15" i="44"/>
  <c r="Y15" i="44"/>
  <c r="V15" i="44"/>
  <c r="S15" i="44"/>
  <c r="EH15" i="44" s="1"/>
  <c r="P15" i="44"/>
  <c r="M15" i="44"/>
  <c r="J15" i="44"/>
  <c r="G15" i="44"/>
  <c r="D15" i="44"/>
  <c r="ED15" i="44" s="1"/>
  <c r="EL14" i="44"/>
  <c r="EG14" i="44"/>
  <c r="EI14" i="44" s="1"/>
  <c r="DW14" i="44"/>
  <c r="DT14" i="44"/>
  <c r="DQ14" i="44"/>
  <c r="DN14" i="44"/>
  <c r="DK14" i="44"/>
  <c r="DH14" i="44"/>
  <c r="DE14" i="44"/>
  <c r="DB14" i="44"/>
  <c r="CY14" i="44"/>
  <c r="CV14" i="44"/>
  <c r="CS14" i="44"/>
  <c r="CP14" i="44"/>
  <c r="CM14" i="44"/>
  <c r="CJ14" i="44"/>
  <c r="CG14" i="44"/>
  <c r="CD14" i="44"/>
  <c r="CA14" i="44"/>
  <c r="BX14" i="44"/>
  <c r="BU14" i="44"/>
  <c r="BR14" i="44"/>
  <c r="BO14" i="44"/>
  <c r="BL14" i="44"/>
  <c r="BI14" i="44"/>
  <c r="BF14" i="44"/>
  <c r="BC14" i="44"/>
  <c r="AZ14" i="44"/>
  <c r="AW14" i="44"/>
  <c r="AT14" i="44"/>
  <c r="AO14" i="44"/>
  <c r="EK14" i="44" s="1"/>
  <c r="AN14" i="44"/>
  <c r="AL14" i="44"/>
  <c r="EB14" i="44" s="1"/>
  <c r="AI14" i="44"/>
  <c r="AK14" i="44" s="1"/>
  <c r="AB14" i="44"/>
  <c r="Y14" i="44"/>
  <c r="V14" i="44"/>
  <c r="S14" i="44"/>
  <c r="EH14" i="44" s="1"/>
  <c r="P14" i="44"/>
  <c r="M14" i="44"/>
  <c r="J14" i="44"/>
  <c r="G14" i="44"/>
  <c r="D14" i="44"/>
  <c r="A14" i="44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EL13" i="44"/>
  <c r="EG13" i="44"/>
  <c r="EI13" i="44" s="1"/>
  <c r="DW13" i="44"/>
  <c r="DT13" i="44"/>
  <c r="DQ13" i="44"/>
  <c r="DN13" i="44"/>
  <c r="DK13" i="44"/>
  <c r="DK41" i="44" s="1"/>
  <c r="DH13" i="44"/>
  <c r="DE13" i="44"/>
  <c r="DB13" i="44"/>
  <c r="CY13" i="44"/>
  <c r="CV13" i="44"/>
  <c r="CS13" i="44"/>
  <c r="CP13" i="44"/>
  <c r="CM13" i="44"/>
  <c r="CM41" i="44" s="1"/>
  <c r="CJ13" i="44"/>
  <c r="CG13" i="44"/>
  <c r="CD13" i="44"/>
  <c r="CA13" i="44"/>
  <c r="BX13" i="44"/>
  <c r="BU13" i="44"/>
  <c r="BR13" i="44"/>
  <c r="BO13" i="44"/>
  <c r="BO41" i="44" s="1"/>
  <c r="BL13" i="44"/>
  <c r="BI13" i="44"/>
  <c r="BF13" i="44"/>
  <c r="BC13" i="44"/>
  <c r="AZ13" i="44"/>
  <c r="AW13" i="44"/>
  <c r="AT13" i="44"/>
  <c r="AQ13" i="44"/>
  <c r="AO13" i="44"/>
  <c r="EK13" i="44" s="1"/>
  <c r="AL13" i="44"/>
  <c r="AN13" i="44" s="1"/>
  <c r="AK13" i="44"/>
  <c r="AI13" i="44"/>
  <c r="AB13" i="44"/>
  <c r="EH13" i="44" s="1"/>
  <c r="Y13" i="44"/>
  <c r="Y41" i="44" s="1"/>
  <c r="V13" i="44"/>
  <c r="S13" i="44"/>
  <c r="P13" i="44"/>
  <c r="M13" i="44"/>
  <c r="J13" i="44"/>
  <c r="G13" i="44"/>
  <c r="D13" i="44"/>
  <c r="A13" i="44"/>
  <c r="EL12" i="44"/>
  <c r="EG12" i="44"/>
  <c r="EI5" i="44" s="1"/>
  <c r="DW12" i="44"/>
  <c r="DT12" i="44"/>
  <c r="DQ12" i="44"/>
  <c r="DN12" i="44"/>
  <c r="DK12" i="44"/>
  <c r="DH12" i="44"/>
  <c r="DE12" i="44"/>
  <c r="DB12" i="44"/>
  <c r="CY12" i="44"/>
  <c r="CV12" i="44"/>
  <c r="CS12" i="44"/>
  <c r="CP12" i="44"/>
  <c r="CM12" i="44"/>
  <c r="CJ12" i="44"/>
  <c r="CG12" i="44"/>
  <c r="CD12" i="44"/>
  <c r="CA12" i="44"/>
  <c r="BX12" i="44"/>
  <c r="BU12" i="44"/>
  <c r="BR12" i="44"/>
  <c r="BO12" i="44"/>
  <c r="BL12" i="44"/>
  <c r="BI12" i="44"/>
  <c r="BF12" i="44"/>
  <c r="BC12" i="44"/>
  <c r="AZ12" i="44"/>
  <c r="AW12" i="44"/>
  <c r="AT12" i="44"/>
  <c r="AQ12" i="44"/>
  <c r="AO12" i="44"/>
  <c r="EK12" i="44" s="1"/>
  <c r="AL12" i="44"/>
  <c r="EB12" i="44" s="1"/>
  <c r="AI12" i="44"/>
  <c r="AK12" i="44" s="1"/>
  <c r="AB12" i="44"/>
  <c r="EH12" i="44" s="1"/>
  <c r="Y12" i="44"/>
  <c r="V12" i="44"/>
  <c r="S12" i="44"/>
  <c r="P12" i="44"/>
  <c r="M12" i="44"/>
  <c r="J12" i="44"/>
  <c r="G12" i="44"/>
  <c r="D12" i="44"/>
  <c r="A12" i="44"/>
  <c r="EL11" i="44"/>
  <c r="EK11" i="44"/>
  <c r="EI11" i="44"/>
  <c r="EG11" i="44"/>
  <c r="DW11" i="44"/>
  <c r="DW41" i="44" s="1"/>
  <c r="DT11" i="44"/>
  <c r="DQ11" i="44"/>
  <c r="DQ41" i="44" s="1"/>
  <c r="DN11" i="44"/>
  <c r="DN41" i="44" s="1"/>
  <c r="DK11" i="44"/>
  <c r="DH11" i="44"/>
  <c r="DH41" i="44" s="1"/>
  <c r="DE11" i="44"/>
  <c r="DE41" i="44" s="1"/>
  <c r="DB11" i="44"/>
  <c r="DB41" i="44" s="1"/>
  <c r="CY11" i="44"/>
  <c r="CY41" i="44" s="1"/>
  <c r="CV11" i="44"/>
  <c r="CV41" i="44" s="1"/>
  <c r="CS11" i="44"/>
  <c r="CS41" i="44" s="1"/>
  <c r="CP11" i="44"/>
  <c r="CP41" i="44" s="1"/>
  <c r="CM11" i="44"/>
  <c r="CJ11" i="44"/>
  <c r="CJ41" i="44" s="1"/>
  <c r="CG11" i="44"/>
  <c r="CG41" i="44" s="1"/>
  <c r="CD11" i="44"/>
  <c r="CD41" i="44" s="1"/>
  <c r="CA11" i="44"/>
  <c r="CA41" i="44" s="1"/>
  <c r="BX11" i="44"/>
  <c r="BX41" i="44" s="1"/>
  <c r="BU11" i="44"/>
  <c r="BU41" i="44" s="1"/>
  <c r="BR11" i="44"/>
  <c r="BR41" i="44" s="1"/>
  <c r="BO11" i="44"/>
  <c r="BL11" i="44"/>
  <c r="BL41" i="44" s="1"/>
  <c r="BI11" i="44"/>
  <c r="BI41" i="44" s="1"/>
  <c r="BF11" i="44"/>
  <c r="BF41" i="44" s="1"/>
  <c r="BC11" i="44"/>
  <c r="BC41" i="44" s="1"/>
  <c r="AZ11" i="44"/>
  <c r="AZ41" i="44" s="1"/>
  <c r="AW11" i="44"/>
  <c r="AT11" i="44"/>
  <c r="AO11" i="44"/>
  <c r="AQ11" i="44" s="1"/>
  <c r="AN11" i="44"/>
  <c r="AL11" i="44"/>
  <c r="EB11" i="44" s="1"/>
  <c r="AK11" i="44"/>
  <c r="AI11" i="44"/>
  <c r="AH41" i="44"/>
  <c r="AE41" i="44"/>
  <c r="AB11" i="44"/>
  <c r="AB41" i="44" s="1"/>
  <c r="Y11" i="44"/>
  <c r="V11" i="44"/>
  <c r="V41" i="44" s="1"/>
  <c r="S11" i="44"/>
  <c r="P11" i="44"/>
  <c r="P41" i="44" s="1"/>
  <c r="M11" i="44"/>
  <c r="M41" i="44" s="1"/>
  <c r="J11" i="44"/>
  <c r="J41" i="44" s="1"/>
  <c r="G11" i="44"/>
  <c r="D11" i="44"/>
  <c r="D41" i="44" s="1"/>
  <c r="EP2" i="44"/>
  <c r="EN2" i="44"/>
  <c r="EI2" i="44"/>
  <c r="EE27" i="44" l="1"/>
  <c r="EC27" i="44"/>
  <c r="EE17" i="44"/>
  <c r="EC17" i="44"/>
  <c r="EC28" i="44"/>
  <c r="EC12" i="44"/>
  <c r="EE15" i="44"/>
  <c r="EC15" i="44"/>
  <c r="EC24" i="44"/>
  <c r="EC31" i="44"/>
  <c r="EE31" i="44"/>
  <c r="EM15" i="44"/>
  <c r="EN15" i="44" s="1"/>
  <c r="EM18" i="44"/>
  <c r="ED11" i="44"/>
  <c r="AW41" i="44"/>
  <c r="EM13" i="44"/>
  <c r="EN13" i="44" s="1"/>
  <c r="EN20" i="44"/>
  <c r="ED28" i="44"/>
  <c r="EE28" i="44" s="1"/>
  <c r="ED32" i="44"/>
  <c r="EM32" i="44"/>
  <c r="ED38" i="44"/>
  <c r="EM38" i="44"/>
  <c r="AK41" i="44"/>
  <c r="EC18" i="44"/>
  <c r="EE30" i="44"/>
  <c r="EC30" i="44"/>
  <c r="EC11" i="44"/>
  <c r="EM14" i="44"/>
  <c r="EN14" i="44" s="1"/>
  <c r="EC21" i="44"/>
  <c r="EE34" i="44"/>
  <c r="EC34" i="44"/>
  <c r="EN17" i="44"/>
  <c r="ED19" i="44"/>
  <c r="EE19" i="44" s="1"/>
  <c r="EM26" i="44"/>
  <c r="EN26" i="44" s="1"/>
  <c r="EC29" i="44"/>
  <c r="EN34" i="44"/>
  <c r="ED13" i="44"/>
  <c r="EM19" i="44"/>
  <c r="EN19" i="44" s="1"/>
  <c r="EE26" i="44"/>
  <c r="EC26" i="44"/>
  <c r="EE33" i="44"/>
  <c r="EC33" i="44"/>
  <c r="EM11" i="44"/>
  <c r="EN11" i="44" s="1"/>
  <c r="EC14" i="44"/>
  <c r="ED18" i="44"/>
  <c r="EE18" i="44" s="1"/>
  <c r="EC19" i="44"/>
  <c r="EM21" i="44"/>
  <c r="EN21" i="44" s="1"/>
  <c r="EC22" i="44"/>
  <c r="EC23" i="44"/>
  <c r="ED25" i="44"/>
  <c r="ED26" i="44"/>
  <c r="EM27" i="44"/>
  <c r="EN27" i="44" s="1"/>
  <c r="EM28" i="44"/>
  <c r="EN28" i="44" s="1"/>
  <c r="EH11" i="44"/>
  <c r="EH41" i="44" s="1"/>
  <c r="EB16" i="44"/>
  <c r="S41" i="44"/>
  <c r="AQ14" i="44"/>
  <c r="AQ41" i="44" s="1"/>
  <c r="EK18" i="44"/>
  <c r="AT21" i="44"/>
  <c r="AT41" i="44" s="1"/>
  <c r="AQ23" i="44"/>
  <c r="EM23" i="44" s="1"/>
  <c r="EN23" i="44" s="1"/>
  <c r="AN24" i="44"/>
  <c r="EM24" i="44" s="1"/>
  <c r="EK24" i="44"/>
  <c r="AQ26" i="44"/>
  <c r="AQ29" i="44"/>
  <c r="EM29" i="44" s="1"/>
  <c r="EN29" i="44" s="1"/>
  <c r="EC40" i="44"/>
  <c r="EN5" i="44"/>
  <c r="AQ16" i="44"/>
  <c r="EM16" i="44" s="1"/>
  <c r="EN16" i="44" s="1"/>
  <c r="AN18" i="44"/>
  <c r="AT23" i="44"/>
  <c r="AT26" i="44"/>
  <c r="EK33" i="44"/>
  <c r="EN33" i="44" s="1"/>
  <c r="EN35" i="44"/>
  <c r="EK38" i="44"/>
  <c r="EN38" i="44" s="1"/>
  <c r="EC39" i="44"/>
  <c r="EE40" i="44"/>
  <c r="DT41" i="44"/>
  <c r="EB20" i="44"/>
  <c r="EK32" i="44"/>
  <c r="EB38" i="44"/>
  <c r="G41" i="44"/>
  <c r="EI3" i="44"/>
  <c r="EI4" i="44" s="1"/>
  <c r="EI12" i="44"/>
  <c r="AN12" i="44"/>
  <c r="EM12" i="44" s="1"/>
  <c r="EN12" i="44" s="1"/>
  <c r="EB13" i="44"/>
  <c r="EE3" i="44" s="1"/>
  <c r="AN21" i="44"/>
  <c r="EB25" i="44"/>
  <c r="EB32" i="44"/>
  <c r="AN22" i="44"/>
  <c r="EM22" i="44" s="1"/>
  <c r="EN22" i="44" s="1"/>
  <c r="G5" i="44" l="1"/>
  <c r="EN3" i="44"/>
  <c r="EN4" i="44" s="1"/>
  <c r="ED14" i="44"/>
  <c r="EE14" i="44" s="1"/>
  <c r="ED16" i="44"/>
  <c r="EN18" i="44"/>
  <c r="ED29" i="44"/>
  <c r="EE29" i="44" s="1"/>
  <c r="ED12" i="44"/>
  <c r="EE12" i="44" s="1"/>
  <c r="EC32" i="44"/>
  <c r="EE32" i="44"/>
  <c r="EE5" i="44"/>
  <c r="G7" i="44" s="1"/>
  <c r="ED21" i="44"/>
  <c r="EE21" i="44" s="1"/>
  <c r="EC25" i="44"/>
  <c r="EE25" i="44"/>
  <c r="EN32" i="44"/>
  <c r="EM41" i="44"/>
  <c r="ED23" i="44"/>
  <c r="EE23" i="44" s="1"/>
  <c r="EE38" i="44"/>
  <c r="EC38" i="44"/>
  <c r="AN41" i="44"/>
  <c r="EE20" i="44"/>
  <c r="EC20" i="44"/>
  <c r="EE16" i="44"/>
  <c r="EC16" i="44"/>
  <c r="EE11" i="44"/>
  <c r="ED24" i="44"/>
  <c r="EE24" i="44" s="1"/>
  <c r="EC13" i="44"/>
  <c r="EE13" i="44"/>
  <c r="EN24" i="44"/>
  <c r="ED22" i="44"/>
  <c r="EE22" i="44" s="1"/>
  <c r="EE4" i="44" l="1"/>
  <c r="G6" i="44" s="1"/>
  <c r="ED41" i="44"/>
  <c r="AO42" i="43" l="1"/>
  <c r="EL41" i="43"/>
  <c r="EG41" i="43"/>
  <c r="EI41" i="43" s="1"/>
  <c r="DW41" i="43"/>
  <c r="DT41" i="43"/>
  <c r="DQ41" i="43"/>
  <c r="DN41" i="43"/>
  <c r="DK41" i="43"/>
  <c r="DH41" i="43"/>
  <c r="DE41" i="43"/>
  <c r="DB41" i="43"/>
  <c r="CY41" i="43"/>
  <c r="CV41" i="43"/>
  <c r="CS41" i="43"/>
  <c r="CP41" i="43"/>
  <c r="CM41" i="43"/>
  <c r="CJ41" i="43"/>
  <c r="CG41" i="43"/>
  <c r="CD41" i="43"/>
  <c r="CA41" i="43"/>
  <c r="BX41" i="43"/>
  <c r="BU41" i="43"/>
  <c r="BR41" i="43"/>
  <c r="BO41" i="43"/>
  <c r="BL41" i="43"/>
  <c r="BI41" i="43"/>
  <c r="BF41" i="43"/>
  <c r="BC41" i="43"/>
  <c r="AZ41" i="43"/>
  <c r="AW41" i="43"/>
  <c r="AT41" i="43"/>
  <c r="AR41" i="43"/>
  <c r="AO41" i="43"/>
  <c r="EK41" i="43" s="1"/>
  <c r="AL41" i="43"/>
  <c r="EB41" i="43" s="1"/>
  <c r="AK41" i="43"/>
  <c r="AB41" i="43"/>
  <c r="Y41" i="43"/>
  <c r="V41" i="43"/>
  <c r="EH41" i="43" s="1"/>
  <c r="S41" i="43"/>
  <c r="P41" i="43"/>
  <c r="M41" i="43"/>
  <c r="J41" i="43"/>
  <c r="G41" i="43"/>
  <c r="D41" i="43"/>
  <c r="EL40" i="43"/>
  <c r="EI40" i="43"/>
  <c r="EG40" i="43"/>
  <c r="EB40" i="43"/>
  <c r="EC40" i="43" s="1"/>
  <c r="DW40" i="43"/>
  <c r="DT40" i="43"/>
  <c r="EM40" i="43" s="1"/>
  <c r="DQ40" i="43"/>
  <c r="DN40" i="43"/>
  <c r="DK40" i="43"/>
  <c r="DH40" i="43"/>
  <c r="DE40" i="43"/>
  <c r="DB40" i="43"/>
  <c r="CY40" i="43"/>
  <c r="CV40" i="43"/>
  <c r="CS40" i="43"/>
  <c r="CP40" i="43"/>
  <c r="CM40" i="43"/>
  <c r="CJ40" i="43"/>
  <c r="CG40" i="43"/>
  <c r="CD40" i="43"/>
  <c r="CA40" i="43"/>
  <c r="BX40" i="43"/>
  <c r="BU40" i="43"/>
  <c r="BR40" i="43"/>
  <c r="BO40" i="43"/>
  <c r="BL40" i="43"/>
  <c r="BI40" i="43"/>
  <c r="BF40" i="43"/>
  <c r="BC40" i="43"/>
  <c r="AZ40" i="43"/>
  <c r="AW40" i="43"/>
  <c r="AT40" i="43"/>
  <c r="AR40" i="43"/>
  <c r="EK40" i="43" s="1"/>
  <c r="EN40" i="43" s="1"/>
  <c r="AQ40" i="43"/>
  <c r="AO40" i="43"/>
  <c r="AN40" i="43"/>
  <c r="AL40" i="43"/>
  <c r="AK40" i="43"/>
  <c r="AB40" i="43"/>
  <c r="Y40" i="43"/>
  <c r="ED40" i="43" s="1"/>
  <c r="V40" i="43"/>
  <c r="S40" i="43"/>
  <c r="EH40" i="43" s="1"/>
  <c r="P40" i="43"/>
  <c r="M40" i="43"/>
  <c r="J40" i="43"/>
  <c r="G40" i="43"/>
  <c r="D40" i="43"/>
  <c r="EL39" i="43"/>
  <c r="EI39" i="43"/>
  <c r="EG39" i="43"/>
  <c r="DW39" i="43"/>
  <c r="DT39" i="43"/>
  <c r="DQ39" i="43"/>
  <c r="DN39" i="43"/>
  <c r="DK39" i="43"/>
  <c r="DH39" i="43"/>
  <c r="DE39" i="43"/>
  <c r="DB39" i="43"/>
  <c r="CY39" i="43"/>
  <c r="CV39" i="43"/>
  <c r="CS39" i="43"/>
  <c r="CP39" i="43"/>
  <c r="CM39" i="43"/>
  <c r="CJ39" i="43"/>
  <c r="CG39" i="43"/>
  <c r="CD39" i="43"/>
  <c r="CA39" i="43"/>
  <c r="BX39" i="43"/>
  <c r="BU39" i="43"/>
  <c r="BR39" i="43"/>
  <c r="BO39" i="43"/>
  <c r="BL39" i="43"/>
  <c r="BI39" i="43"/>
  <c r="BF39" i="43"/>
  <c r="BC39" i="43"/>
  <c r="AZ39" i="43"/>
  <c r="AW39" i="43"/>
  <c r="AR39" i="43"/>
  <c r="EK39" i="43" s="1"/>
  <c r="AO39" i="43"/>
  <c r="AQ39" i="43" s="1"/>
  <c r="AL39" i="43"/>
  <c r="EB39" i="43" s="1"/>
  <c r="AK39" i="43"/>
  <c r="AB39" i="43"/>
  <c r="Y39" i="43"/>
  <c r="V39" i="43"/>
  <c r="EH39" i="43" s="1"/>
  <c r="S39" i="43"/>
  <c r="P39" i="43"/>
  <c r="M39" i="43"/>
  <c r="J39" i="43"/>
  <c r="G39" i="43"/>
  <c r="D39" i="43"/>
  <c r="EL38" i="43"/>
  <c r="EG38" i="43"/>
  <c r="EI38" i="43" s="1"/>
  <c r="EB38" i="43"/>
  <c r="DW38" i="43"/>
  <c r="DT38" i="43"/>
  <c r="EM38" i="43" s="1"/>
  <c r="DQ38" i="43"/>
  <c r="DN38" i="43"/>
  <c r="DK38" i="43"/>
  <c r="DH38" i="43"/>
  <c r="DE38" i="43"/>
  <c r="DB38" i="43"/>
  <c r="CY38" i="43"/>
  <c r="CV38" i="43"/>
  <c r="CS38" i="43"/>
  <c r="CP38" i="43"/>
  <c r="CM38" i="43"/>
  <c r="CJ38" i="43"/>
  <c r="CG38" i="43"/>
  <c r="CD38" i="43"/>
  <c r="CA38" i="43"/>
  <c r="BX38" i="43"/>
  <c r="BU38" i="43"/>
  <c r="BR38" i="43"/>
  <c r="BO38" i="43"/>
  <c r="BL38" i="43"/>
  <c r="BI38" i="43"/>
  <c r="BF38" i="43"/>
  <c r="BC38" i="43"/>
  <c r="AZ38" i="43"/>
  <c r="AW38" i="43"/>
  <c r="AT38" i="43"/>
  <c r="AR38" i="43"/>
  <c r="AQ38" i="43"/>
  <c r="AO38" i="43"/>
  <c r="AN38" i="43"/>
  <c r="AL38" i="43"/>
  <c r="EK38" i="43" s="1"/>
  <c r="EN38" i="43" s="1"/>
  <c r="AK38" i="43"/>
  <c r="AB38" i="43"/>
  <c r="Y38" i="43"/>
  <c r="V38" i="43"/>
  <c r="S38" i="43"/>
  <c r="EH38" i="43" s="1"/>
  <c r="P38" i="43"/>
  <c r="M38" i="43"/>
  <c r="J38" i="43"/>
  <c r="G38" i="43"/>
  <c r="ED38" i="43" s="1"/>
  <c r="D38" i="43"/>
  <c r="EL37" i="43"/>
  <c r="EG37" i="43"/>
  <c r="EI37" i="43" s="1"/>
  <c r="DW37" i="43"/>
  <c r="DT37" i="43"/>
  <c r="DQ37" i="43"/>
  <c r="DN37" i="43"/>
  <c r="DK37" i="43"/>
  <c r="DH37" i="43"/>
  <c r="DE37" i="43"/>
  <c r="DB37" i="43"/>
  <c r="CY37" i="43"/>
  <c r="CV37" i="43"/>
  <c r="CS37" i="43"/>
  <c r="CP37" i="43"/>
  <c r="CM37" i="43"/>
  <c r="CJ37" i="43"/>
  <c r="CG37" i="43"/>
  <c r="CD37" i="43"/>
  <c r="CA37" i="43"/>
  <c r="BX37" i="43"/>
  <c r="BU37" i="43"/>
  <c r="BR37" i="43"/>
  <c r="BO37" i="43"/>
  <c r="BL37" i="43"/>
  <c r="BI37" i="43"/>
  <c r="BF37" i="43"/>
  <c r="BC37" i="43"/>
  <c r="AZ37" i="43"/>
  <c r="AW37" i="43"/>
  <c r="AR37" i="43"/>
  <c r="AT37" i="43" s="1"/>
  <c r="AQ37" i="43"/>
  <c r="AN37" i="43"/>
  <c r="AL37" i="43"/>
  <c r="EB37" i="43" s="1"/>
  <c r="AK37" i="43"/>
  <c r="AI37" i="43"/>
  <c r="EH37" i="43"/>
  <c r="AB37" i="43"/>
  <c r="Y37" i="43"/>
  <c r="V37" i="43"/>
  <c r="S37" i="43"/>
  <c r="P37" i="43"/>
  <c r="M37" i="43"/>
  <c r="J37" i="43"/>
  <c r="G37" i="43"/>
  <c r="D37" i="43"/>
  <c r="ED37" i="43" s="1"/>
  <c r="EL36" i="43"/>
  <c r="EI36" i="43"/>
  <c r="EG36" i="43"/>
  <c r="DW36" i="43"/>
  <c r="DT36" i="43"/>
  <c r="EM36" i="43" s="1"/>
  <c r="DQ36" i="43"/>
  <c r="DN36" i="43"/>
  <c r="DK36" i="43"/>
  <c r="DH36" i="43"/>
  <c r="DE36" i="43"/>
  <c r="DB36" i="43"/>
  <c r="CY36" i="43"/>
  <c r="CV36" i="43"/>
  <c r="CS36" i="43"/>
  <c r="CP36" i="43"/>
  <c r="CM36" i="43"/>
  <c r="CJ36" i="43"/>
  <c r="CG36" i="43"/>
  <c r="CD36" i="43"/>
  <c r="CA36" i="43"/>
  <c r="BX36" i="43"/>
  <c r="BU36" i="43"/>
  <c r="BR36" i="43"/>
  <c r="BO36" i="43"/>
  <c r="BL36" i="43"/>
  <c r="BI36" i="43"/>
  <c r="BF36" i="43"/>
  <c r="BC36" i="43"/>
  <c r="AZ36" i="43"/>
  <c r="AW36" i="43"/>
  <c r="AT36" i="43"/>
  <c r="AR36" i="43"/>
  <c r="AQ36" i="43"/>
  <c r="AN36" i="43"/>
  <c r="AL36" i="43"/>
  <c r="EB36" i="43" s="1"/>
  <c r="AI36" i="43"/>
  <c r="AK36" i="43" s="1"/>
  <c r="AB36" i="43"/>
  <c r="Y36" i="43"/>
  <c r="V36" i="43"/>
  <c r="EH36" i="43" s="1"/>
  <c r="S36" i="43"/>
  <c r="P36" i="43"/>
  <c r="M36" i="43"/>
  <c r="J36" i="43"/>
  <c r="G36" i="43"/>
  <c r="ED36" i="43" s="1"/>
  <c r="D36" i="43"/>
  <c r="EL35" i="43"/>
  <c r="EK35" i="43"/>
  <c r="EI35" i="43"/>
  <c r="EG35" i="43"/>
  <c r="DW35" i="43"/>
  <c r="DT35" i="43"/>
  <c r="DQ35" i="43"/>
  <c r="DN35" i="43"/>
  <c r="DK35" i="43"/>
  <c r="DH35" i="43"/>
  <c r="DE35" i="43"/>
  <c r="DB35" i="43"/>
  <c r="CY35" i="43"/>
  <c r="CV35" i="43"/>
  <c r="CS35" i="43"/>
  <c r="CP35" i="43"/>
  <c r="CM35" i="43"/>
  <c r="CJ35" i="43"/>
  <c r="CG35" i="43"/>
  <c r="CD35" i="43"/>
  <c r="CA35" i="43"/>
  <c r="BX35" i="43"/>
  <c r="BU35" i="43"/>
  <c r="BR35" i="43"/>
  <c r="BO35" i="43"/>
  <c r="BL35" i="43"/>
  <c r="BI35" i="43"/>
  <c r="BF35" i="43"/>
  <c r="BC35" i="43"/>
  <c r="AZ35" i="43"/>
  <c r="AW35" i="43"/>
  <c r="AR35" i="43"/>
  <c r="AT35" i="43" s="1"/>
  <c r="AQ35" i="43"/>
  <c r="AN35" i="43"/>
  <c r="AL35" i="43"/>
  <c r="EB35" i="43" s="1"/>
  <c r="AK35" i="43"/>
  <c r="AI35" i="43"/>
  <c r="AB35" i="43"/>
  <c r="EH35" i="43" s="1"/>
  <c r="Y35" i="43"/>
  <c r="V35" i="43"/>
  <c r="S35" i="43"/>
  <c r="P35" i="43"/>
  <c r="M35" i="43"/>
  <c r="J35" i="43"/>
  <c r="G35" i="43"/>
  <c r="D35" i="43"/>
  <c r="ED35" i="43" s="1"/>
  <c r="EL34" i="43"/>
  <c r="EG34" i="43"/>
  <c r="EI34" i="43" s="1"/>
  <c r="DW34" i="43"/>
  <c r="DT34" i="43"/>
  <c r="DQ34" i="43"/>
  <c r="DN34" i="43"/>
  <c r="DK34" i="43"/>
  <c r="DH34" i="43"/>
  <c r="DE34" i="43"/>
  <c r="DB34" i="43"/>
  <c r="CY34" i="43"/>
  <c r="CV34" i="43"/>
  <c r="CS34" i="43"/>
  <c r="CP34" i="43"/>
  <c r="CM34" i="43"/>
  <c r="CJ34" i="43"/>
  <c r="CG34" i="43"/>
  <c r="CD34" i="43"/>
  <c r="CA34" i="43"/>
  <c r="BX34" i="43"/>
  <c r="BU34" i="43"/>
  <c r="BR34" i="43"/>
  <c r="BO34" i="43"/>
  <c r="BL34" i="43"/>
  <c r="BI34" i="43"/>
  <c r="BF34" i="43"/>
  <c r="BC34" i="43"/>
  <c r="AZ34" i="43"/>
  <c r="AW34" i="43"/>
  <c r="AT34" i="43"/>
  <c r="AR34" i="43"/>
  <c r="EK34" i="43" s="1"/>
  <c r="AQ34" i="43"/>
  <c r="AL34" i="43"/>
  <c r="AN34" i="43" s="1"/>
  <c r="AI34" i="43"/>
  <c r="AK34" i="43" s="1"/>
  <c r="AB34" i="43"/>
  <c r="Y34" i="43"/>
  <c r="V34" i="43"/>
  <c r="S34" i="43"/>
  <c r="EH34" i="43" s="1"/>
  <c r="P34" i="43"/>
  <c r="M34" i="43"/>
  <c r="J34" i="43"/>
  <c r="G34" i="43"/>
  <c r="D34" i="43"/>
  <c r="EL33" i="43"/>
  <c r="EK33" i="43"/>
  <c r="EG33" i="43"/>
  <c r="EI33" i="43" s="1"/>
  <c r="DW33" i="43"/>
  <c r="DT33" i="43"/>
  <c r="DQ33" i="43"/>
  <c r="DN33" i="43"/>
  <c r="DK33" i="43"/>
  <c r="DH33" i="43"/>
  <c r="DE33" i="43"/>
  <c r="EM33" i="43" s="1"/>
  <c r="DB33" i="43"/>
  <c r="CY33" i="43"/>
  <c r="CV33" i="43"/>
  <c r="CS33" i="43"/>
  <c r="CP33" i="43"/>
  <c r="CM33" i="43"/>
  <c r="CJ33" i="43"/>
  <c r="CG33" i="43"/>
  <c r="CD33" i="43"/>
  <c r="CA33" i="43"/>
  <c r="BX33" i="43"/>
  <c r="BU33" i="43"/>
  <c r="BR33" i="43"/>
  <c r="BO33" i="43"/>
  <c r="BL33" i="43"/>
  <c r="BI33" i="43"/>
  <c r="BF33" i="43"/>
  <c r="BC33" i="43"/>
  <c r="AZ33" i="43"/>
  <c r="AW33" i="43"/>
  <c r="AT33" i="43"/>
  <c r="AR33" i="43"/>
  <c r="AQ33" i="43"/>
  <c r="AN33" i="43"/>
  <c r="AL33" i="43"/>
  <c r="EB33" i="43" s="1"/>
  <c r="AK33" i="43"/>
  <c r="AI33" i="43"/>
  <c r="AB33" i="43"/>
  <c r="Y33" i="43"/>
  <c r="V33" i="43"/>
  <c r="EH33" i="43" s="1"/>
  <c r="S33" i="43"/>
  <c r="P33" i="43"/>
  <c r="M33" i="43"/>
  <c r="J33" i="43"/>
  <c r="G33" i="43"/>
  <c r="D33" i="43"/>
  <c r="ED33" i="43" s="1"/>
  <c r="EL32" i="43"/>
  <c r="EI32" i="43"/>
  <c r="EG32" i="43"/>
  <c r="DW32" i="43"/>
  <c r="DT32" i="43"/>
  <c r="DQ32" i="43"/>
  <c r="DN32" i="43"/>
  <c r="DK32" i="43"/>
  <c r="DH32" i="43"/>
  <c r="DE32" i="43"/>
  <c r="DB32" i="43"/>
  <c r="CY32" i="43"/>
  <c r="CV32" i="43"/>
  <c r="CS32" i="43"/>
  <c r="CP32" i="43"/>
  <c r="CM32" i="43"/>
  <c r="CJ32" i="43"/>
  <c r="CG32" i="43"/>
  <c r="CD32" i="43"/>
  <c r="CA32" i="43"/>
  <c r="BX32" i="43"/>
  <c r="BU32" i="43"/>
  <c r="BR32" i="43"/>
  <c r="BO32" i="43"/>
  <c r="BL32" i="43"/>
  <c r="BI32" i="43"/>
  <c r="BF32" i="43"/>
  <c r="BC32" i="43"/>
  <c r="AZ32" i="43"/>
  <c r="AW32" i="43"/>
  <c r="AT32" i="43"/>
  <c r="AR32" i="43"/>
  <c r="EK32" i="43" s="1"/>
  <c r="AQ32" i="43"/>
  <c r="AL32" i="43"/>
  <c r="AN32" i="43" s="1"/>
  <c r="AI32" i="43"/>
  <c r="AK32" i="43" s="1"/>
  <c r="AB32" i="43"/>
  <c r="Y32" i="43"/>
  <c r="V32" i="43"/>
  <c r="S32" i="43"/>
  <c r="EH32" i="43" s="1"/>
  <c r="P32" i="43"/>
  <c r="M32" i="43"/>
  <c r="J32" i="43"/>
  <c r="G32" i="43"/>
  <c r="D32" i="43"/>
  <c r="EL31" i="43"/>
  <c r="EI31" i="43"/>
  <c r="EG31" i="43"/>
  <c r="DW31" i="43"/>
  <c r="DT31" i="43"/>
  <c r="DQ31" i="43"/>
  <c r="DN31" i="43"/>
  <c r="DK31" i="43"/>
  <c r="DH31" i="43"/>
  <c r="DE31" i="43"/>
  <c r="DB31" i="43"/>
  <c r="CY31" i="43"/>
  <c r="CV31" i="43"/>
  <c r="CS31" i="43"/>
  <c r="CP31" i="43"/>
  <c r="CM31" i="43"/>
  <c r="CJ31" i="43"/>
  <c r="CG31" i="43"/>
  <c r="CD31" i="43"/>
  <c r="CA31" i="43"/>
  <c r="BX31" i="43"/>
  <c r="BU31" i="43"/>
  <c r="BR31" i="43"/>
  <c r="BO31" i="43"/>
  <c r="BL31" i="43"/>
  <c r="BI31" i="43"/>
  <c r="BF31" i="43"/>
  <c r="BC31" i="43"/>
  <c r="AZ31" i="43"/>
  <c r="AW31" i="43"/>
  <c r="AR31" i="43"/>
  <c r="EK31" i="43" s="1"/>
  <c r="AQ31" i="43"/>
  <c r="AN31" i="43"/>
  <c r="AL31" i="43"/>
  <c r="EB31" i="43" s="1"/>
  <c r="AK31" i="43"/>
  <c r="AI31" i="43"/>
  <c r="AB31" i="43"/>
  <c r="Y31" i="43"/>
  <c r="V31" i="43"/>
  <c r="EH31" i="43" s="1"/>
  <c r="S31" i="43"/>
  <c r="P31" i="43"/>
  <c r="M31" i="43"/>
  <c r="J31" i="43"/>
  <c r="G31" i="43"/>
  <c r="D31" i="43"/>
  <c r="EL30" i="43"/>
  <c r="EG30" i="43"/>
  <c r="EI30" i="43" s="1"/>
  <c r="EB30" i="43"/>
  <c r="DW30" i="43"/>
  <c r="DT30" i="43"/>
  <c r="EM30" i="43" s="1"/>
  <c r="DQ30" i="43"/>
  <c r="DN30" i="43"/>
  <c r="DK30" i="43"/>
  <c r="DH30" i="43"/>
  <c r="DE30" i="43"/>
  <c r="DB30" i="43"/>
  <c r="CY30" i="43"/>
  <c r="CV30" i="43"/>
  <c r="CS30" i="43"/>
  <c r="CP30" i="43"/>
  <c r="CM30" i="43"/>
  <c r="CJ30" i="43"/>
  <c r="CG30" i="43"/>
  <c r="CD30" i="43"/>
  <c r="CA30" i="43"/>
  <c r="BX30" i="43"/>
  <c r="BU30" i="43"/>
  <c r="BR30" i="43"/>
  <c r="BO30" i="43"/>
  <c r="BL30" i="43"/>
  <c r="BI30" i="43"/>
  <c r="BF30" i="43"/>
  <c r="BC30" i="43"/>
  <c r="AZ30" i="43"/>
  <c r="AW30" i="43"/>
  <c r="AT30" i="43"/>
  <c r="AR30" i="43"/>
  <c r="AQ30" i="43"/>
  <c r="AO30" i="43"/>
  <c r="AN30" i="43"/>
  <c r="AK30" i="43"/>
  <c r="AI30" i="43"/>
  <c r="EK30" i="43" s="1"/>
  <c r="EN30" i="43" s="1"/>
  <c r="AB30" i="43"/>
  <c r="Y30" i="43"/>
  <c r="V30" i="43"/>
  <c r="S30" i="43"/>
  <c r="EH30" i="43" s="1"/>
  <c r="P30" i="43"/>
  <c r="M30" i="43"/>
  <c r="J30" i="43"/>
  <c r="G30" i="43"/>
  <c r="ED30" i="43" s="1"/>
  <c r="D30" i="43"/>
  <c r="EL29" i="43"/>
  <c r="EG29" i="43"/>
  <c r="EI29" i="43" s="1"/>
  <c r="DW29" i="43"/>
  <c r="DT29" i="43"/>
  <c r="DQ29" i="43"/>
  <c r="EM29" i="43" s="1"/>
  <c r="DN29" i="43"/>
  <c r="DK29" i="43"/>
  <c r="DH29" i="43"/>
  <c r="DE29" i="43"/>
  <c r="DB29" i="43"/>
  <c r="CY29" i="43"/>
  <c r="CV29" i="43"/>
  <c r="CS29" i="43"/>
  <c r="CP29" i="43"/>
  <c r="CM29" i="43"/>
  <c r="CJ29" i="43"/>
  <c r="CG29" i="43"/>
  <c r="CD29" i="43"/>
  <c r="CA29" i="43"/>
  <c r="BX29" i="43"/>
  <c r="BU29" i="43"/>
  <c r="BR29" i="43"/>
  <c r="BO29" i="43"/>
  <c r="BL29" i="43"/>
  <c r="BI29" i="43"/>
  <c r="BF29" i="43"/>
  <c r="BC29" i="43"/>
  <c r="AZ29" i="43"/>
  <c r="AW29" i="43"/>
  <c r="AR29" i="43"/>
  <c r="AT29" i="43" s="1"/>
  <c r="AO29" i="43"/>
  <c r="AQ29" i="43" s="1"/>
  <c r="AN29" i="43"/>
  <c r="AK29" i="43"/>
  <c r="AI29" i="43"/>
  <c r="EH29" i="43"/>
  <c r="AB29" i="43"/>
  <c r="Y29" i="43"/>
  <c r="V29" i="43"/>
  <c r="S29" i="43"/>
  <c r="P29" i="43"/>
  <c r="M29" i="43"/>
  <c r="J29" i="43"/>
  <c r="G29" i="43"/>
  <c r="D29" i="43"/>
  <c r="ED29" i="43" s="1"/>
  <c r="EL28" i="43"/>
  <c r="EI28" i="43"/>
  <c r="EG28" i="43"/>
  <c r="DW28" i="43"/>
  <c r="DT28" i="43"/>
  <c r="EM28" i="43" s="1"/>
  <c r="DQ28" i="43"/>
  <c r="DN28" i="43"/>
  <c r="DK28" i="43"/>
  <c r="DH28" i="43"/>
  <c r="DE28" i="43"/>
  <c r="DB28" i="43"/>
  <c r="CY28" i="43"/>
  <c r="CV28" i="43"/>
  <c r="CS28" i="43"/>
  <c r="CP28" i="43"/>
  <c r="CM28" i="43"/>
  <c r="CJ28" i="43"/>
  <c r="CG28" i="43"/>
  <c r="CD28" i="43"/>
  <c r="CA28" i="43"/>
  <c r="BX28" i="43"/>
  <c r="BU28" i="43"/>
  <c r="BR28" i="43"/>
  <c r="BO28" i="43"/>
  <c r="BL28" i="43"/>
  <c r="BI28" i="43"/>
  <c r="BF28" i="43"/>
  <c r="BC28" i="43"/>
  <c r="AZ28" i="43"/>
  <c r="AW28" i="43"/>
  <c r="AT28" i="43"/>
  <c r="AR28" i="43"/>
  <c r="EK28" i="43" s="1"/>
  <c r="EN28" i="43" s="1"/>
  <c r="AQ28" i="43"/>
  <c r="AO28" i="43"/>
  <c r="EB28" i="43" s="1"/>
  <c r="AN28" i="43"/>
  <c r="AI28" i="43"/>
  <c r="AK28" i="43" s="1"/>
  <c r="AB28" i="43"/>
  <c r="Y28" i="43"/>
  <c r="V28" i="43"/>
  <c r="S28" i="43"/>
  <c r="EH28" i="43" s="1"/>
  <c r="P28" i="43"/>
  <c r="M28" i="43"/>
  <c r="J28" i="43"/>
  <c r="G28" i="43"/>
  <c r="ED28" i="43" s="1"/>
  <c r="D28" i="43"/>
  <c r="EL27" i="43"/>
  <c r="EK27" i="43"/>
  <c r="EI27" i="43"/>
  <c r="EG27" i="43"/>
  <c r="DW27" i="43"/>
  <c r="DT27" i="43"/>
  <c r="DQ27" i="43"/>
  <c r="DN27" i="43"/>
  <c r="DK27" i="43"/>
  <c r="DH27" i="43"/>
  <c r="DE27" i="43"/>
  <c r="DB27" i="43"/>
  <c r="CY27" i="43"/>
  <c r="CV27" i="43"/>
  <c r="CS27" i="43"/>
  <c r="CP27" i="43"/>
  <c r="CM27" i="43"/>
  <c r="CJ27" i="43"/>
  <c r="CG27" i="43"/>
  <c r="CD27" i="43"/>
  <c r="CA27" i="43"/>
  <c r="BX27" i="43"/>
  <c r="BU27" i="43"/>
  <c r="BR27" i="43"/>
  <c r="BO27" i="43"/>
  <c r="BL27" i="43"/>
  <c r="BI27" i="43"/>
  <c r="BF27" i="43"/>
  <c r="BC27" i="43"/>
  <c r="AZ27" i="43"/>
  <c r="AW27" i="43"/>
  <c r="AR27" i="43"/>
  <c r="AT27" i="43" s="1"/>
  <c r="AO27" i="43"/>
  <c r="AQ27" i="43" s="1"/>
  <c r="AN27" i="43"/>
  <c r="AK27" i="43"/>
  <c r="AI27" i="43"/>
  <c r="AB27" i="43"/>
  <c r="EH27" i="43" s="1"/>
  <c r="Y27" i="43"/>
  <c r="V27" i="43"/>
  <c r="S27" i="43"/>
  <c r="P27" i="43"/>
  <c r="M27" i="43"/>
  <c r="J27" i="43"/>
  <c r="G27" i="43"/>
  <c r="D27" i="43"/>
  <c r="EL26" i="43"/>
  <c r="EG26" i="43"/>
  <c r="EI26" i="43" s="1"/>
  <c r="EB26" i="43"/>
  <c r="EE26" i="43" s="1"/>
  <c r="DW26" i="43"/>
  <c r="DT26" i="43"/>
  <c r="EM26" i="43" s="1"/>
  <c r="DQ26" i="43"/>
  <c r="DN26" i="43"/>
  <c r="DK26" i="43"/>
  <c r="DH26" i="43"/>
  <c r="DE26" i="43"/>
  <c r="DB26" i="43"/>
  <c r="CY26" i="43"/>
  <c r="CV26" i="43"/>
  <c r="CS26" i="43"/>
  <c r="CP26" i="43"/>
  <c r="CM26" i="43"/>
  <c r="CJ26" i="43"/>
  <c r="CG26" i="43"/>
  <c r="CD26" i="43"/>
  <c r="CA26" i="43"/>
  <c r="BX26" i="43"/>
  <c r="BU26" i="43"/>
  <c r="BR26" i="43"/>
  <c r="BO26" i="43"/>
  <c r="BL26" i="43"/>
  <c r="BI26" i="43"/>
  <c r="BF26" i="43"/>
  <c r="BC26" i="43"/>
  <c r="AZ26" i="43"/>
  <c r="AW26" i="43"/>
  <c r="AT26" i="43"/>
  <c r="AR26" i="43"/>
  <c r="EK26" i="43" s="1"/>
  <c r="AQ26" i="43"/>
  <c r="AO26" i="43"/>
  <c r="AN26" i="43"/>
  <c r="AL26" i="43"/>
  <c r="AK26" i="43"/>
  <c r="AB26" i="43"/>
  <c r="Y26" i="43"/>
  <c r="V26" i="43"/>
  <c r="S26" i="43"/>
  <c r="EH26" i="43" s="1"/>
  <c r="P26" i="43"/>
  <c r="M26" i="43"/>
  <c r="J26" i="43"/>
  <c r="G26" i="43"/>
  <c r="D26" i="43"/>
  <c r="ED26" i="43" s="1"/>
  <c r="EL25" i="43"/>
  <c r="EG25" i="43"/>
  <c r="EI25" i="43" s="1"/>
  <c r="DW25" i="43"/>
  <c r="DT25" i="43"/>
  <c r="DQ25" i="43"/>
  <c r="DN25" i="43"/>
  <c r="DK25" i="43"/>
  <c r="DH25" i="43"/>
  <c r="DE25" i="43"/>
  <c r="DB25" i="43"/>
  <c r="CY25" i="43"/>
  <c r="CV25" i="43"/>
  <c r="CS25" i="43"/>
  <c r="CP25" i="43"/>
  <c r="CM25" i="43"/>
  <c r="CJ25" i="43"/>
  <c r="CG25" i="43"/>
  <c r="CD25" i="43"/>
  <c r="CA25" i="43"/>
  <c r="BX25" i="43"/>
  <c r="BU25" i="43"/>
  <c r="BR25" i="43"/>
  <c r="BO25" i="43"/>
  <c r="BL25" i="43"/>
  <c r="BI25" i="43"/>
  <c r="BF25" i="43"/>
  <c r="BC25" i="43"/>
  <c r="AZ25" i="43"/>
  <c r="AW25" i="43"/>
  <c r="AR25" i="43"/>
  <c r="AT25" i="43" s="1"/>
  <c r="AO25" i="43"/>
  <c r="EK25" i="43" s="1"/>
  <c r="AL25" i="43"/>
  <c r="EB25" i="43" s="1"/>
  <c r="AK25" i="43"/>
  <c r="AB25" i="43"/>
  <c r="Y25" i="43"/>
  <c r="V25" i="43"/>
  <c r="EH25" i="43" s="1"/>
  <c r="S25" i="43"/>
  <c r="P25" i="43"/>
  <c r="M25" i="43"/>
  <c r="J25" i="43"/>
  <c r="G25" i="43"/>
  <c r="D25" i="43"/>
  <c r="EL24" i="43"/>
  <c r="EI24" i="43"/>
  <c r="EG24" i="43"/>
  <c r="EB24" i="43"/>
  <c r="DW24" i="43"/>
  <c r="DT24" i="43"/>
  <c r="EM24" i="43" s="1"/>
  <c r="DQ24" i="43"/>
  <c r="DN24" i="43"/>
  <c r="DK24" i="43"/>
  <c r="DH24" i="43"/>
  <c r="DE24" i="43"/>
  <c r="DB24" i="43"/>
  <c r="CY24" i="43"/>
  <c r="CV24" i="43"/>
  <c r="CS24" i="43"/>
  <c r="CP24" i="43"/>
  <c r="CM24" i="43"/>
  <c r="CJ24" i="43"/>
  <c r="CG24" i="43"/>
  <c r="CD24" i="43"/>
  <c r="CA24" i="43"/>
  <c r="BX24" i="43"/>
  <c r="BU24" i="43"/>
  <c r="BR24" i="43"/>
  <c r="BO24" i="43"/>
  <c r="BL24" i="43"/>
  <c r="BI24" i="43"/>
  <c r="BF24" i="43"/>
  <c r="BC24" i="43"/>
  <c r="AZ24" i="43"/>
  <c r="AW24" i="43"/>
  <c r="AT24" i="43"/>
  <c r="AR24" i="43"/>
  <c r="EK24" i="43" s="1"/>
  <c r="AQ24" i="43"/>
  <c r="AO24" i="43"/>
  <c r="AN24" i="43"/>
  <c r="AL24" i="43"/>
  <c r="AK24" i="43"/>
  <c r="AB24" i="43"/>
  <c r="Y24" i="43"/>
  <c r="ED24" i="43" s="1"/>
  <c r="V24" i="43"/>
  <c r="S24" i="43"/>
  <c r="EH24" i="43" s="1"/>
  <c r="P24" i="43"/>
  <c r="M24" i="43"/>
  <c r="J24" i="43"/>
  <c r="G24" i="43"/>
  <c r="D24" i="43"/>
  <c r="EL23" i="43"/>
  <c r="EK23" i="43"/>
  <c r="EN23" i="43" s="1"/>
  <c r="EI23" i="43"/>
  <c r="EG23" i="43"/>
  <c r="DW23" i="43"/>
  <c r="DT23" i="43"/>
  <c r="DQ23" i="43"/>
  <c r="DN23" i="43"/>
  <c r="DK23" i="43"/>
  <c r="EM23" i="43" s="1"/>
  <c r="DH23" i="43"/>
  <c r="DE23" i="43"/>
  <c r="DB23" i="43"/>
  <c r="CY23" i="43"/>
  <c r="CV23" i="43"/>
  <c r="CS23" i="43"/>
  <c r="CP23" i="43"/>
  <c r="CM23" i="43"/>
  <c r="CJ23" i="43"/>
  <c r="CG23" i="43"/>
  <c r="CD23" i="43"/>
  <c r="CA23" i="43"/>
  <c r="BX23" i="43"/>
  <c r="BU23" i="43"/>
  <c r="BR23" i="43"/>
  <c r="BO23" i="43"/>
  <c r="BL23" i="43"/>
  <c r="BI23" i="43"/>
  <c r="BF23" i="43"/>
  <c r="BC23" i="43"/>
  <c r="AZ23" i="43"/>
  <c r="AW23" i="43"/>
  <c r="AT23" i="43"/>
  <c r="AQ23" i="43"/>
  <c r="AO23" i="43"/>
  <c r="AN23" i="43"/>
  <c r="AL23" i="43"/>
  <c r="EB23" i="43" s="1"/>
  <c r="AK23" i="43"/>
  <c r="AI23" i="43"/>
  <c r="AB23" i="43"/>
  <c r="Y23" i="43"/>
  <c r="V23" i="43"/>
  <c r="EH23" i="43" s="1"/>
  <c r="S23" i="43"/>
  <c r="P23" i="43"/>
  <c r="M23" i="43"/>
  <c r="J23" i="43"/>
  <c r="G23" i="43"/>
  <c r="D23" i="43"/>
  <c r="ED23" i="43" s="1"/>
  <c r="EL22" i="43"/>
  <c r="EG22" i="43"/>
  <c r="EI22" i="43" s="1"/>
  <c r="DW22" i="43"/>
  <c r="DT22" i="43"/>
  <c r="EM22" i="43" s="1"/>
  <c r="DQ22" i="43"/>
  <c r="DN22" i="43"/>
  <c r="DK22" i="43"/>
  <c r="DH22" i="43"/>
  <c r="DE22" i="43"/>
  <c r="DB22" i="43"/>
  <c r="CY22" i="43"/>
  <c r="CV22" i="43"/>
  <c r="CS22" i="43"/>
  <c r="CP22" i="43"/>
  <c r="CM22" i="43"/>
  <c r="CJ22" i="43"/>
  <c r="CG22" i="43"/>
  <c r="CD22" i="43"/>
  <c r="CA22" i="43"/>
  <c r="BX22" i="43"/>
  <c r="BU22" i="43"/>
  <c r="BR22" i="43"/>
  <c r="BO22" i="43"/>
  <c r="BL22" i="43"/>
  <c r="BI22" i="43"/>
  <c r="BF22" i="43"/>
  <c r="BC22" i="43"/>
  <c r="AZ22" i="43"/>
  <c r="AW22" i="43"/>
  <c r="AT22" i="43"/>
  <c r="AO22" i="43"/>
  <c r="AQ22" i="43" s="1"/>
  <c r="AL22" i="43"/>
  <c r="AN22" i="43" s="1"/>
  <c r="AI22" i="43"/>
  <c r="AK22" i="43" s="1"/>
  <c r="AB22" i="43"/>
  <c r="Y22" i="43"/>
  <c r="V22" i="43"/>
  <c r="S22" i="43"/>
  <c r="EH22" i="43" s="1"/>
  <c r="P22" i="43"/>
  <c r="M22" i="43"/>
  <c r="J22" i="43"/>
  <c r="G22" i="43"/>
  <c r="D22" i="43"/>
  <c r="EL21" i="43"/>
  <c r="EK21" i="43"/>
  <c r="EN21" i="43" s="1"/>
  <c r="EG21" i="43"/>
  <c r="EI21" i="43" s="1"/>
  <c r="DW21" i="43"/>
  <c r="DT21" i="43"/>
  <c r="DQ21" i="43"/>
  <c r="EM21" i="43" s="1"/>
  <c r="DN21" i="43"/>
  <c r="DK21" i="43"/>
  <c r="DH21" i="43"/>
  <c r="DE21" i="43"/>
  <c r="DB21" i="43"/>
  <c r="CY21" i="43"/>
  <c r="CV21" i="43"/>
  <c r="CS21" i="43"/>
  <c r="CP21" i="43"/>
  <c r="CM21" i="43"/>
  <c r="CJ21" i="43"/>
  <c r="CG21" i="43"/>
  <c r="CD21" i="43"/>
  <c r="CA21" i="43"/>
  <c r="BX21" i="43"/>
  <c r="BU21" i="43"/>
  <c r="BR21" i="43"/>
  <c r="BO21" i="43"/>
  <c r="BL21" i="43"/>
  <c r="BI21" i="43"/>
  <c r="BF21" i="43"/>
  <c r="BC21" i="43"/>
  <c r="AZ21" i="43"/>
  <c r="AW21" i="43"/>
  <c r="AT21" i="43"/>
  <c r="AQ21" i="43"/>
  <c r="AO21" i="43"/>
  <c r="AN21" i="43"/>
  <c r="AL21" i="43"/>
  <c r="EB21" i="43" s="1"/>
  <c r="AK21" i="43"/>
  <c r="AI21" i="43"/>
  <c r="EH21" i="43"/>
  <c r="AB21" i="43"/>
  <c r="Y21" i="43"/>
  <c r="V21" i="43"/>
  <c r="S21" i="43"/>
  <c r="P21" i="43"/>
  <c r="M21" i="43"/>
  <c r="J21" i="43"/>
  <c r="G21" i="43"/>
  <c r="D21" i="43"/>
  <c r="ED21" i="43" s="1"/>
  <c r="EL20" i="43"/>
  <c r="EI20" i="43"/>
  <c r="EG20" i="43"/>
  <c r="DW20" i="43"/>
  <c r="DT20" i="43"/>
  <c r="DQ20" i="43"/>
  <c r="DN20" i="43"/>
  <c r="DK20" i="43"/>
  <c r="DH20" i="43"/>
  <c r="DE20" i="43"/>
  <c r="DB20" i="43"/>
  <c r="CY20" i="43"/>
  <c r="CV20" i="43"/>
  <c r="CS20" i="43"/>
  <c r="CP20" i="43"/>
  <c r="CM20" i="43"/>
  <c r="CJ20" i="43"/>
  <c r="CG20" i="43"/>
  <c r="CD20" i="43"/>
  <c r="CA20" i="43"/>
  <c r="BX20" i="43"/>
  <c r="BU20" i="43"/>
  <c r="BR20" i="43"/>
  <c r="BO20" i="43"/>
  <c r="BL20" i="43"/>
  <c r="BI20" i="43"/>
  <c r="BF20" i="43"/>
  <c r="BC20" i="43"/>
  <c r="AZ20" i="43"/>
  <c r="AW20" i="43"/>
  <c r="AT20" i="43"/>
  <c r="AO20" i="43"/>
  <c r="AQ20" i="43" s="1"/>
  <c r="AL20" i="43"/>
  <c r="AN20" i="43" s="1"/>
  <c r="AI20" i="43"/>
  <c r="AK20" i="43" s="1"/>
  <c r="AB20" i="43"/>
  <c r="Y20" i="43"/>
  <c r="V20" i="43"/>
  <c r="S20" i="43"/>
  <c r="EH20" i="43" s="1"/>
  <c r="P20" i="43"/>
  <c r="M20" i="43"/>
  <c r="J20" i="43"/>
  <c r="G20" i="43"/>
  <c r="D20" i="43"/>
  <c r="EL19" i="43"/>
  <c r="EK19" i="43"/>
  <c r="EI19" i="43"/>
  <c r="EG19" i="43"/>
  <c r="DW19" i="43"/>
  <c r="DT19" i="43"/>
  <c r="DQ19" i="43"/>
  <c r="EM19" i="43" s="1"/>
  <c r="DN19" i="43"/>
  <c r="DK19" i="43"/>
  <c r="DH19" i="43"/>
  <c r="DE19" i="43"/>
  <c r="DB19" i="43"/>
  <c r="CY19" i="43"/>
  <c r="CV19" i="43"/>
  <c r="CS19" i="43"/>
  <c r="CP19" i="43"/>
  <c r="CM19" i="43"/>
  <c r="CJ19" i="43"/>
  <c r="CG19" i="43"/>
  <c r="CD19" i="43"/>
  <c r="CA19" i="43"/>
  <c r="BX19" i="43"/>
  <c r="BU19" i="43"/>
  <c r="BR19" i="43"/>
  <c r="BO19" i="43"/>
  <c r="BL19" i="43"/>
  <c r="BI19" i="43"/>
  <c r="BF19" i="43"/>
  <c r="BC19" i="43"/>
  <c r="AZ19" i="43"/>
  <c r="AW19" i="43"/>
  <c r="AT19" i="43"/>
  <c r="AQ19" i="43"/>
  <c r="AO19" i="43"/>
  <c r="AN19" i="43"/>
  <c r="AL19" i="43"/>
  <c r="EB19" i="43" s="1"/>
  <c r="AK19" i="43"/>
  <c r="AI19" i="43"/>
  <c r="AB19" i="43"/>
  <c r="EH19" i="43" s="1"/>
  <c r="Y19" i="43"/>
  <c r="V19" i="43"/>
  <c r="S19" i="43"/>
  <c r="P19" i="43"/>
  <c r="M19" i="43"/>
  <c r="J19" i="43"/>
  <c r="G19" i="43"/>
  <c r="D19" i="43"/>
  <c r="ED19" i="43" s="1"/>
  <c r="EL18" i="43"/>
  <c r="EI18" i="43"/>
  <c r="EG18" i="43"/>
  <c r="DW18" i="43"/>
  <c r="DT18" i="43"/>
  <c r="DQ18" i="43"/>
  <c r="DN18" i="43"/>
  <c r="DK18" i="43"/>
  <c r="DH18" i="43"/>
  <c r="DE18" i="43"/>
  <c r="DB18" i="43"/>
  <c r="CY18" i="43"/>
  <c r="CV18" i="43"/>
  <c r="CS18" i="43"/>
  <c r="CP18" i="43"/>
  <c r="CM18" i="43"/>
  <c r="CJ18" i="43"/>
  <c r="CG18" i="43"/>
  <c r="CD18" i="43"/>
  <c r="CA18" i="43"/>
  <c r="BX18" i="43"/>
  <c r="BU18" i="43"/>
  <c r="BR18" i="43"/>
  <c r="BO18" i="43"/>
  <c r="BL18" i="43"/>
  <c r="BI18" i="43"/>
  <c r="BF18" i="43"/>
  <c r="BC18" i="43"/>
  <c r="AZ18" i="43"/>
  <c r="AW18" i="43"/>
  <c r="AT18" i="43"/>
  <c r="AO18" i="43"/>
  <c r="EK18" i="43" s="1"/>
  <c r="AL18" i="43"/>
  <c r="EB18" i="43" s="1"/>
  <c r="AI18" i="43"/>
  <c r="AK18" i="43" s="1"/>
  <c r="AB18" i="43"/>
  <c r="Y18" i="43"/>
  <c r="V18" i="43"/>
  <c r="S18" i="43"/>
  <c r="EH18" i="43" s="1"/>
  <c r="P18" i="43"/>
  <c r="M18" i="43"/>
  <c r="J18" i="43"/>
  <c r="G18" i="43"/>
  <c r="D18" i="43"/>
  <c r="EL17" i="43"/>
  <c r="EK17" i="43"/>
  <c r="EG17" i="43"/>
  <c r="EI17" i="43" s="1"/>
  <c r="DW17" i="43"/>
  <c r="DT17" i="43"/>
  <c r="DQ17" i="43"/>
  <c r="DN17" i="43"/>
  <c r="DK17" i="43"/>
  <c r="DH17" i="43"/>
  <c r="DE17" i="43"/>
  <c r="EM17" i="43" s="1"/>
  <c r="DB17" i="43"/>
  <c r="CY17" i="43"/>
  <c r="CV17" i="43"/>
  <c r="CS17" i="43"/>
  <c r="CP17" i="43"/>
  <c r="CM17" i="43"/>
  <c r="CJ17" i="43"/>
  <c r="CG17" i="43"/>
  <c r="CD17" i="43"/>
  <c r="CA17" i="43"/>
  <c r="BX17" i="43"/>
  <c r="BU17" i="43"/>
  <c r="BR17" i="43"/>
  <c r="BO17" i="43"/>
  <c r="BL17" i="43"/>
  <c r="BI17" i="43"/>
  <c r="BF17" i="43"/>
  <c r="BC17" i="43"/>
  <c r="AZ17" i="43"/>
  <c r="AW17" i="43"/>
  <c r="AT17" i="43"/>
  <c r="AQ17" i="43"/>
  <c r="AO17" i="43"/>
  <c r="AN17" i="43"/>
  <c r="AL17" i="43"/>
  <c r="EB17" i="43" s="1"/>
  <c r="AK17" i="43"/>
  <c r="AI17" i="43"/>
  <c r="AB17" i="43"/>
  <c r="Y17" i="43"/>
  <c r="V17" i="43"/>
  <c r="EH17" i="43" s="1"/>
  <c r="S17" i="43"/>
  <c r="P17" i="43"/>
  <c r="M17" i="43"/>
  <c r="J17" i="43"/>
  <c r="G17" i="43"/>
  <c r="D17" i="43"/>
  <c r="ED17" i="43" s="1"/>
  <c r="EL16" i="43"/>
  <c r="EI16" i="43"/>
  <c r="EG16" i="43"/>
  <c r="DW16" i="43"/>
  <c r="DT16" i="43"/>
  <c r="DQ16" i="43"/>
  <c r="DN16" i="43"/>
  <c r="DK16" i="43"/>
  <c r="DH16" i="43"/>
  <c r="DE16" i="43"/>
  <c r="DB16" i="43"/>
  <c r="CY16" i="43"/>
  <c r="CV16" i="43"/>
  <c r="CS16" i="43"/>
  <c r="CP16" i="43"/>
  <c r="CM16" i="43"/>
  <c r="CJ16" i="43"/>
  <c r="CG16" i="43"/>
  <c r="CD16" i="43"/>
  <c r="CA16" i="43"/>
  <c r="BX16" i="43"/>
  <c r="BU16" i="43"/>
  <c r="BR16" i="43"/>
  <c r="BO16" i="43"/>
  <c r="BL16" i="43"/>
  <c r="BI16" i="43"/>
  <c r="BF16" i="43"/>
  <c r="BC16" i="43"/>
  <c r="AZ16" i="43"/>
  <c r="AW16" i="43"/>
  <c r="AT16" i="43"/>
  <c r="AO16" i="43"/>
  <c r="EK16" i="43" s="1"/>
  <c r="AL16" i="43"/>
  <c r="AN16" i="43" s="1"/>
  <c r="AI16" i="43"/>
  <c r="AK16" i="43" s="1"/>
  <c r="AB16" i="43"/>
  <c r="Y16" i="43"/>
  <c r="V16" i="43"/>
  <c r="S16" i="43"/>
  <c r="EH16" i="43" s="1"/>
  <c r="P16" i="43"/>
  <c r="M16" i="43"/>
  <c r="J16" i="43"/>
  <c r="G16" i="43"/>
  <c r="D16" i="43"/>
  <c r="EL15" i="43"/>
  <c r="EK15" i="43"/>
  <c r="EN15" i="43" s="1"/>
  <c r="EI15" i="43"/>
  <c r="EG15" i="43"/>
  <c r="DW15" i="43"/>
  <c r="DT15" i="43"/>
  <c r="DQ15" i="43"/>
  <c r="DN15" i="43"/>
  <c r="DK15" i="43"/>
  <c r="EM15" i="43" s="1"/>
  <c r="DH15" i="43"/>
  <c r="DE15" i="43"/>
  <c r="DB15" i="43"/>
  <c r="CY15" i="43"/>
  <c r="CV15" i="43"/>
  <c r="CS15" i="43"/>
  <c r="CP15" i="43"/>
  <c r="CM15" i="43"/>
  <c r="CJ15" i="43"/>
  <c r="CG15" i="43"/>
  <c r="CD15" i="43"/>
  <c r="CA15" i="43"/>
  <c r="BX15" i="43"/>
  <c r="BU15" i="43"/>
  <c r="BR15" i="43"/>
  <c r="BO15" i="43"/>
  <c r="BL15" i="43"/>
  <c r="BI15" i="43"/>
  <c r="BF15" i="43"/>
  <c r="BC15" i="43"/>
  <c r="AZ15" i="43"/>
  <c r="AW15" i="43"/>
  <c r="AT15" i="43"/>
  <c r="AQ15" i="43"/>
  <c r="AO15" i="43"/>
  <c r="AN15" i="43"/>
  <c r="AL15" i="43"/>
  <c r="EB15" i="43" s="1"/>
  <c r="AK15" i="43"/>
  <c r="AI15" i="43"/>
  <c r="AB15" i="43"/>
  <c r="Y15" i="43"/>
  <c r="V15" i="43"/>
  <c r="EH15" i="43" s="1"/>
  <c r="S15" i="43"/>
  <c r="P15" i="43"/>
  <c r="M15" i="43"/>
  <c r="J15" i="43"/>
  <c r="G15" i="43"/>
  <c r="D15" i="43"/>
  <c r="ED15" i="43" s="1"/>
  <c r="EL14" i="43"/>
  <c r="EG14" i="43"/>
  <c r="EI5" i="43" s="1"/>
  <c r="DW14" i="43"/>
  <c r="DT14" i="43"/>
  <c r="DQ14" i="43"/>
  <c r="DN14" i="43"/>
  <c r="DK14" i="43"/>
  <c r="DH14" i="43"/>
  <c r="DE14" i="43"/>
  <c r="DB14" i="43"/>
  <c r="CY14" i="43"/>
  <c r="CV14" i="43"/>
  <c r="CS14" i="43"/>
  <c r="CP14" i="43"/>
  <c r="CM14" i="43"/>
  <c r="CJ14" i="43"/>
  <c r="CG14" i="43"/>
  <c r="CD14" i="43"/>
  <c r="CA14" i="43"/>
  <c r="BX14" i="43"/>
  <c r="BU14" i="43"/>
  <c r="BR14" i="43"/>
  <c r="BO14" i="43"/>
  <c r="BL14" i="43"/>
  <c r="BI14" i="43"/>
  <c r="BF14" i="43"/>
  <c r="BC14" i="43"/>
  <c r="AZ14" i="43"/>
  <c r="AW14" i="43"/>
  <c r="AT14" i="43"/>
  <c r="AO14" i="43"/>
  <c r="AQ14" i="43" s="1"/>
  <c r="AL14" i="43"/>
  <c r="AN14" i="43" s="1"/>
  <c r="AI14" i="43"/>
  <c r="AK14" i="43" s="1"/>
  <c r="AB14" i="43"/>
  <c r="Y14" i="43"/>
  <c r="V14" i="43"/>
  <c r="S14" i="43"/>
  <c r="EH14" i="43" s="1"/>
  <c r="P14" i="43"/>
  <c r="M14" i="43"/>
  <c r="J14" i="43"/>
  <c r="G14" i="43"/>
  <c r="D14" i="43"/>
  <c r="EL13" i="43"/>
  <c r="EG13" i="43"/>
  <c r="EI13" i="43" s="1"/>
  <c r="DW13" i="43"/>
  <c r="DT13" i="43"/>
  <c r="DQ13" i="43"/>
  <c r="EM13" i="43" s="1"/>
  <c r="DN13" i="43"/>
  <c r="DK13" i="43"/>
  <c r="DH13" i="43"/>
  <c r="DE13" i="43"/>
  <c r="DB13" i="43"/>
  <c r="CY13" i="43"/>
  <c r="CV13" i="43"/>
  <c r="CS13" i="43"/>
  <c r="CP13" i="43"/>
  <c r="CM13" i="43"/>
  <c r="CJ13" i="43"/>
  <c r="CG13" i="43"/>
  <c r="CD13" i="43"/>
  <c r="CA13" i="43"/>
  <c r="BX13" i="43"/>
  <c r="BU13" i="43"/>
  <c r="BR13" i="43"/>
  <c r="BO13" i="43"/>
  <c r="BL13" i="43"/>
  <c r="BI13" i="43"/>
  <c r="BF13" i="43"/>
  <c r="BC13" i="43"/>
  <c r="AZ13" i="43"/>
  <c r="AW13" i="43"/>
  <c r="AT13" i="43"/>
  <c r="AQ13" i="43"/>
  <c r="AL13" i="43"/>
  <c r="AN13" i="43" s="1"/>
  <c r="AI13" i="43"/>
  <c r="AK13" i="43" s="1"/>
  <c r="EH13" i="43"/>
  <c r="AB13" i="43"/>
  <c r="Y13" i="43"/>
  <c r="V13" i="43"/>
  <c r="S13" i="43"/>
  <c r="P13" i="43"/>
  <c r="M13" i="43"/>
  <c r="J13" i="43"/>
  <c r="G13" i="43"/>
  <c r="D13" i="43"/>
  <c r="ED13" i="43" s="1"/>
  <c r="EL12" i="43"/>
  <c r="EG12" i="43"/>
  <c r="EI12" i="43" s="1"/>
  <c r="DW12" i="43"/>
  <c r="DT12" i="43"/>
  <c r="DQ12" i="43"/>
  <c r="DN12" i="43"/>
  <c r="DK12" i="43"/>
  <c r="DH12" i="43"/>
  <c r="DE12" i="43"/>
  <c r="DB12" i="43"/>
  <c r="CY12" i="43"/>
  <c r="CV12" i="43"/>
  <c r="CS12" i="43"/>
  <c r="CP12" i="43"/>
  <c r="CM12" i="43"/>
  <c r="CJ12" i="43"/>
  <c r="CG12" i="43"/>
  <c r="CD12" i="43"/>
  <c r="CA12" i="43"/>
  <c r="BX12" i="43"/>
  <c r="BU12" i="43"/>
  <c r="BR12" i="43"/>
  <c r="BO12" i="43"/>
  <c r="BL12" i="43"/>
  <c r="BI12" i="43"/>
  <c r="BF12" i="43"/>
  <c r="BC12" i="43"/>
  <c r="AZ12" i="43"/>
  <c r="AW12" i="43"/>
  <c r="AT12" i="43"/>
  <c r="AQ12" i="43"/>
  <c r="AL12" i="43"/>
  <c r="AN12" i="43" s="1"/>
  <c r="AI12" i="43"/>
  <c r="AK12" i="43" s="1"/>
  <c r="EH12" i="43"/>
  <c r="AB12" i="43"/>
  <c r="Y12" i="43"/>
  <c r="V12" i="43"/>
  <c r="S12" i="43"/>
  <c r="P12" i="43"/>
  <c r="M12" i="43"/>
  <c r="J12" i="43"/>
  <c r="G12" i="43"/>
  <c r="D12" i="43"/>
  <c r="A12" i="43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EL11" i="43"/>
  <c r="EG11" i="43"/>
  <c r="EI11" i="43" s="1"/>
  <c r="DW11" i="43"/>
  <c r="DW42" i="43" s="1"/>
  <c r="DT11" i="43"/>
  <c r="DT42" i="43" s="1"/>
  <c r="DQ11" i="43"/>
  <c r="EM11" i="43" s="1"/>
  <c r="DN11" i="43"/>
  <c r="DN42" i="43" s="1"/>
  <c r="DK11" i="43"/>
  <c r="DK42" i="43" s="1"/>
  <c r="DH11" i="43"/>
  <c r="DH42" i="43" s="1"/>
  <c r="DE11" i="43"/>
  <c r="DE42" i="43" s="1"/>
  <c r="DB11" i="43"/>
  <c r="DB42" i="43" s="1"/>
  <c r="CY11" i="43"/>
  <c r="CY42" i="43" s="1"/>
  <c r="CV11" i="43"/>
  <c r="CV42" i="43" s="1"/>
  <c r="CS11" i="43"/>
  <c r="CS42" i="43" s="1"/>
  <c r="CP11" i="43"/>
  <c r="CP42" i="43" s="1"/>
  <c r="CM11" i="43"/>
  <c r="CM42" i="43" s="1"/>
  <c r="CJ11" i="43"/>
  <c r="CJ42" i="43" s="1"/>
  <c r="CG11" i="43"/>
  <c r="CG42" i="43" s="1"/>
  <c r="CD11" i="43"/>
  <c r="CD42" i="43" s="1"/>
  <c r="CA11" i="43"/>
  <c r="CA42" i="43" s="1"/>
  <c r="BX11" i="43"/>
  <c r="BX42" i="43" s="1"/>
  <c r="BU11" i="43"/>
  <c r="BU42" i="43" s="1"/>
  <c r="BR11" i="43"/>
  <c r="BR42" i="43" s="1"/>
  <c r="BO11" i="43"/>
  <c r="BO42" i="43" s="1"/>
  <c r="BL11" i="43"/>
  <c r="BL42" i="43" s="1"/>
  <c r="BI11" i="43"/>
  <c r="BI42" i="43" s="1"/>
  <c r="BF11" i="43"/>
  <c r="BF42" i="43" s="1"/>
  <c r="BC11" i="43"/>
  <c r="BC42" i="43" s="1"/>
  <c r="AZ11" i="43"/>
  <c r="AZ42" i="43" s="1"/>
  <c r="AW11" i="43"/>
  <c r="AW42" i="43" s="1"/>
  <c r="AT11" i="43"/>
  <c r="AQ11" i="43"/>
  <c r="AL11" i="43"/>
  <c r="AN11" i="43" s="1"/>
  <c r="AI11" i="43"/>
  <c r="AK11" i="43" s="1"/>
  <c r="AH42" i="43"/>
  <c r="AE42" i="43"/>
  <c r="AB11" i="43"/>
  <c r="AB42" i="43" s="1"/>
  <c r="Y11" i="43"/>
  <c r="Y42" i="43" s="1"/>
  <c r="V11" i="43"/>
  <c r="S11" i="43"/>
  <c r="S42" i="43" s="1"/>
  <c r="P11" i="43"/>
  <c r="P42" i="43" s="1"/>
  <c r="M11" i="43"/>
  <c r="M42" i="43" s="1"/>
  <c r="J11" i="43"/>
  <c r="J42" i="43" s="1"/>
  <c r="G11" i="43"/>
  <c r="G42" i="43" s="1"/>
  <c r="D11" i="43"/>
  <c r="ED11" i="43" s="1"/>
  <c r="EI2" i="43"/>
  <c r="EM16" i="43" l="1"/>
  <c r="EN33" i="43"/>
  <c r="EC39" i="43"/>
  <c r="AK42" i="43"/>
  <c r="EC18" i="43"/>
  <c r="EN19" i="43"/>
  <c r="ED22" i="43"/>
  <c r="EC23" i="43"/>
  <c r="EE23" i="43"/>
  <c r="EM25" i="43"/>
  <c r="EN25" i="43" s="1"/>
  <c r="EM35" i="43"/>
  <c r="EE38" i="43"/>
  <c r="EC17" i="43"/>
  <c r="EE17" i="43"/>
  <c r="EC24" i="43"/>
  <c r="EC25" i="43"/>
  <c r="EN26" i="43"/>
  <c r="ED27" i="43"/>
  <c r="EM27" i="43"/>
  <c r="EN27" i="43" s="1"/>
  <c r="EE30" i="43"/>
  <c r="EC31" i="43"/>
  <c r="ED34" i="43"/>
  <c r="EM12" i="43"/>
  <c r="ED12" i="43"/>
  <c r="EM14" i="43"/>
  <c r="EN17" i="43"/>
  <c r="ED32" i="43"/>
  <c r="EM34" i="43"/>
  <c r="EN34" i="43" s="1"/>
  <c r="EE36" i="43"/>
  <c r="EC36" i="43"/>
  <c r="EE37" i="43"/>
  <c r="EC37" i="43"/>
  <c r="EM20" i="43"/>
  <c r="ED14" i="43"/>
  <c r="EC15" i="43"/>
  <c r="EE15" i="43"/>
  <c r="ED20" i="43"/>
  <c r="EM31" i="43"/>
  <c r="EN31" i="43" s="1"/>
  <c r="EE35" i="43"/>
  <c r="EC35" i="43"/>
  <c r="EN16" i="43"/>
  <c r="EE21" i="43"/>
  <c r="EC21" i="43"/>
  <c r="EN24" i="43"/>
  <c r="EM32" i="43"/>
  <c r="EN32" i="43" s="1"/>
  <c r="EN35" i="43"/>
  <c r="ED25" i="43"/>
  <c r="EE25" i="43" s="1"/>
  <c r="EE28" i="43"/>
  <c r="EC28" i="43"/>
  <c r="EE2" i="43"/>
  <c r="EQ2" i="43" s="1"/>
  <c r="G4" i="43" s="1"/>
  <c r="EC41" i="43"/>
  <c r="EE19" i="43"/>
  <c r="EC19" i="43"/>
  <c r="EE33" i="43"/>
  <c r="EC33" i="43"/>
  <c r="EM37" i="43"/>
  <c r="EN2" i="43"/>
  <c r="EP2" i="43" s="1"/>
  <c r="EH11" i="43"/>
  <c r="EH42" i="43" s="1"/>
  <c r="EB34" i="43"/>
  <c r="V42" i="43"/>
  <c r="AQ16" i="43"/>
  <c r="ED16" i="43" s="1"/>
  <c r="AN18" i="43"/>
  <c r="AN42" i="43" s="1"/>
  <c r="EK20" i="43"/>
  <c r="EN20" i="43" s="1"/>
  <c r="EE24" i="43"/>
  <c r="AQ25" i="43"/>
  <c r="EC26" i="43"/>
  <c r="EB27" i="43"/>
  <c r="AT31" i="43"/>
  <c r="ED31" i="43" s="1"/>
  <c r="EE31" i="43" s="1"/>
  <c r="EK36" i="43"/>
  <c r="EN36" i="43" s="1"/>
  <c r="AT39" i="43"/>
  <c r="EM39" i="43" s="1"/>
  <c r="EN39" i="43" s="1"/>
  <c r="EE40" i="43"/>
  <c r="AQ41" i="43"/>
  <c r="EM41" i="43" s="1"/>
  <c r="EN41" i="43" s="1"/>
  <c r="EK11" i="43"/>
  <c r="EK12" i="43"/>
  <c r="EN12" i="43" s="1"/>
  <c r="EK13" i="43"/>
  <c r="EN13" i="43" s="1"/>
  <c r="EI14" i="43"/>
  <c r="EB20" i="43"/>
  <c r="EK29" i="43"/>
  <c r="EN29" i="43" s="1"/>
  <c r="EK37" i="43"/>
  <c r="EN37" i="43" s="1"/>
  <c r="D42" i="43"/>
  <c r="DQ42" i="43"/>
  <c r="EI3" i="43"/>
  <c r="EI4" i="43" s="1"/>
  <c r="EB11" i="43"/>
  <c r="EB12" i="43"/>
  <c r="EB13" i="43"/>
  <c r="EK14" i="43"/>
  <c r="EN14" i="43" s="1"/>
  <c r="AQ18" i="43"/>
  <c r="AQ42" i="43" s="1"/>
  <c r="EK22" i="43"/>
  <c r="EN22" i="43" s="1"/>
  <c r="EB29" i="43"/>
  <c r="EB14" i="43"/>
  <c r="EB22" i="43"/>
  <c r="EC30" i="43"/>
  <c r="EC38" i="43"/>
  <c r="AN39" i="43"/>
  <c r="ED39" i="43" s="1"/>
  <c r="EE39" i="43" s="1"/>
  <c r="EB32" i="43"/>
  <c r="EB16" i="43"/>
  <c r="AN25" i="43"/>
  <c r="AN41" i="43"/>
  <c r="ED41" i="43" s="1"/>
  <c r="EE41" i="43" s="1"/>
  <c r="EE13" i="43" l="1"/>
  <c r="EC13" i="43"/>
  <c r="EE20" i="43"/>
  <c r="EC20" i="43"/>
  <c r="AT42" i="43"/>
  <c r="EE12" i="43"/>
  <c r="EC12" i="43"/>
  <c r="EE22" i="43"/>
  <c r="EC22" i="43"/>
  <c r="EE11" i="43"/>
  <c r="EC11" i="43"/>
  <c r="EE3" i="43"/>
  <c r="EE5" i="43"/>
  <c r="G7" i="43" s="1"/>
  <c r="EE27" i="43"/>
  <c r="EC27" i="43"/>
  <c r="EE34" i="43"/>
  <c r="EC34" i="43"/>
  <c r="EE14" i="43"/>
  <c r="EC14" i="43"/>
  <c r="EE29" i="43"/>
  <c r="EC29" i="43"/>
  <c r="EN11" i="43"/>
  <c r="EN3" i="43"/>
  <c r="EN5" i="43"/>
  <c r="ED18" i="43"/>
  <c r="EE18" i="43" s="1"/>
  <c r="EC16" i="43"/>
  <c r="EE16" i="43"/>
  <c r="EM18" i="43"/>
  <c r="EC32" i="43"/>
  <c r="EE32" i="43"/>
  <c r="ED42" i="43" l="1"/>
  <c r="EN4" i="43"/>
  <c r="EN18" i="43"/>
  <c r="EM42" i="43"/>
  <c r="EE4" i="43"/>
  <c r="G6" i="43" s="1"/>
  <c r="G5" i="43"/>
  <c r="EL40" i="42" l="1"/>
  <c r="EG40" i="42"/>
  <c r="EI40" i="42" s="1"/>
  <c r="DW40" i="42"/>
  <c r="DT40" i="42"/>
  <c r="DQ40" i="42"/>
  <c r="DN40" i="42"/>
  <c r="DK40" i="42"/>
  <c r="DH40" i="42"/>
  <c r="DE40" i="42"/>
  <c r="DB40" i="42"/>
  <c r="CY40" i="42"/>
  <c r="CV40" i="42"/>
  <c r="CS40" i="42"/>
  <c r="CP40" i="42"/>
  <c r="CM40" i="42"/>
  <c r="CJ40" i="42"/>
  <c r="CG40" i="42"/>
  <c r="CD40" i="42"/>
  <c r="CA40" i="42"/>
  <c r="BX40" i="42"/>
  <c r="BU40" i="42"/>
  <c r="BR40" i="42"/>
  <c r="BO40" i="42"/>
  <c r="BL40" i="42"/>
  <c r="BI40" i="42"/>
  <c r="BF40" i="42"/>
  <c r="BC40" i="42"/>
  <c r="AZ40" i="42"/>
  <c r="AW40" i="42"/>
  <c r="AT40" i="42"/>
  <c r="AO40" i="42"/>
  <c r="EK40" i="42" s="1"/>
  <c r="AN40" i="42"/>
  <c r="AL40" i="42"/>
  <c r="EB40" i="42" s="1"/>
  <c r="AK40" i="42"/>
  <c r="AI40" i="42"/>
  <c r="AB40" i="42"/>
  <c r="Y40" i="42"/>
  <c r="V40" i="42"/>
  <c r="EH40" i="42" s="1"/>
  <c r="S40" i="42"/>
  <c r="P40" i="42"/>
  <c r="M40" i="42"/>
  <c r="J40" i="42"/>
  <c r="G40" i="42"/>
  <c r="D40" i="42"/>
  <c r="EL39" i="42"/>
  <c r="EI39" i="42"/>
  <c r="EG39" i="42"/>
  <c r="DW39" i="42"/>
  <c r="DT39" i="42"/>
  <c r="DQ39" i="42"/>
  <c r="DN39" i="42"/>
  <c r="DK39" i="42"/>
  <c r="DH39" i="42"/>
  <c r="DE39" i="42"/>
  <c r="DB39" i="42"/>
  <c r="CY39" i="42"/>
  <c r="CV39" i="42"/>
  <c r="CS39" i="42"/>
  <c r="CP39" i="42"/>
  <c r="CM39" i="42"/>
  <c r="CJ39" i="42"/>
  <c r="CG39" i="42"/>
  <c r="CD39" i="42"/>
  <c r="CA39" i="42"/>
  <c r="BX39" i="42"/>
  <c r="BU39" i="42"/>
  <c r="BR39" i="42"/>
  <c r="BO39" i="42"/>
  <c r="BL39" i="42"/>
  <c r="BI39" i="42"/>
  <c r="BF39" i="42"/>
  <c r="BC39" i="42"/>
  <c r="AZ39" i="42"/>
  <c r="AW39" i="42"/>
  <c r="AT39" i="42"/>
  <c r="AO39" i="42"/>
  <c r="AL39" i="42"/>
  <c r="AN39" i="42" s="1"/>
  <c r="AI39" i="42"/>
  <c r="AK39" i="42" s="1"/>
  <c r="AB39" i="42"/>
  <c r="Y39" i="42"/>
  <c r="V39" i="42"/>
  <c r="S39" i="42"/>
  <c r="P39" i="42"/>
  <c r="M39" i="42"/>
  <c r="J39" i="42"/>
  <c r="G39" i="42"/>
  <c r="D39" i="42"/>
  <c r="EL38" i="42"/>
  <c r="EK38" i="42"/>
  <c r="EG38" i="42"/>
  <c r="EI38" i="42" s="1"/>
  <c r="DW38" i="42"/>
  <c r="DT38" i="42"/>
  <c r="DQ38" i="42"/>
  <c r="DN38" i="42"/>
  <c r="DK38" i="42"/>
  <c r="DH38" i="42"/>
  <c r="DE38" i="42"/>
  <c r="DB38" i="42"/>
  <c r="CY38" i="42"/>
  <c r="CV38" i="42"/>
  <c r="CS38" i="42"/>
  <c r="CP38" i="42"/>
  <c r="CM38" i="42"/>
  <c r="CJ38" i="42"/>
  <c r="CG38" i="42"/>
  <c r="CD38" i="42"/>
  <c r="CA38" i="42"/>
  <c r="BX38" i="42"/>
  <c r="BU38" i="42"/>
  <c r="BR38" i="42"/>
  <c r="BO38" i="42"/>
  <c r="BL38" i="42"/>
  <c r="BI38" i="42"/>
  <c r="BF38" i="42"/>
  <c r="BC38" i="42"/>
  <c r="AZ38" i="42"/>
  <c r="AW38" i="42"/>
  <c r="AT38" i="42"/>
  <c r="AQ38" i="42"/>
  <c r="AO38" i="42"/>
  <c r="AN38" i="42"/>
  <c r="AL38" i="42"/>
  <c r="EB38" i="42" s="1"/>
  <c r="EC38" i="42" s="1"/>
  <c r="AK38" i="42"/>
  <c r="AI38" i="42"/>
  <c r="AB38" i="42"/>
  <c r="EH38" i="42" s="1"/>
  <c r="Y38" i="42"/>
  <c r="V38" i="42"/>
  <c r="S38" i="42"/>
  <c r="P38" i="42"/>
  <c r="M38" i="42"/>
  <c r="J38" i="42"/>
  <c r="G38" i="42"/>
  <c r="D38" i="42"/>
  <c r="ED38" i="42" s="1"/>
  <c r="EL37" i="42"/>
  <c r="EG37" i="42"/>
  <c r="EI37" i="42" s="1"/>
  <c r="DW37" i="42"/>
  <c r="DT37" i="42"/>
  <c r="EM37" i="42" s="1"/>
  <c r="DQ37" i="42"/>
  <c r="DN37" i="42"/>
  <c r="DK37" i="42"/>
  <c r="DH37" i="42"/>
  <c r="DE37" i="42"/>
  <c r="DB37" i="42"/>
  <c r="CY37" i="42"/>
  <c r="CV37" i="42"/>
  <c r="CS37" i="42"/>
  <c r="CP37" i="42"/>
  <c r="CM37" i="42"/>
  <c r="CJ37" i="42"/>
  <c r="CG37" i="42"/>
  <c r="CD37" i="42"/>
  <c r="CA37" i="42"/>
  <c r="BX37" i="42"/>
  <c r="BU37" i="42"/>
  <c r="BR37" i="42"/>
  <c r="BO37" i="42"/>
  <c r="BL37" i="42"/>
  <c r="BI37" i="42"/>
  <c r="BF37" i="42"/>
  <c r="BC37" i="42"/>
  <c r="AZ37" i="42"/>
  <c r="AW37" i="42"/>
  <c r="AT37" i="42"/>
  <c r="AQ37" i="42"/>
  <c r="AO37" i="42"/>
  <c r="AL37" i="42"/>
  <c r="AN37" i="42" s="1"/>
  <c r="AI37" i="42"/>
  <c r="AK37" i="42" s="1"/>
  <c r="AB37" i="42"/>
  <c r="Y37" i="42"/>
  <c r="V37" i="42"/>
  <c r="S37" i="42"/>
  <c r="EH37" i="42" s="1"/>
  <c r="P37" i="42"/>
  <c r="M37" i="42"/>
  <c r="J37" i="42"/>
  <c r="G37" i="42"/>
  <c r="D37" i="42"/>
  <c r="EL36" i="42"/>
  <c r="EI36" i="42"/>
  <c r="EH36" i="42"/>
  <c r="EG36" i="42"/>
  <c r="DW36" i="42"/>
  <c r="DT36" i="42"/>
  <c r="DQ36" i="42"/>
  <c r="DN36" i="42"/>
  <c r="DK36" i="42"/>
  <c r="DH36" i="42"/>
  <c r="DE36" i="42"/>
  <c r="DB36" i="42"/>
  <c r="CY36" i="42"/>
  <c r="CV36" i="42"/>
  <c r="CS36" i="42"/>
  <c r="CP36" i="42"/>
  <c r="CM36" i="42"/>
  <c r="CJ36" i="42"/>
  <c r="CG36" i="42"/>
  <c r="CD36" i="42"/>
  <c r="CA36" i="42"/>
  <c r="BX36" i="42"/>
  <c r="BU36" i="42"/>
  <c r="BR36" i="42"/>
  <c r="BO36" i="42"/>
  <c r="BL36" i="42"/>
  <c r="BI36" i="42"/>
  <c r="BF36" i="42"/>
  <c r="BC36" i="42"/>
  <c r="AZ36" i="42"/>
  <c r="AW36" i="42"/>
  <c r="AT36" i="42"/>
  <c r="AQ36" i="42"/>
  <c r="AO36" i="42"/>
  <c r="AN36" i="42"/>
  <c r="AL36" i="42"/>
  <c r="EB36" i="42" s="1"/>
  <c r="AI36" i="42"/>
  <c r="EK36" i="42" s="1"/>
  <c r="AB36" i="42"/>
  <c r="Y36" i="42"/>
  <c r="V36" i="42"/>
  <c r="S36" i="42"/>
  <c r="P36" i="42"/>
  <c r="M36" i="42"/>
  <c r="J36" i="42"/>
  <c r="G36" i="42"/>
  <c r="D36" i="42"/>
  <c r="EL35" i="42"/>
  <c r="EI35" i="42"/>
  <c r="EG35" i="42"/>
  <c r="DW35" i="42"/>
  <c r="DT35" i="42"/>
  <c r="DQ35" i="42"/>
  <c r="DN35" i="42"/>
  <c r="DK35" i="42"/>
  <c r="DH35" i="42"/>
  <c r="DE35" i="42"/>
  <c r="DB35" i="42"/>
  <c r="CY35" i="42"/>
  <c r="CV35" i="42"/>
  <c r="CS35" i="42"/>
  <c r="CP35" i="42"/>
  <c r="CM35" i="42"/>
  <c r="CJ35" i="42"/>
  <c r="CG35" i="42"/>
  <c r="CD35" i="42"/>
  <c r="CA35" i="42"/>
  <c r="BX35" i="42"/>
  <c r="BU35" i="42"/>
  <c r="BR35" i="42"/>
  <c r="BO35" i="42"/>
  <c r="BL35" i="42"/>
  <c r="BI35" i="42"/>
  <c r="BF35" i="42"/>
  <c r="BC35" i="42"/>
  <c r="AZ35" i="42"/>
  <c r="AW35" i="42"/>
  <c r="AT35" i="42"/>
  <c r="AO35" i="42"/>
  <c r="AQ35" i="42" s="1"/>
  <c r="AL35" i="42"/>
  <c r="AN35" i="42" s="1"/>
  <c r="AI35" i="42"/>
  <c r="AK35" i="42" s="1"/>
  <c r="AB35" i="42"/>
  <c r="Y35" i="42"/>
  <c r="V35" i="42"/>
  <c r="S35" i="42"/>
  <c r="EH35" i="42" s="1"/>
  <c r="P35" i="42"/>
  <c r="M35" i="42"/>
  <c r="J35" i="42"/>
  <c r="G35" i="42"/>
  <c r="D35" i="42"/>
  <c r="EL34" i="42"/>
  <c r="EK34" i="42"/>
  <c r="EI34" i="42"/>
  <c r="EG34" i="42"/>
  <c r="DW34" i="42"/>
  <c r="DT34" i="42"/>
  <c r="EM34" i="42" s="1"/>
  <c r="DQ34" i="42"/>
  <c r="DN34" i="42"/>
  <c r="DK34" i="42"/>
  <c r="DH34" i="42"/>
  <c r="DE34" i="42"/>
  <c r="DB34" i="42"/>
  <c r="CY34" i="42"/>
  <c r="CV34" i="42"/>
  <c r="CS34" i="42"/>
  <c r="CP34" i="42"/>
  <c r="CM34" i="42"/>
  <c r="CJ34" i="42"/>
  <c r="CG34" i="42"/>
  <c r="CD34" i="42"/>
  <c r="CA34" i="42"/>
  <c r="BX34" i="42"/>
  <c r="BU34" i="42"/>
  <c r="BR34" i="42"/>
  <c r="BO34" i="42"/>
  <c r="BL34" i="42"/>
  <c r="BI34" i="42"/>
  <c r="BF34" i="42"/>
  <c r="BC34" i="42"/>
  <c r="AZ34" i="42"/>
  <c r="AW34" i="42"/>
  <c r="AT34" i="42"/>
  <c r="AQ34" i="42"/>
  <c r="AO34" i="42"/>
  <c r="AL34" i="42"/>
  <c r="AN34" i="42" s="1"/>
  <c r="AK34" i="42"/>
  <c r="AI34" i="42"/>
  <c r="AB34" i="42"/>
  <c r="Y34" i="42"/>
  <c r="V34" i="42"/>
  <c r="S34" i="42"/>
  <c r="EH34" i="42" s="1"/>
  <c r="P34" i="42"/>
  <c r="M34" i="42"/>
  <c r="J34" i="42"/>
  <c r="G34" i="42"/>
  <c r="D34" i="42"/>
  <c r="ED34" i="42" s="1"/>
  <c r="EL33" i="42"/>
  <c r="EG33" i="42"/>
  <c r="EI33" i="42" s="1"/>
  <c r="DW33" i="42"/>
  <c r="DT33" i="42"/>
  <c r="DQ33" i="42"/>
  <c r="DN33" i="42"/>
  <c r="DK33" i="42"/>
  <c r="DH33" i="42"/>
  <c r="DE33" i="42"/>
  <c r="DB33" i="42"/>
  <c r="CY33" i="42"/>
  <c r="CV33" i="42"/>
  <c r="CS33" i="42"/>
  <c r="CP33" i="42"/>
  <c r="CM33" i="42"/>
  <c r="CJ33" i="42"/>
  <c r="CG33" i="42"/>
  <c r="CD33" i="42"/>
  <c r="CA33" i="42"/>
  <c r="BX33" i="42"/>
  <c r="BU33" i="42"/>
  <c r="BR33" i="42"/>
  <c r="BO33" i="42"/>
  <c r="BL33" i="42"/>
  <c r="BI33" i="42"/>
  <c r="BF33" i="42"/>
  <c r="BC33" i="42"/>
  <c r="AZ33" i="42"/>
  <c r="AW33" i="42"/>
  <c r="AT33" i="42"/>
  <c r="AO33" i="42"/>
  <c r="AQ33" i="42" s="1"/>
  <c r="AL33" i="42"/>
  <c r="EB33" i="42" s="1"/>
  <c r="AK33" i="42"/>
  <c r="AI33" i="42"/>
  <c r="AB33" i="42"/>
  <c r="Y33" i="42"/>
  <c r="V33" i="42"/>
  <c r="S33" i="42"/>
  <c r="EH33" i="42" s="1"/>
  <c r="P33" i="42"/>
  <c r="M33" i="42"/>
  <c r="J33" i="42"/>
  <c r="G33" i="42"/>
  <c r="D33" i="42"/>
  <c r="EL32" i="42"/>
  <c r="EG32" i="42"/>
  <c r="EI32" i="42" s="1"/>
  <c r="DW32" i="42"/>
  <c r="DT32" i="42"/>
  <c r="DQ32" i="42"/>
  <c r="DN32" i="42"/>
  <c r="DK32" i="42"/>
  <c r="DH32" i="42"/>
  <c r="DE32" i="42"/>
  <c r="DB32" i="42"/>
  <c r="CY32" i="42"/>
  <c r="CV32" i="42"/>
  <c r="CS32" i="42"/>
  <c r="CP32" i="42"/>
  <c r="CM32" i="42"/>
  <c r="CJ32" i="42"/>
  <c r="CG32" i="42"/>
  <c r="CD32" i="42"/>
  <c r="CA32" i="42"/>
  <c r="BX32" i="42"/>
  <c r="BU32" i="42"/>
  <c r="BR32" i="42"/>
  <c r="BO32" i="42"/>
  <c r="BL32" i="42"/>
  <c r="BI32" i="42"/>
  <c r="BF32" i="42"/>
  <c r="BC32" i="42"/>
  <c r="AZ32" i="42"/>
  <c r="AW32" i="42"/>
  <c r="AT32" i="42"/>
  <c r="AO32" i="42"/>
  <c r="EK32" i="42" s="1"/>
  <c r="AN32" i="42"/>
  <c r="AL32" i="42"/>
  <c r="EB32" i="42" s="1"/>
  <c r="EC32" i="42" s="1"/>
  <c r="AK32" i="42"/>
  <c r="AI32" i="42"/>
  <c r="AB32" i="42"/>
  <c r="Y32" i="42"/>
  <c r="V32" i="42"/>
  <c r="EH32" i="42" s="1"/>
  <c r="S32" i="42"/>
  <c r="P32" i="42"/>
  <c r="M32" i="42"/>
  <c r="J32" i="42"/>
  <c r="G32" i="42"/>
  <c r="D32" i="42"/>
  <c r="EL31" i="42"/>
  <c r="EI31" i="42"/>
  <c r="EG31" i="42"/>
  <c r="DW31" i="42"/>
  <c r="DT31" i="42"/>
  <c r="DQ31" i="42"/>
  <c r="DN31" i="42"/>
  <c r="DK31" i="42"/>
  <c r="DH31" i="42"/>
  <c r="DE31" i="42"/>
  <c r="DB31" i="42"/>
  <c r="CY31" i="42"/>
  <c r="CV31" i="42"/>
  <c r="CS31" i="42"/>
  <c r="CP31" i="42"/>
  <c r="CM31" i="42"/>
  <c r="CJ31" i="42"/>
  <c r="CG31" i="42"/>
  <c r="CD31" i="42"/>
  <c r="CA31" i="42"/>
  <c r="BX31" i="42"/>
  <c r="BU31" i="42"/>
  <c r="BR31" i="42"/>
  <c r="BO31" i="42"/>
  <c r="BL31" i="42"/>
  <c r="BI31" i="42"/>
  <c r="BF31" i="42"/>
  <c r="BC31" i="42"/>
  <c r="AZ31" i="42"/>
  <c r="AW31" i="42"/>
  <c r="AT31" i="42"/>
  <c r="AO31" i="42"/>
  <c r="AN31" i="42"/>
  <c r="AL31" i="42"/>
  <c r="EB31" i="42" s="1"/>
  <c r="AI31" i="42"/>
  <c r="AK31" i="42" s="1"/>
  <c r="AB31" i="42"/>
  <c r="Y31" i="42"/>
  <c r="V31" i="42"/>
  <c r="S31" i="42"/>
  <c r="EH31" i="42" s="1"/>
  <c r="P31" i="42"/>
  <c r="M31" i="42"/>
  <c r="J31" i="42"/>
  <c r="G31" i="42"/>
  <c r="D31" i="42"/>
  <c r="EL30" i="42"/>
  <c r="EK30" i="42"/>
  <c r="EG30" i="42"/>
  <c r="EI30" i="42" s="1"/>
  <c r="DW30" i="42"/>
  <c r="DT30" i="42"/>
  <c r="DQ30" i="42"/>
  <c r="DN30" i="42"/>
  <c r="DK30" i="42"/>
  <c r="DH30" i="42"/>
  <c r="DE30" i="42"/>
  <c r="DB30" i="42"/>
  <c r="CY30" i="42"/>
  <c r="CV30" i="42"/>
  <c r="CS30" i="42"/>
  <c r="CP30" i="42"/>
  <c r="CM30" i="42"/>
  <c r="CJ30" i="42"/>
  <c r="CG30" i="42"/>
  <c r="CD30" i="42"/>
  <c r="CA30" i="42"/>
  <c r="BX30" i="42"/>
  <c r="BU30" i="42"/>
  <c r="BR30" i="42"/>
  <c r="BO30" i="42"/>
  <c r="BL30" i="42"/>
  <c r="BI30" i="42"/>
  <c r="BF30" i="42"/>
  <c r="BC30" i="42"/>
  <c r="AZ30" i="42"/>
  <c r="AW30" i="42"/>
  <c r="AT30" i="42"/>
  <c r="AQ30" i="42"/>
  <c r="AO30" i="42"/>
  <c r="AN30" i="42"/>
  <c r="AL30" i="42"/>
  <c r="EB30" i="42" s="1"/>
  <c r="EC30" i="42" s="1"/>
  <c r="AK30" i="42"/>
  <c r="AI30" i="42"/>
  <c r="AB30" i="42"/>
  <c r="Y30" i="42"/>
  <c r="V30" i="42"/>
  <c r="S30" i="42"/>
  <c r="P30" i="42"/>
  <c r="M30" i="42"/>
  <c r="J30" i="42"/>
  <c r="G30" i="42"/>
  <c r="D30" i="42"/>
  <c r="ED30" i="42" s="1"/>
  <c r="EL29" i="42"/>
  <c r="EG29" i="42"/>
  <c r="EI29" i="42" s="1"/>
  <c r="DW29" i="42"/>
  <c r="DT29" i="42"/>
  <c r="DQ29" i="42"/>
  <c r="DN29" i="42"/>
  <c r="DK29" i="42"/>
  <c r="DH29" i="42"/>
  <c r="DE29" i="42"/>
  <c r="DB29" i="42"/>
  <c r="CY29" i="42"/>
  <c r="CV29" i="42"/>
  <c r="CS29" i="42"/>
  <c r="CP29" i="42"/>
  <c r="CM29" i="42"/>
  <c r="CJ29" i="42"/>
  <c r="CG29" i="42"/>
  <c r="CD29" i="42"/>
  <c r="CA29" i="42"/>
  <c r="BX29" i="42"/>
  <c r="BU29" i="42"/>
  <c r="BR29" i="42"/>
  <c r="BO29" i="42"/>
  <c r="BL29" i="42"/>
  <c r="BI29" i="42"/>
  <c r="BF29" i="42"/>
  <c r="BC29" i="42"/>
  <c r="AZ29" i="42"/>
  <c r="AW29" i="42"/>
  <c r="AT29" i="42"/>
  <c r="AQ29" i="42"/>
  <c r="AO29" i="42"/>
  <c r="EK29" i="42" s="1"/>
  <c r="AL29" i="42"/>
  <c r="AN29" i="42" s="1"/>
  <c r="AK29" i="42"/>
  <c r="AI29" i="42"/>
  <c r="AB29" i="42"/>
  <c r="Y29" i="42"/>
  <c r="V29" i="42"/>
  <c r="S29" i="42"/>
  <c r="EH29" i="42" s="1"/>
  <c r="P29" i="42"/>
  <c r="M29" i="42"/>
  <c r="J29" i="42"/>
  <c r="G29" i="42"/>
  <c r="D29" i="42"/>
  <c r="EL28" i="42"/>
  <c r="EI28" i="42"/>
  <c r="EH28" i="42"/>
  <c r="EG28" i="42"/>
  <c r="DW28" i="42"/>
  <c r="DT28" i="42"/>
  <c r="DQ28" i="42"/>
  <c r="DN28" i="42"/>
  <c r="DK28" i="42"/>
  <c r="DH28" i="42"/>
  <c r="DE28" i="42"/>
  <c r="DB28" i="42"/>
  <c r="CY28" i="42"/>
  <c r="CV28" i="42"/>
  <c r="CS28" i="42"/>
  <c r="CP28" i="42"/>
  <c r="CM28" i="42"/>
  <c r="CJ28" i="42"/>
  <c r="CG28" i="42"/>
  <c r="CD28" i="42"/>
  <c r="CA28" i="42"/>
  <c r="BX28" i="42"/>
  <c r="BU28" i="42"/>
  <c r="BR28" i="42"/>
  <c r="BO28" i="42"/>
  <c r="BL28" i="42"/>
  <c r="BI28" i="42"/>
  <c r="BF28" i="42"/>
  <c r="BC28" i="42"/>
  <c r="AZ28" i="42"/>
  <c r="AW28" i="42"/>
  <c r="AT28" i="42"/>
  <c r="AQ28" i="42"/>
  <c r="AO28" i="42"/>
  <c r="EK28" i="42" s="1"/>
  <c r="AN28" i="42"/>
  <c r="AL28" i="42"/>
  <c r="EB28" i="42" s="1"/>
  <c r="AI28" i="42"/>
  <c r="AK28" i="42" s="1"/>
  <c r="AB28" i="42"/>
  <c r="Y28" i="42"/>
  <c r="V28" i="42"/>
  <c r="S28" i="42"/>
  <c r="P28" i="42"/>
  <c r="M28" i="42"/>
  <c r="J28" i="42"/>
  <c r="G28" i="42"/>
  <c r="D28" i="42"/>
  <c r="ED28" i="42" s="1"/>
  <c r="EL27" i="42"/>
  <c r="EI27" i="42"/>
  <c r="EG27" i="42"/>
  <c r="DW27" i="42"/>
  <c r="DT27" i="42"/>
  <c r="DQ27" i="42"/>
  <c r="DN27" i="42"/>
  <c r="DK27" i="42"/>
  <c r="DH27" i="42"/>
  <c r="DE27" i="42"/>
  <c r="DB27" i="42"/>
  <c r="CY27" i="42"/>
  <c r="CV27" i="42"/>
  <c r="CS27" i="42"/>
  <c r="CP27" i="42"/>
  <c r="CM27" i="42"/>
  <c r="CJ27" i="42"/>
  <c r="CG27" i="42"/>
  <c r="CD27" i="42"/>
  <c r="CA27" i="42"/>
  <c r="BX27" i="42"/>
  <c r="BU27" i="42"/>
  <c r="BR27" i="42"/>
  <c r="BO27" i="42"/>
  <c r="BL27" i="42"/>
  <c r="BI27" i="42"/>
  <c r="BF27" i="42"/>
  <c r="BC27" i="42"/>
  <c r="AZ27" i="42"/>
  <c r="AW27" i="42"/>
  <c r="AT27" i="42"/>
  <c r="AO27" i="42"/>
  <c r="AQ27" i="42" s="1"/>
  <c r="AL27" i="42"/>
  <c r="AN27" i="42" s="1"/>
  <c r="AI27" i="42"/>
  <c r="AK27" i="42" s="1"/>
  <c r="AB27" i="42"/>
  <c r="Y27" i="42"/>
  <c r="EH27" i="42" s="1"/>
  <c r="V27" i="42"/>
  <c r="S27" i="42"/>
  <c r="P27" i="42"/>
  <c r="M27" i="42"/>
  <c r="ED27" i="42" s="1"/>
  <c r="J27" i="42"/>
  <c r="G27" i="42"/>
  <c r="D27" i="42"/>
  <c r="EL26" i="42"/>
  <c r="EK26" i="42"/>
  <c r="EI26" i="42"/>
  <c r="EG26" i="42"/>
  <c r="DW26" i="42"/>
  <c r="DT26" i="42"/>
  <c r="DQ26" i="42"/>
  <c r="DN26" i="42"/>
  <c r="DK26" i="42"/>
  <c r="DH26" i="42"/>
  <c r="DE26" i="42"/>
  <c r="DB26" i="42"/>
  <c r="CY26" i="42"/>
  <c r="CV26" i="42"/>
  <c r="CS26" i="42"/>
  <c r="CP26" i="42"/>
  <c r="CM26" i="42"/>
  <c r="CJ26" i="42"/>
  <c r="CG26" i="42"/>
  <c r="CD26" i="42"/>
  <c r="CA26" i="42"/>
  <c r="BX26" i="42"/>
  <c r="BU26" i="42"/>
  <c r="BR26" i="42"/>
  <c r="BO26" i="42"/>
  <c r="BL26" i="42"/>
  <c r="BI26" i="42"/>
  <c r="BF26" i="42"/>
  <c r="BC26" i="42"/>
  <c r="AZ26" i="42"/>
  <c r="AW26" i="42"/>
  <c r="AT26" i="42"/>
  <c r="AQ26" i="42"/>
  <c r="AO26" i="42"/>
  <c r="AL26" i="42"/>
  <c r="EB26" i="42" s="1"/>
  <c r="AK26" i="42"/>
  <c r="AI26" i="42"/>
  <c r="AB26" i="42"/>
  <c r="Y26" i="42"/>
  <c r="V26" i="42"/>
  <c r="S26" i="42"/>
  <c r="EH26" i="42" s="1"/>
  <c r="P26" i="42"/>
  <c r="M26" i="42"/>
  <c r="J26" i="42"/>
  <c r="G26" i="42"/>
  <c r="D26" i="42"/>
  <c r="EL25" i="42"/>
  <c r="EG25" i="42"/>
  <c r="EI25" i="42" s="1"/>
  <c r="EB25" i="42"/>
  <c r="DW25" i="42"/>
  <c r="DT25" i="42"/>
  <c r="DQ25" i="42"/>
  <c r="DN25" i="42"/>
  <c r="DK25" i="42"/>
  <c r="DH25" i="42"/>
  <c r="DE25" i="42"/>
  <c r="DB25" i="42"/>
  <c r="CY25" i="42"/>
  <c r="CV25" i="42"/>
  <c r="CS25" i="42"/>
  <c r="CP25" i="42"/>
  <c r="CM25" i="42"/>
  <c r="CJ25" i="42"/>
  <c r="CG25" i="42"/>
  <c r="CD25" i="42"/>
  <c r="CA25" i="42"/>
  <c r="BX25" i="42"/>
  <c r="BU25" i="42"/>
  <c r="BR25" i="42"/>
  <c r="BO25" i="42"/>
  <c r="BL25" i="42"/>
  <c r="BI25" i="42"/>
  <c r="BF25" i="42"/>
  <c r="BC25" i="42"/>
  <c r="AZ25" i="42"/>
  <c r="AW25" i="42"/>
  <c r="AT25" i="42"/>
  <c r="AO25" i="42"/>
  <c r="AQ25" i="42" s="1"/>
  <c r="AL25" i="42"/>
  <c r="AK25" i="42"/>
  <c r="AB25" i="42"/>
  <c r="Y25" i="42"/>
  <c r="V25" i="42"/>
  <c r="S25" i="42"/>
  <c r="EH25" i="42" s="1"/>
  <c r="P25" i="42"/>
  <c r="M25" i="42"/>
  <c r="J25" i="42"/>
  <c r="G25" i="42"/>
  <c r="D25" i="42"/>
  <c r="EL24" i="42"/>
  <c r="EG24" i="42"/>
  <c r="EI24" i="42" s="1"/>
  <c r="EB24" i="42"/>
  <c r="DW24" i="42"/>
  <c r="DT24" i="42"/>
  <c r="DQ24" i="42"/>
  <c r="DN24" i="42"/>
  <c r="DK24" i="42"/>
  <c r="DH24" i="42"/>
  <c r="DE24" i="42"/>
  <c r="DB24" i="42"/>
  <c r="CY24" i="42"/>
  <c r="CV24" i="42"/>
  <c r="CS24" i="42"/>
  <c r="CP24" i="42"/>
  <c r="CM24" i="42"/>
  <c r="CJ24" i="42"/>
  <c r="CG24" i="42"/>
  <c r="CD24" i="42"/>
  <c r="CA24" i="42"/>
  <c r="BX24" i="42"/>
  <c r="BU24" i="42"/>
  <c r="BR24" i="42"/>
  <c r="BO24" i="42"/>
  <c r="BL24" i="42"/>
  <c r="BI24" i="42"/>
  <c r="BF24" i="42"/>
  <c r="BC24" i="42"/>
  <c r="AZ24" i="42"/>
  <c r="AW24" i="42"/>
  <c r="AT24" i="42"/>
  <c r="AO24" i="42"/>
  <c r="AQ24" i="42" s="1"/>
  <c r="AN24" i="42"/>
  <c r="AK24" i="42"/>
  <c r="AI24" i="42"/>
  <c r="EK24" i="42" s="1"/>
  <c r="AB24" i="42"/>
  <c r="Y24" i="42"/>
  <c r="V24" i="42"/>
  <c r="S24" i="42"/>
  <c r="EH24" i="42" s="1"/>
  <c r="P24" i="42"/>
  <c r="M24" i="42"/>
  <c r="J24" i="42"/>
  <c r="G24" i="42"/>
  <c r="D24" i="42"/>
  <c r="ED24" i="42" s="1"/>
  <c r="EL23" i="42"/>
  <c r="EK23" i="42"/>
  <c r="EG23" i="42"/>
  <c r="EI23" i="42" s="1"/>
  <c r="EB23" i="42"/>
  <c r="DW23" i="42"/>
  <c r="DT23" i="42"/>
  <c r="DQ23" i="42"/>
  <c r="DN23" i="42"/>
  <c r="EM23" i="42" s="1"/>
  <c r="DK23" i="42"/>
  <c r="DH23" i="42"/>
  <c r="DE23" i="42"/>
  <c r="DB23" i="42"/>
  <c r="CY23" i="42"/>
  <c r="CV23" i="42"/>
  <c r="CS23" i="42"/>
  <c r="CP23" i="42"/>
  <c r="CM23" i="42"/>
  <c r="CJ23" i="42"/>
  <c r="CG23" i="42"/>
  <c r="CD23" i="42"/>
  <c r="CA23" i="42"/>
  <c r="BX23" i="42"/>
  <c r="BU23" i="42"/>
  <c r="BR23" i="42"/>
  <c r="BO23" i="42"/>
  <c r="BL23" i="42"/>
  <c r="BI23" i="42"/>
  <c r="BF23" i="42"/>
  <c r="BC23" i="42"/>
  <c r="AZ23" i="42"/>
  <c r="AW23" i="42"/>
  <c r="AT23" i="42"/>
  <c r="AQ23" i="42"/>
  <c r="AO23" i="42"/>
  <c r="AN23" i="42"/>
  <c r="AK23" i="42"/>
  <c r="AB23" i="42"/>
  <c r="Y23" i="42"/>
  <c r="V23" i="42"/>
  <c r="S23" i="42"/>
  <c r="EH23" i="42" s="1"/>
  <c r="P23" i="42"/>
  <c r="M23" i="42"/>
  <c r="J23" i="42"/>
  <c r="G23" i="42"/>
  <c r="D23" i="42"/>
  <c r="EL22" i="42"/>
  <c r="EI22" i="42"/>
  <c r="EG22" i="42"/>
  <c r="DW22" i="42"/>
  <c r="DT22" i="42"/>
  <c r="DQ22" i="42"/>
  <c r="DN22" i="42"/>
  <c r="DK22" i="42"/>
  <c r="DH22" i="42"/>
  <c r="DE22" i="42"/>
  <c r="DB22" i="42"/>
  <c r="CY22" i="42"/>
  <c r="CV22" i="42"/>
  <c r="CS22" i="42"/>
  <c r="CP22" i="42"/>
  <c r="CM22" i="42"/>
  <c r="CJ22" i="42"/>
  <c r="CG22" i="42"/>
  <c r="CD22" i="42"/>
  <c r="CA22" i="42"/>
  <c r="BX22" i="42"/>
  <c r="BU22" i="42"/>
  <c r="BR22" i="42"/>
  <c r="BO22" i="42"/>
  <c r="BL22" i="42"/>
  <c r="BI22" i="42"/>
  <c r="BF22" i="42"/>
  <c r="BC22" i="42"/>
  <c r="AZ22" i="42"/>
  <c r="AW22" i="42"/>
  <c r="AT22" i="42"/>
  <c r="AQ22" i="42"/>
  <c r="AO22" i="42"/>
  <c r="AN22" i="42"/>
  <c r="AI22" i="42"/>
  <c r="EK22" i="42" s="1"/>
  <c r="AB22" i="42"/>
  <c r="Y22" i="42"/>
  <c r="EH22" i="42" s="1"/>
  <c r="V22" i="42"/>
  <c r="S22" i="42"/>
  <c r="P22" i="42"/>
  <c r="M22" i="42"/>
  <c r="J22" i="42"/>
  <c r="G22" i="42"/>
  <c r="D22" i="42"/>
  <c r="EL21" i="42"/>
  <c r="EK21" i="42"/>
  <c r="EI21" i="42"/>
  <c r="EG21" i="42"/>
  <c r="DW21" i="42"/>
  <c r="DT21" i="42"/>
  <c r="DQ21" i="42"/>
  <c r="DN21" i="42"/>
  <c r="DK21" i="42"/>
  <c r="DH21" i="42"/>
  <c r="DE21" i="42"/>
  <c r="DB21" i="42"/>
  <c r="CY21" i="42"/>
  <c r="CV21" i="42"/>
  <c r="CS21" i="42"/>
  <c r="CP21" i="42"/>
  <c r="CM21" i="42"/>
  <c r="CJ21" i="42"/>
  <c r="CG21" i="42"/>
  <c r="CD21" i="42"/>
  <c r="CA21" i="42"/>
  <c r="BX21" i="42"/>
  <c r="BU21" i="42"/>
  <c r="BR21" i="42"/>
  <c r="BO21" i="42"/>
  <c r="BL21" i="42"/>
  <c r="BI21" i="42"/>
  <c r="BF21" i="42"/>
  <c r="BC21" i="42"/>
  <c r="AZ21" i="42"/>
  <c r="AW21" i="42"/>
  <c r="AT21" i="42"/>
  <c r="AQ21" i="42"/>
  <c r="AO21" i="42"/>
  <c r="AN21" i="42"/>
  <c r="AI21" i="42"/>
  <c r="AB21" i="42"/>
  <c r="Y21" i="42"/>
  <c r="EH21" i="42" s="1"/>
  <c r="V21" i="42"/>
  <c r="S21" i="42"/>
  <c r="P21" i="42"/>
  <c r="M21" i="42"/>
  <c r="J21" i="42"/>
  <c r="G21" i="42"/>
  <c r="D21" i="42"/>
  <c r="EL20" i="42"/>
  <c r="EK20" i="42"/>
  <c r="EI20" i="42"/>
  <c r="EG20" i="42"/>
  <c r="DW20" i="42"/>
  <c r="DT20" i="42"/>
  <c r="DQ20" i="42"/>
  <c r="DN20" i="42"/>
  <c r="DK20" i="42"/>
  <c r="DH20" i="42"/>
  <c r="DE20" i="42"/>
  <c r="DB20" i="42"/>
  <c r="CY20" i="42"/>
  <c r="CV20" i="42"/>
  <c r="CS20" i="42"/>
  <c r="CP20" i="42"/>
  <c r="CM20" i="42"/>
  <c r="CJ20" i="42"/>
  <c r="CG20" i="42"/>
  <c r="CD20" i="42"/>
  <c r="CA20" i="42"/>
  <c r="BX20" i="42"/>
  <c r="BU20" i="42"/>
  <c r="BR20" i="42"/>
  <c r="BO20" i="42"/>
  <c r="BL20" i="42"/>
  <c r="BI20" i="42"/>
  <c r="BF20" i="42"/>
  <c r="BC20" i="42"/>
  <c r="AZ20" i="42"/>
  <c r="AW20" i="42"/>
  <c r="AT20" i="42"/>
  <c r="AQ20" i="42"/>
  <c r="AO20" i="42"/>
  <c r="AN20" i="42"/>
  <c r="AI20" i="42"/>
  <c r="AB20" i="42"/>
  <c r="Y20" i="42"/>
  <c r="EH20" i="42" s="1"/>
  <c r="V20" i="42"/>
  <c r="S20" i="42"/>
  <c r="P20" i="42"/>
  <c r="M20" i="42"/>
  <c r="J20" i="42"/>
  <c r="G20" i="42"/>
  <c r="D20" i="42"/>
  <c r="EL19" i="42"/>
  <c r="EI19" i="42"/>
  <c r="EG19" i="42"/>
  <c r="DW19" i="42"/>
  <c r="DT19" i="42"/>
  <c r="DQ19" i="42"/>
  <c r="DN19" i="42"/>
  <c r="DK19" i="42"/>
  <c r="DH19" i="42"/>
  <c r="DE19" i="42"/>
  <c r="DB19" i="42"/>
  <c r="CY19" i="42"/>
  <c r="CV19" i="42"/>
  <c r="CS19" i="42"/>
  <c r="CP19" i="42"/>
  <c r="CM19" i="42"/>
  <c r="CJ19" i="42"/>
  <c r="CG19" i="42"/>
  <c r="CD19" i="42"/>
  <c r="CA19" i="42"/>
  <c r="BX19" i="42"/>
  <c r="BU19" i="42"/>
  <c r="BR19" i="42"/>
  <c r="BO19" i="42"/>
  <c r="BL19" i="42"/>
  <c r="BI19" i="42"/>
  <c r="BF19" i="42"/>
  <c r="BC19" i="42"/>
  <c r="AZ19" i="42"/>
  <c r="AW19" i="42"/>
  <c r="AT19" i="42"/>
  <c r="AQ19" i="42"/>
  <c r="AO19" i="42"/>
  <c r="AN19" i="42"/>
  <c r="AI19" i="42"/>
  <c r="AB19" i="42"/>
  <c r="Y19" i="42"/>
  <c r="EH19" i="42" s="1"/>
  <c r="V19" i="42"/>
  <c r="S19" i="42"/>
  <c r="P19" i="42"/>
  <c r="M19" i="42"/>
  <c r="J19" i="42"/>
  <c r="G19" i="42"/>
  <c r="D19" i="42"/>
  <c r="EL18" i="42"/>
  <c r="EI18" i="42"/>
  <c r="EG18" i="42"/>
  <c r="DW18" i="42"/>
  <c r="DT18" i="42"/>
  <c r="DQ18" i="42"/>
  <c r="DN18" i="42"/>
  <c r="DK18" i="42"/>
  <c r="DH18" i="42"/>
  <c r="DE18" i="42"/>
  <c r="DB18" i="42"/>
  <c r="CY18" i="42"/>
  <c r="CV18" i="42"/>
  <c r="CS18" i="42"/>
  <c r="CP18" i="42"/>
  <c r="CM18" i="42"/>
  <c r="CJ18" i="42"/>
  <c r="CG18" i="42"/>
  <c r="CD18" i="42"/>
  <c r="CA18" i="42"/>
  <c r="BX18" i="42"/>
  <c r="BU18" i="42"/>
  <c r="BR18" i="42"/>
  <c r="BO18" i="42"/>
  <c r="BL18" i="42"/>
  <c r="BI18" i="42"/>
  <c r="BF18" i="42"/>
  <c r="BC18" i="42"/>
  <c r="AZ18" i="42"/>
  <c r="AW18" i="42"/>
  <c r="AT18" i="42"/>
  <c r="AQ18" i="42"/>
  <c r="AO18" i="42"/>
  <c r="AN18" i="42"/>
  <c r="AI18" i="42"/>
  <c r="AB18" i="42"/>
  <c r="Y18" i="42"/>
  <c r="EH18" i="42" s="1"/>
  <c r="V18" i="42"/>
  <c r="S18" i="42"/>
  <c r="P18" i="42"/>
  <c r="M18" i="42"/>
  <c r="J18" i="42"/>
  <c r="G18" i="42"/>
  <c r="D18" i="42"/>
  <c r="EL17" i="42"/>
  <c r="EK17" i="42"/>
  <c r="EI17" i="42"/>
  <c r="EG17" i="42"/>
  <c r="DW17" i="42"/>
  <c r="DT17" i="42"/>
  <c r="DQ17" i="42"/>
  <c r="DN17" i="42"/>
  <c r="DK17" i="42"/>
  <c r="DH17" i="42"/>
  <c r="DE17" i="42"/>
  <c r="DB17" i="42"/>
  <c r="CY17" i="42"/>
  <c r="CV17" i="42"/>
  <c r="CS17" i="42"/>
  <c r="CP17" i="42"/>
  <c r="CM17" i="42"/>
  <c r="CJ17" i="42"/>
  <c r="CG17" i="42"/>
  <c r="CD17" i="42"/>
  <c r="CA17" i="42"/>
  <c r="BX17" i="42"/>
  <c r="BU17" i="42"/>
  <c r="BR17" i="42"/>
  <c r="BO17" i="42"/>
  <c r="BL17" i="42"/>
  <c r="BI17" i="42"/>
  <c r="BF17" i="42"/>
  <c r="BC17" i="42"/>
  <c r="AZ17" i="42"/>
  <c r="AW17" i="42"/>
  <c r="AT17" i="42"/>
  <c r="AQ17" i="42"/>
  <c r="AO17" i="42"/>
  <c r="AN17" i="42"/>
  <c r="AI17" i="42"/>
  <c r="AB17" i="42"/>
  <c r="Y17" i="42"/>
  <c r="EH17" i="42" s="1"/>
  <c r="V17" i="42"/>
  <c r="S17" i="42"/>
  <c r="P17" i="42"/>
  <c r="M17" i="42"/>
  <c r="J17" i="42"/>
  <c r="G17" i="42"/>
  <c r="D17" i="42"/>
  <c r="EL16" i="42"/>
  <c r="EK16" i="42"/>
  <c r="EI16" i="42"/>
  <c r="EG16" i="42"/>
  <c r="DW16" i="42"/>
  <c r="DT16" i="42"/>
  <c r="DQ16" i="42"/>
  <c r="DN16" i="42"/>
  <c r="DK16" i="42"/>
  <c r="DH16" i="42"/>
  <c r="DE16" i="42"/>
  <c r="DB16" i="42"/>
  <c r="CY16" i="42"/>
  <c r="CV16" i="42"/>
  <c r="CS16" i="42"/>
  <c r="CP16" i="42"/>
  <c r="CM16" i="42"/>
  <c r="CJ16" i="42"/>
  <c r="CG16" i="42"/>
  <c r="CD16" i="42"/>
  <c r="CA16" i="42"/>
  <c r="BX16" i="42"/>
  <c r="BU16" i="42"/>
  <c r="BR16" i="42"/>
  <c r="BO16" i="42"/>
  <c r="BL16" i="42"/>
  <c r="BI16" i="42"/>
  <c r="BF16" i="42"/>
  <c r="BC16" i="42"/>
  <c r="AZ16" i="42"/>
  <c r="AW16" i="42"/>
  <c r="AT16" i="42"/>
  <c r="AQ16" i="42"/>
  <c r="AO16" i="42"/>
  <c r="AN16" i="42"/>
  <c r="AI16" i="42"/>
  <c r="AB16" i="42"/>
  <c r="Y16" i="42"/>
  <c r="EH16" i="42" s="1"/>
  <c r="V16" i="42"/>
  <c r="S16" i="42"/>
  <c r="P16" i="42"/>
  <c r="M16" i="42"/>
  <c r="J16" i="42"/>
  <c r="G16" i="42"/>
  <c r="D16" i="42"/>
  <c r="EL15" i="42"/>
  <c r="EI15" i="42"/>
  <c r="EG15" i="42"/>
  <c r="DW15" i="42"/>
  <c r="DT15" i="42"/>
  <c r="DQ15" i="42"/>
  <c r="DN15" i="42"/>
  <c r="DK15" i="42"/>
  <c r="DH15" i="42"/>
  <c r="DE15" i="42"/>
  <c r="DB15" i="42"/>
  <c r="CY15" i="42"/>
  <c r="CV15" i="42"/>
  <c r="CS15" i="42"/>
  <c r="CP15" i="42"/>
  <c r="CM15" i="42"/>
  <c r="CJ15" i="42"/>
  <c r="CG15" i="42"/>
  <c r="CD15" i="42"/>
  <c r="CA15" i="42"/>
  <c r="BX15" i="42"/>
  <c r="BU15" i="42"/>
  <c r="BR15" i="42"/>
  <c r="BO15" i="42"/>
  <c r="BL15" i="42"/>
  <c r="BI15" i="42"/>
  <c r="BF15" i="42"/>
  <c r="BC15" i="42"/>
  <c r="AZ15" i="42"/>
  <c r="AW15" i="42"/>
  <c r="AT15" i="42"/>
  <c r="AQ15" i="42"/>
  <c r="AO15" i="42"/>
  <c r="AN15" i="42"/>
  <c r="AI15" i="42"/>
  <c r="EK15" i="42" s="1"/>
  <c r="AB15" i="42"/>
  <c r="Y15" i="42"/>
  <c r="EH15" i="42" s="1"/>
  <c r="V15" i="42"/>
  <c r="S15" i="42"/>
  <c r="P15" i="42"/>
  <c r="M15" i="42"/>
  <c r="J15" i="42"/>
  <c r="G15" i="42"/>
  <c r="D15" i="42"/>
  <c r="EL14" i="42"/>
  <c r="EI14" i="42"/>
  <c r="EG14" i="42"/>
  <c r="EB14" i="42"/>
  <c r="DW14" i="42"/>
  <c r="DT14" i="42"/>
  <c r="DQ14" i="42"/>
  <c r="DN14" i="42"/>
  <c r="DK14" i="42"/>
  <c r="DH14" i="42"/>
  <c r="DE14" i="42"/>
  <c r="DB14" i="42"/>
  <c r="CY14" i="42"/>
  <c r="CV14" i="42"/>
  <c r="CS14" i="42"/>
  <c r="CP14" i="42"/>
  <c r="CM14" i="42"/>
  <c r="CJ14" i="42"/>
  <c r="CG14" i="42"/>
  <c r="CD14" i="42"/>
  <c r="CA14" i="42"/>
  <c r="BX14" i="42"/>
  <c r="BU14" i="42"/>
  <c r="BR14" i="42"/>
  <c r="BO14" i="42"/>
  <c r="BL14" i="42"/>
  <c r="BI14" i="42"/>
  <c r="BF14" i="42"/>
  <c r="BC14" i="42"/>
  <c r="AZ14" i="42"/>
  <c r="AW14" i="42"/>
  <c r="AT14" i="42"/>
  <c r="AQ14" i="42"/>
  <c r="AO14" i="42"/>
  <c r="AL14" i="42"/>
  <c r="AN14" i="42" s="1"/>
  <c r="AK14" i="42"/>
  <c r="AI14" i="42"/>
  <c r="AB14" i="42"/>
  <c r="Y14" i="42"/>
  <c r="V14" i="42"/>
  <c r="S14" i="42"/>
  <c r="EH14" i="42" s="1"/>
  <c r="P14" i="42"/>
  <c r="M14" i="42"/>
  <c r="J14" i="42"/>
  <c r="G14" i="42"/>
  <c r="D14" i="42"/>
  <c r="EL13" i="42"/>
  <c r="EG13" i="42"/>
  <c r="DW13" i="42"/>
  <c r="DT13" i="42"/>
  <c r="DQ13" i="42"/>
  <c r="DN13" i="42"/>
  <c r="DN41" i="42" s="1"/>
  <c r="DK13" i="42"/>
  <c r="DH13" i="42"/>
  <c r="DE13" i="42"/>
  <c r="DB13" i="42"/>
  <c r="CY13" i="42"/>
  <c r="CV13" i="42"/>
  <c r="CS13" i="42"/>
  <c r="CP13" i="42"/>
  <c r="CP41" i="42" s="1"/>
  <c r="CM13" i="42"/>
  <c r="CJ13" i="42"/>
  <c r="CG13" i="42"/>
  <c r="CD13" i="42"/>
  <c r="CA13" i="42"/>
  <c r="BX13" i="42"/>
  <c r="BU13" i="42"/>
  <c r="BR13" i="42"/>
  <c r="BR41" i="42" s="1"/>
  <c r="BO13" i="42"/>
  <c r="BL13" i="42"/>
  <c r="BI13" i="42"/>
  <c r="BF13" i="42"/>
  <c r="BC13" i="42"/>
  <c r="AZ13" i="42"/>
  <c r="AW13" i="42"/>
  <c r="AT13" i="42"/>
  <c r="AT41" i="42" s="1"/>
  <c r="AQ13" i="42"/>
  <c r="AO13" i="42"/>
  <c r="AN13" i="42"/>
  <c r="AL13" i="42"/>
  <c r="EK13" i="42" s="1"/>
  <c r="AK13" i="42"/>
  <c r="AI13" i="42"/>
  <c r="AB13" i="42"/>
  <c r="Y13" i="42"/>
  <c r="V13" i="42"/>
  <c r="S13" i="42"/>
  <c r="P13" i="42"/>
  <c r="M13" i="42"/>
  <c r="J13" i="42"/>
  <c r="G13" i="42"/>
  <c r="D13" i="42"/>
  <c r="EL12" i="42"/>
  <c r="EI12" i="42"/>
  <c r="EG12" i="42"/>
  <c r="DW12" i="42"/>
  <c r="DT12" i="42"/>
  <c r="DQ12" i="42"/>
  <c r="DQ41" i="42" s="1"/>
  <c r="DN12" i="42"/>
  <c r="DK12" i="42"/>
  <c r="DH12" i="42"/>
  <c r="DE12" i="42"/>
  <c r="DB12" i="42"/>
  <c r="CY12" i="42"/>
  <c r="CV12" i="42"/>
  <c r="CS12" i="42"/>
  <c r="CS41" i="42" s="1"/>
  <c r="CP12" i="42"/>
  <c r="CM12" i="42"/>
  <c r="CJ12" i="42"/>
  <c r="CG12" i="42"/>
  <c r="CD12" i="42"/>
  <c r="CA12" i="42"/>
  <c r="BX12" i="42"/>
  <c r="BU12" i="42"/>
  <c r="BU41" i="42" s="1"/>
  <c r="BR12" i="42"/>
  <c r="BO12" i="42"/>
  <c r="BL12" i="42"/>
  <c r="BI12" i="42"/>
  <c r="BF12" i="42"/>
  <c r="BC12" i="42"/>
  <c r="AZ12" i="42"/>
  <c r="AW12" i="42"/>
  <c r="AW41" i="42" s="1"/>
  <c r="AT12" i="42"/>
  <c r="AO12" i="42"/>
  <c r="AN12" i="42"/>
  <c r="AL12" i="42"/>
  <c r="AK12" i="42"/>
  <c r="AI12" i="42"/>
  <c r="AH41" i="42"/>
  <c r="AB12" i="42"/>
  <c r="Y12" i="42"/>
  <c r="V12" i="42"/>
  <c r="EH12" i="42" s="1"/>
  <c r="S12" i="42"/>
  <c r="P12" i="42"/>
  <c r="M12" i="42"/>
  <c r="J12" i="42"/>
  <c r="J41" i="42" s="1"/>
  <c r="G12" i="42"/>
  <c r="D12" i="42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EL11" i="42"/>
  <c r="EI11" i="42"/>
  <c r="EG11" i="42"/>
  <c r="DW11" i="42"/>
  <c r="DT11" i="42"/>
  <c r="DQ11" i="42"/>
  <c r="DN11" i="42"/>
  <c r="DK11" i="42"/>
  <c r="DK41" i="42" s="1"/>
  <c r="DH11" i="42"/>
  <c r="DE11" i="42"/>
  <c r="DE41" i="42" s="1"/>
  <c r="DB11" i="42"/>
  <c r="CY11" i="42"/>
  <c r="CV11" i="42"/>
  <c r="CV41" i="42" s="1"/>
  <c r="CS11" i="42"/>
  <c r="CP11" i="42"/>
  <c r="CM11" i="42"/>
  <c r="CM41" i="42" s="1"/>
  <c r="CJ11" i="42"/>
  <c r="CG11" i="42"/>
  <c r="CG41" i="42" s="1"/>
  <c r="CD11" i="42"/>
  <c r="CA11" i="42"/>
  <c r="BX11" i="42"/>
  <c r="BX41" i="42" s="1"/>
  <c r="BU11" i="42"/>
  <c r="BR11" i="42"/>
  <c r="BO11" i="42"/>
  <c r="BO41" i="42" s="1"/>
  <c r="BL11" i="42"/>
  <c r="BI11" i="42"/>
  <c r="BI41" i="42" s="1"/>
  <c r="BF11" i="42"/>
  <c r="BC11" i="42"/>
  <c r="AZ11" i="42"/>
  <c r="AZ41" i="42" s="1"/>
  <c r="AW11" i="42"/>
  <c r="AT11" i="42"/>
  <c r="AQ11" i="42"/>
  <c r="AO11" i="42"/>
  <c r="EK11" i="42" s="1"/>
  <c r="AN11" i="42"/>
  <c r="AL11" i="42"/>
  <c r="AI11" i="42"/>
  <c r="AK11" i="42" s="1"/>
  <c r="AE41" i="42"/>
  <c r="AB11" i="42"/>
  <c r="AB41" i="42" s="1"/>
  <c r="Y11" i="42"/>
  <c r="Y41" i="42" s="1"/>
  <c r="V11" i="42"/>
  <c r="S11" i="42"/>
  <c r="S41" i="42" s="1"/>
  <c r="P11" i="42"/>
  <c r="M11" i="42"/>
  <c r="J11" i="42"/>
  <c r="G11" i="42"/>
  <c r="G41" i="42" s="1"/>
  <c r="D11" i="42"/>
  <c r="EN2" i="42"/>
  <c r="EP2" i="42" s="1"/>
  <c r="EI2" i="42"/>
  <c r="CD41" i="42" l="1"/>
  <c r="ED13" i="42"/>
  <c r="EB21" i="42"/>
  <c r="AK21" i="42"/>
  <c r="EN23" i="42"/>
  <c r="EK31" i="42"/>
  <c r="AQ31" i="42"/>
  <c r="ED31" i="42" s="1"/>
  <c r="EE31" i="42" s="1"/>
  <c r="EM35" i="42"/>
  <c r="EE2" i="42"/>
  <c r="EQ2" i="42" s="1"/>
  <c r="G4" i="42" s="1"/>
  <c r="DB41" i="42"/>
  <c r="D41" i="42"/>
  <c r="EB12" i="42"/>
  <c r="EM13" i="42"/>
  <c r="EK14" i="42"/>
  <c r="EB20" i="42"/>
  <c r="AK20" i="42"/>
  <c r="EM24" i="42"/>
  <c r="EM30" i="42"/>
  <c r="EC36" i="42"/>
  <c r="EH39" i="42"/>
  <c r="EK39" i="42"/>
  <c r="AQ39" i="42"/>
  <c r="ED39" i="42" s="1"/>
  <c r="EC26" i="42"/>
  <c r="ED29" i="42"/>
  <c r="EB19" i="42"/>
  <c r="AK19" i="42"/>
  <c r="EM19" i="42" s="1"/>
  <c r="EM11" i="42"/>
  <c r="DT41" i="42"/>
  <c r="EK12" i="42"/>
  <c r="EN12" i="42" s="1"/>
  <c r="AQ12" i="42"/>
  <c r="EM12" i="42" s="1"/>
  <c r="ED23" i="42"/>
  <c r="EM28" i="42"/>
  <c r="EN28" i="42" s="1"/>
  <c r="EM31" i="42"/>
  <c r="ED35" i="42"/>
  <c r="V41" i="42"/>
  <c r="ED14" i="42"/>
  <c r="EE14" i="42" s="1"/>
  <c r="EM16" i="42"/>
  <c r="EN16" i="42" s="1"/>
  <c r="AK18" i="42"/>
  <c r="ED18" i="42" s="1"/>
  <c r="EB18" i="42"/>
  <c r="M41" i="42"/>
  <c r="BC41" i="42"/>
  <c r="CA41" i="42"/>
  <c r="CY41" i="42"/>
  <c r="DW41" i="42"/>
  <c r="EM14" i="42"/>
  <c r="EB17" i="42"/>
  <c r="AK17" i="42"/>
  <c r="EM17" i="42" s="1"/>
  <c r="EN17" i="42" s="1"/>
  <c r="EK19" i="42"/>
  <c r="EK25" i="42"/>
  <c r="EC25" i="42" s="1"/>
  <c r="AN25" i="42"/>
  <c r="ED25" i="42" s="1"/>
  <c r="EE25" i="42" s="1"/>
  <c r="EM29" i="42"/>
  <c r="EN29" i="42" s="1"/>
  <c r="EM39" i="42"/>
  <c r="P41" i="42"/>
  <c r="EB11" i="42"/>
  <c r="BF41" i="42"/>
  <c r="ED11" i="42"/>
  <c r="EH13" i="42"/>
  <c r="EN13" i="42"/>
  <c r="EB13" i="42"/>
  <c r="AK16" i="42"/>
  <c r="ED16" i="42" s="1"/>
  <c r="EB16" i="42"/>
  <c r="EK18" i="42"/>
  <c r="ED21" i="42"/>
  <c r="EN24" i="42"/>
  <c r="EE24" i="42"/>
  <c r="EC24" i="42"/>
  <c r="EM27" i="42"/>
  <c r="EH30" i="42"/>
  <c r="EE30" i="42"/>
  <c r="ED36" i="42"/>
  <c r="EE36" i="42" s="1"/>
  <c r="ED37" i="42"/>
  <c r="EM38" i="42"/>
  <c r="EN38" i="42" s="1"/>
  <c r="EC14" i="42"/>
  <c r="AK15" i="42"/>
  <c r="AK41" i="42" s="1"/>
  <c r="EB15" i="42"/>
  <c r="ED20" i="42"/>
  <c r="EM21" i="42"/>
  <c r="EN21" i="42" s="1"/>
  <c r="EE23" i="42"/>
  <c r="EC23" i="42"/>
  <c r="EM25" i="42"/>
  <c r="EE28" i="42"/>
  <c r="EC28" i="42"/>
  <c r="EC31" i="42"/>
  <c r="EN34" i="42"/>
  <c r="EM36" i="42"/>
  <c r="EN36" i="42" s="1"/>
  <c r="BL41" i="42"/>
  <c r="CJ41" i="42"/>
  <c r="DH41" i="42"/>
  <c r="EI13" i="42"/>
  <c r="EI5" i="42"/>
  <c r="EI3" i="42"/>
  <c r="EI4" i="42" s="1"/>
  <c r="ED19" i="42"/>
  <c r="EM20" i="42"/>
  <c r="EN20" i="42" s="1"/>
  <c r="AK22" i="42"/>
  <c r="ED22" i="42" s="1"/>
  <c r="EB22" i="42"/>
  <c r="EN30" i="42"/>
  <c r="EK33" i="42"/>
  <c r="EC33" i="42" s="1"/>
  <c r="AN33" i="42"/>
  <c r="EM33" i="42" s="1"/>
  <c r="EE38" i="42"/>
  <c r="EC40" i="42"/>
  <c r="EK27" i="42"/>
  <c r="EN27" i="42" s="1"/>
  <c r="EB34" i="42"/>
  <c r="AN26" i="42"/>
  <c r="ED26" i="42" s="1"/>
  <c r="EE26" i="42" s="1"/>
  <c r="EB27" i="42"/>
  <c r="AQ32" i="42"/>
  <c r="EM32" i="42" s="1"/>
  <c r="EN32" i="42" s="1"/>
  <c r="EB35" i="42"/>
  <c r="AK36" i="42"/>
  <c r="AQ40" i="42"/>
  <c r="EM40" i="42" s="1"/>
  <c r="EN40" i="42" s="1"/>
  <c r="EK35" i="42"/>
  <c r="EN35" i="42" s="1"/>
  <c r="EH11" i="42"/>
  <c r="EH41" i="42" s="1"/>
  <c r="EK37" i="42"/>
  <c r="EN37" i="42" s="1"/>
  <c r="EB29" i="42"/>
  <c r="EB37" i="42"/>
  <c r="EB39" i="42"/>
  <c r="ED32" i="42" l="1"/>
  <c r="EE32" i="42" s="1"/>
  <c r="EM15" i="42"/>
  <c r="EN15" i="42" s="1"/>
  <c r="EE18" i="42"/>
  <c r="EC18" i="42"/>
  <c r="ED33" i="42"/>
  <c r="EE33" i="42" s="1"/>
  <c r="EM18" i="42"/>
  <c r="EN31" i="42"/>
  <c r="EE34" i="42"/>
  <c r="EC34" i="42"/>
  <c r="EM26" i="42"/>
  <c r="EN26" i="42" s="1"/>
  <c r="EN11" i="42"/>
  <c r="ED17" i="42"/>
  <c r="EE17" i="42" s="1"/>
  <c r="EE22" i="42"/>
  <c r="EC22" i="42"/>
  <c r="EM22" i="42"/>
  <c r="EN22" i="42" s="1"/>
  <c r="EN14" i="42"/>
  <c r="AQ41" i="42"/>
  <c r="EC15" i="42"/>
  <c r="EN25" i="42"/>
  <c r="ED15" i="42"/>
  <c r="EE15" i="42" s="1"/>
  <c r="EE19" i="42"/>
  <c r="EC19" i="42"/>
  <c r="EN18" i="42"/>
  <c r="EC11" i="42"/>
  <c r="EE5" i="42"/>
  <c r="G7" i="42" s="1"/>
  <c r="EE11" i="42"/>
  <c r="EE3" i="42"/>
  <c r="ED12" i="42"/>
  <c r="EC39" i="42"/>
  <c r="EE39" i="42"/>
  <c r="EE35" i="42"/>
  <c r="EC35" i="42"/>
  <c r="EN3" i="42"/>
  <c r="EE16" i="42"/>
  <c r="EC16" i="42"/>
  <c r="EN19" i="42"/>
  <c r="EN39" i="42"/>
  <c r="EE12" i="42"/>
  <c r="EC12" i="42"/>
  <c r="EE21" i="42"/>
  <c r="EC21" i="42"/>
  <c r="EE37" i="42"/>
  <c r="EC37" i="42"/>
  <c r="EN33" i="42"/>
  <c r="EN5" i="42"/>
  <c r="AN41" i="42"/>
  <c r="EE29" i="42"/>
  <c r="EC29" i="42"/>
  <c r="EE27" i="42"/>
  <c r="EC27" i="42"/>
  <c r="ED40" i="42"/>
  <c r="EE40" i="42" s="1"/>
  <c r="EE13" i="42"/>
  <c r="EC13" i="42"/>
  <c r="EC17" i="42"/>
  <c r="EE20" i="42"/>
  <c r="EC20" i="42"/>
  <c r="ED41" i="42" l="1"/>
  <c r="G5" i="42"/>
  <c r="EE4" i="42"/>
  <c r="G6" i="42" s="1"/>
  <c r="EN4" i="42"/>
  <c r="EM41" i="42"/>
  <c r="EM45" i="42" s="1"/>
  <c r="EL41" i="41" l="1"/>
  <c r="EI41" i="41"/>
  <c r="EG41" i="41"/>
  <c r="DW41" i="41"/>
  <c r="DT41" i="41"/>
  <c r="DQ41" i="41"/>
  <c r="DN41" i="41"/>
  <c r="DK41" i="41"/>
  <c r="DH41" i="41"/>
  <c r="DE41" i="41"/>
  <c r="DB41" i="41"/>
  <c r="CY41" i="41"/>
  <c r="CV41" i="41"/>
  <c r="CS41" i="41"/>
  <c r="CP41" i="41"/>
  <c r="CM41" i="41"/>
  <c r="CJ41" i="41"/>
  <c r="CG41" i="41"/>
  <c r="CD41" i="41"/>
  <c r="CA41" i="41"/>
  <c r="BX41" i="41"/>
  <c r="BU41" i="41"/>
  <c r="BR41" i="41"/>
  <c r="BO41" i="41"/>
  <c r="BL41" i="41"/>
  <c r="BI41" i="41"/>
  <c r="BF41" i="41"/>
  <c r="BC41" i="41"/>
  <c r="AZ41" i="41"/>
  <c r="AW41" i="41"/>
  <c r="AR41" i="41"/>
  <c r="EK41" i="41" s="1"/>
  <c r="EN2" i="41" s="1"/>
  <c r="EP2" i="41" s="1"/>
  <c r="AQ41" i="41"/>
  <c r="AO41" i="41"/>
  <c r="AN41" i="41"/>
  <c r="AL41" i="41"/>
  <c r="AK41" i="41"/>
  <c r="AI41" i="41"/>
  <c r="AB41" i="41"/>
  <c r="Y41" i="41"/>
  <c r="V41" i="41"/>
  <c r="S41" i="41"/>
  <c r="EH41" i="41" s="1"/>
  <c r="P41" i="41"/>
  <c r="M41" i="41"/>
  <c r="J41" i="41"/>
  <c r="G41" i="41"/>
  <c r="D41" i="41"/>
  <c r="EL40" i="41"/>
  <c r="EG40" i="41"/>
  <c r="EI40" i="41" s="1"/>
  <c r="EB40" i="41"/>
  <c r="EC40" i="41" s="1"/>
  <c r="DW40" i="41"/>
  <c r="DT40" i="41"/>
  <c r="DQ40" i="41"/>
  <c r="DN40" i="41"/>
  <c r="DK40" i="41"/>
  <c r="DH40" i="41"/>
  <c r="DE40" i="41"/>
  <c r="DB40" i="41"/>
  <c r="CY40" i="41"/>
  <c r="CV40" i="41"/>
  <c r="CS40" i="41"/>
  <c r="CP40" i="41"/>
  <c r="CM40" i="41"/>
  <c r="CJ40" i="41"/>
  <c r="CG40" i="41"/>
  <c r="CD40" i="41"/>
  <c r="CA40" i="41"/>
  <c r="BX40" i="41"/>
  <c r="BU40" i="41"/>
  <c r="BR40" i="41"/>
  <c r="BO40" i="41"/>
  <c r="BL40" i="41"/>
  <c r="BI40" i="41"/>
  <c r="BF40" i="41"/>
  <c r="BC40" i="41"/>
  <c r="AZ40" i="41"/>
  <c r="AW40" i="41"/>
  <c r="AT40" i="41"/>
  <c r="AR40" i="41"/>
  <c r="EK40" i="41" s="1"/>
  <c r="AQ40" i="41"/>
  <c r="AO40" i="41"/>
  <c r="AN40" i="41"/>
  <c r="AL40" i="41"/>
  <c r="AI40" i="41"/>
  <c r="AK40" i="41" s="1"/>
  <c r="AB40" i="41"/>
  <c r="Y40" i="41"/>
  <c r="V40" i="41"/>
  <c r="S40" i="41"/>
  <c r="P40" i="41"/>
  <c r="M40" i="41"/>
  <c r="J40" i="41"/>
  <c r="G40" i="41"/>
  <c r="D40" i="41"/>
  <c r="EL39" i="41"/>
  <c r="EI39" i="41"/>
  <c r="EG39" i="41"/>
  <c r="DW39" i="41"/>
  <c r="DT39" i="41"/>
  <c r="DQ39" i="41"/>
  <c r="DN39" i="41"/>
  <c r="DK39" i="41"/>
  <c r="DH39" i="41"/>
  <c r="DE39" i="41"/>
  <c r="DB39" i="41"/>
  <c r="CY39" i="41"/>
  <c r="CV39" i="41"/>
  <c r="CS39" i="41"/>
  <c r="CP39" i="41"/>
  <c r="CM39" i="41"/>
  <c r="CJ39" i="41"/>
  <c r="CG39" i="41"/>
  <c r="CD39" i="41"/>
  <c r="CA39" i="41"/>
  <c r="BX39" i="41"/>
  <c r="BU39" i="41"/>
  <c r="BR39" i="41"/>
  <c r="BO39" i="41"/>
  <c r="BL39" i="41"/>
  <c r="BI39" i="41"/>
  <c r="BF39" i="41"/>
  <c r="BC39" i="41"/>
  <c r="AZ39" i="41"/>
  <c r="AW39" i="41"/>
  <c r="AT39" i="41"/>
  <c r="AR39" i="41"/>
  <c r="AQ39" i="41"/>
  <c r="AO39" i="41"/>
  <c r="AL39" i="41"/>
  <c r="EK39" i="41" s="1"/>
  <c r="AK39" i="41"/>
  <c r="AI39" i="41"/>
  <c r="AB39" i="41"/>
  <c r="Y39" i="41"/>
  <c r="V39" i="41"/>
  <c r="S39" i="41"/>
  <c r="EH39" i="41" s="1"/>
  <c r="P39" i="41"/>
  <c r="M39" i="41"/>
  <c r="J39" i="41"/>
  <c r="G39" i="41"/>
  <c r="D39" i="41"/>
  <c r="EL38" i="41"/>
  <c r="EG38" i="41"/>
  <c r="EI38" i="41" s="1"/>
  <c r="EB38" i="41"/>
  <c r="DW38" i="41"/>
  <c r="DT38" i="41"/>
  <c r="DQ38" i="41"/>
  <c r="DN38" i="41"/>
  <c r="DK38" i="41"/>
  <c r="DH38" i="41"/>
  <c r="DE38" i="41"/>
  <c r="DB38" i="41"/>
  <c r="CY38" i="41"/>
  <c r="CV38" i="41"/>
  <c r="CS38" i="41"/>
  <c r="CP38" i="41"/>
  <c r="CM38" i="41"/>
  <c r="CJ38" i="41"/>
  <c r="CG38" i="41"/>
  <c r="CD38" i="41"/>
  <c r="CA38" i="41"/>
  <c r="BX38" i="41"/>
  <c r="BU38" i="41"/>
  <c r="BR38" i="41"/>
  <c r="BO38" i="41"/>
  <c r="BL38" i="41"/>
  <c r="BI38" i="41"/>
  <c r="BF38" i="41"/>
  <c r="BC38" i="41"/>
  <c r="AZ38" i="41"/>
  <c r="AW38" i="41"/>
  <c r="AT38" i="41"/>
  <c r="AQ38" i="41"/>
  <c r="AO38" i="41"/>
  <c r="EK38" i="41" s="1"/>
  <c r="AL38" i="41"/>
  <c r="AN38" i="41" s="1"/>
  <c r="AI38" i="41"/>
  <c r="AK38" i="41" s="1"/>
  <c r="AB38" i="41"/>
  <c r="Y38" i="41"/>
  <c r="V38" i="41"/>
  <c r="S38" i="41"/>
  <c r="EH38" i="41" s="1"/>
  <c r="P38" i="41"/>
  <c r="M38" i="41"/>
  <c r="J38" i="41"/>
  <c r="G38" i="41"/>
  <c r="D38" i="41"/>
  <c r="EM37" i="41"/>
  <c r="EL37" i="41"/>
  <c r="EK37" i="41"/>
  <c r="EG37" i="41"/>
  <c r="EI37" i="41" s="1"/>
  <c r="EC37" i="41"/>
  <c r="DW37" i="41"/>
  <c r="DT37" i="41"/>
  <c r="DQ37" i="41"/>
  <c r="DN37" i="41"/>
  <c r="DK37" i="41"/>
  <c r="DH37" i="41"/>
  <c r="DE37" i="41"/>
  <c r="DB37" i="41"/>
  <c r="CY37" i="41"/>
  <c r="CV37" i="41"/>
  <c r="CS37" i="41"/>
  <c r="CP37" i="41"/>
  <c r="CM37" i="41"/>
  <c r="CJ37" i="41"/>
  <c r="CG37" i="41"/>
  <c r="CD37" i="41"/>
  <c r="CA37" i="41"/>
  <c r="BX37" i="41"/>
  <c r="BU37" i="41"/>
  <c r="BR37" i="41"/>
  <c r="BO37" i="41"/>
  <c r="BL37" i="41"/>
  <c r="BI37" i="41"/>
  <c r="BF37" i="41"/>
  <c r="BC37" i="41"/>
  <c r="AZ37" i="41"/>
  <c r="AW37" i="41"/>
  <c r="AT37" i="41"/>
  <c r="AO37" i="41"/>
  <c r="AQ37" i="41" s="1"/>
  <c r="AN37" i="41"/>
  <c r="AL37" i="41"/>
  <c r="EB37" i="41" s="1"/>
  <c r="AK37" i="41"/>
  <c r="AI37" i="41"/>
  <c r="AB37" i="41"/>
  <c r="Y37" i="41"/>
  <c r="V37" i="41"/>
  <c r="EH37" i="41" s="1"/>
  <c r="S37" i="41"/>
  <c r="P37" i="41"/>
  <c r="M37" i="41"/>
  <c r="J37" i="41"/>
  <c r="G37" i="41"/>
  <c r="D37" i="41"/>
  <c r="EL36" i="41"/>
  <c r="EI36" i="41"/>
  <c r="EG36" i="41"/>
  <c r="DW36" i="41"/>
  <c r="DT36" i="41"/>
  <c r="DQ36" i="41"/>
  <c r="DN36" i="41"/>
  <c r="DK36" i="41"/>
  <c r="DH36" i="41"/>
  <c r="DE36" i="41"/>
  <c r="DB36" i="41"/>
  <c r="CY36" i="41"/>
  <c r="CV36" i="41"/>
  <c r="CS36" i="41"/>
  <c r="CP36" i="41"/>
  <c r="CM36" i="41"/>
  <c r="CJ36" i="41"/>
  <c r="CG36" i="41"/>
  <c r="CD36" i="41"/>
  <c r="CA36" i="41"/>
  <c r="BX36" i="41"/>
  <c r="BU36" i="41"/>
  <c r="BR36" i="41"/>
  <c r="BO36" i="41"/>
  <c r="BL36" i="41"/>
  <c r="BI36" i="41"/>
  <c r="BF36" i="41"/>
  <c r="BC36" i="41"/>
  <c r="AZ36" i="41"/>
  <c r="AW36" i="41"/>
  <c r="AT36" i="41"/>
  <c r="AO36" i="41"/>
  <c r="AL36" i="41"/>
  <c r="AN36" i="41" s="1"/>
  <c r="AI36" i="41"/>
  <c r="AK36" i="41" s="1"/>
  <c r="AB36" i="41"/>
  <c r="Y36" i="41"/>
  <c r="V36" i="41"/>
  <c r="S36" i="41"/>
  <c r="P36" i="41"/>
  <c r="M36" i="41"/>
  <c r="J36" i="41"/>
  <c r="G36" i="41"/>
  <c r="D36" i="41"/>
  <c r="EL35" i="41"/>
  <c r="EK35" i="41"/>
  <c r="EG35" i="41"/>
  <c r="EI35" i="41" s="1"/>
  <c r="DW35" i="41"/>
  <c r="DT35" i="41"/>
  <c r="DQ35" i="41"/>
  <c r="DN35" i="41"/>
  <c r="DK35" i="41"/>
  <c r="DH35" i="41"/>
  <c r="DE35" i="41"/>
  <c r="DB35" i="41"/>
  <c r="CY35" i="41"/>
  <c r="CV35" i="41"/>
  <c r="CS35" i="41"/>
  <c r="CP35" i="41"/>
  <c r="CM35" i="41"/>
  <c r="CJ35" i="41"/>
  <c r="CG35" i="41"/>
  <c r="CD35" i="41"/>
  <c r="CA35" i="41"/>
  <c r="BX35" i="41"/>
  <c r="BU35" i="41"/>
  <c r="BR35" i="41"/>
  <c r="BO35" i="41"/>
  <c r="BL35" i="41"/>
  <c r="BI35" i="41"/>
  <c r="BF35" i="41"/>
  <c r="BC35" i="41"/>
  <c r="AZ35" i="41"/>
  <c r="AW35" i="41"/>
  <c r="AT35" i="41"/>
  <c r="AQ35" i="41"/>
  <c r="AO35" i="41"/>
  <c r="AN35" i="41"/>
  <c r="AL35" i="41"/>
  <c r="EB35" i="41" s="1"/>
  <c r="EC35" i="41" s="1"/>
  <c r="AK35" i="41"/>
  <c r="AI35" i="41"/>
  <c r="AB35" i="41"/>
  <c r="Y35" i="41"/>
  <c r="V35" i="41"/>
  <c r="S35" i="41"/>
  <c r="EH35" i="41" s="1"/>
  <c r="P35" i="41"/>
  <c r="M35" i="41"/>
  <c r="J35" i="41"/>
  <c r="G35" i="41"/>
  <c r="D35" i="41"/>
  <c r="ED35" i="41" s="1"/>
  <c r="EL34" i="41"/>
  <c r="EG34" i="41"/>
  <c r="EI34" i="41" s="1"/>
  <c r="DW34" i="41"/>
  <c r="DT34" i="41"/>
  <c r="DQ34" i="41"/>
  <c r="DN34" i="41"/>
  <c r="DK34" i="41"/>
  <c r="DH34" i="41"/>
  <c r="DE34" i="41"/>
  <c r="DB34" i="41"/>
  <c r="CY34" i="41"/>
  <c r="CV34" i="41"/>
  <c r="CS34" i="41"/>
  <c r="CP34" i="41"/>
  <c r="CM34" i="41"/>
  <c r="CJ34" i="41"/>
  <c r="CG34" i="41"/>
  <c r="CD34" i="41"/>
  <c r="CA34" i="41"/>
  <c r="BX34" i="41"/>
  <c r="BU34" i="41"/>
  <c r="BR34" i="41"/>
  <c r="BO34" i="41"/>
  <c r="BL34" i="41"/>
  <c r="BI34" i="41"/>
  <c r="BF34" i="41"/>
  <c r="BC34" i="41"/>
  <c r="AZ34" i="41"/>
  <c r="AW34" i="41"/>
  <c r="AT34" i="41"/>
  <c r="AO34" i="41"/>
  <c r="EK34" i="41" s="1"/>
  <c r="AL34" i="41"/>
  <c r="AN34" i="41" s="1"/>
  <c r="AK34" i="41"/>
  <c r="AI34" i="41"/>
  <c r="AB34" i="41"/>
  <c r="Y34" i="41"/>
  <c r="V34" i="41"/>
  <c r="S34" i="41"/>
  <c r="EH34" i="41" s="1"/>
  <c r="P34" i="41"/>
  <c r="M34" i="41"/>
  <c r="J34" i="41"/>
  <c r="G34" i="41"/>
  <c r="D34" i="41"/>
  <c r="EL33" i="41"/>
  <c r="EI33" i="41"/>
  <c r="EG33" i="41"/>
  <c r="DW33" i="41"/>
  <c r="DT33" i="41"/>
  <c r="DQ33" i="41"/>
  <c r="DN33" i="41"/>
  <c r="DK33" i="41"/>
  <c r="DH33" i="41"/>
  <c r="DE33" i="41"/>
  <c r="DB33" i="41"/>
  <c r="CY33" i="41"/>
  <c r="CV33" i="41"/>
  <c r="CS33" i="41"/>
  <c r="CP33" i="41"/>
  <c r="CM33" i="41"/>
  <c r="CJ33" i="41"/>
  <c r="CG33" i="41"/>
  <c r="CD33" i="41"/>
  <c r="CA33" i="41"/>
  <c r="BX33" i="41"/>
  <c r="BU33" i="41"/>
  <c r="BR33" i="41"/>
  <c r="BO33" i="41"/>
  <c r="BL33" i="41"/>
  <c r="BI33" i="41"/>
  <c r="BF33" i="41"/>
  <c r="BC33" i="41"/>
  <c r="AZ33" i="41"/>
  <c r="AW33" i="41"/>
  <c r="AT33" i="41"/>
  <c r="AQ33" i="41"/>
  <c r="AO33" i="41"/>
  <c r="EK33" i="41" s="1"/>
  <c r="AN33" i="41"/>
  <c r="AL33" i="41"/>
  <c r="EB33" i="41" s="1"/>
  <c r="AI33" i="41"/>
  <c r="AK33" i="41" s="1"/>
  <c r="EH33" i="41"/>
  <c r="AB33" i="41"/>
  <c r="Y33" i="41"/>
  <c r="V33" i="41"/>
  <c r="S33" i="41"/>
  <c r="P33" i="41"/>
  <c r="M33" i="41"/>
  <c r="J33" i="41"/>
  <c r="G33" i="41"/>
  <c r="D33" i="41"/>
  <c r="EL32" i="41"/>
  <c r="EI32" i="41"/>
  <c r="EG32" i="41"/>
  <c r="DW32" i="41"/>
  <c r="DT32" i="41"/>
  <c r="DQ32" i="41"/>
  <c r="DN32" i="41"/>
  <c r="DK32" i="41"/>
  <c r="DH32" i="41"/>
  <c r="DE32" i="41"/>
  <c r="DB32" i="41"/>
  <c r="CY32" i="41"/>
  <c r="CV32" i="41"/>
  <c r="CS32" i="41"/>
  <c r="CP32" i="41"/>
  <c r="CM32" i="41"/>
  <c r="CJ32" i="41"/>
  <c r="CG32" i="41"/>
  <c r="CD32" i="41"/>
  <c r="CA32" i="41"/>
  <c r="BX32" i="41"/>
  <c r="BU32" i="41"/>
  <c r="BR32" i="41"/>
  <c r="BO32" i="41"/>
  <c r="BL32" i="41"/>
  <c r="BI32" i="41"/>
  <c r="BF32" i="41"/>
  <c r="BC32" i="41"/>
  <c r="AZ32" i="41"/>
  <c r="AW32" i="41"/>
  <c r="AT32" i="41"/>
  <c r="AO32" i="41"/>
  <c r="AQ32" i="41" s="1"/>
  <c r="AN32" i="41"/>
  <c r="AL32" i="41"/>
  <c r="EB32" i="41" s="1"/>
  <c r="AI32" i="41"/>
  <c r="AK32" i="41" s="1"/>
  <c r="AB32" i="41"/>
  <c r="Y32" i="41"/>
  <c r="V32" i="41"/>
  <c r="S32" i="41"/>
  <c r="EH32" i="41" s="1"/>
  <c r="P32" i="41"/>
  <c r="M32" i="41"/>
  <c r="ED32" i="41" s="1"/>
  <c r="J32" i="41"/>
  <c r="G32" i="41"/>
  <c r="D32" i="41"/>
  <c r="EL31" i="41"/>
  <c r="EK31" i="41"/>
  <c r="EG31" i="41"/>
  <c r="EI31" i="41" s="1"/>
  <c r="DW31" i="41"/>
  <c r="DT31" i="41"/>
  <c r="DQ31" i="41"/>
  <c r="DN31" i="41"/>
  <c r="DK31" i="41"/>
  <c r="DH31" i="41"/>
  <c r="DE31" i="41"/>
  <c r="DB31" i="41"/>
  <c r="CY31" i="41"/>
  <c r="CV31" i="41"/>
  <c r="CS31" i="41"/>
  <c r="CP31" i="41"/>
  <c r="CM31" i="41"/>
  <c r="CJ31" i="41"/>
  <c r="CG31" i="41"/>
  <c r="CD31" i="41"/>
  <c r="CA31" i="41"/>
  <c r="BX31" i="41"/>
  <c r="BU31" i="41"/>
  <c r="BR31" i="41"/>
  <c r="BO31" i="41"/>
  <c r="BL31" i="41"/>
  <c r="BI31" i="41"/>
  <c r="BF31" i="41"/>
  <c r="BC31" i="41"/>
  <c r="AZ31" i="41"/>
  <c r="AW31" i="41"/>
  <c r="AT31" i="41"/>
  <c r="AQ31" i="41"/>
  <c r="AO31" i="41"/>
  <c r="AL31" i="41"/>
  <c r="AN31" i="41" s="1"/>
  <c r="AK31" i="41"/>
  <c r="AI31" i="41"/>
  <c r="AB31" i="41"/>
  <c r="EH31" i="41" s="1"/>
  <c r="Y31" i="41"/>
  <c r="V31" i="41"/>
  <c r="S31" i="41"/>
  <c r="P31" i="41"/>
  <c r="M31" i="41"/>
  <c r="J31" i="41"/>
  <c r="G31" i="41"/>
  <c r="D31" i="41"/>
  <c r="EL30" i="41"/>
  <c r="EG30" i="41"/>
  <c r="EI30" i="41" s="1"/>
  <c r="DW30" i="41"/>
  <c r="DT30" i="41"/>
  <c r="EM30" i="41" s="1"/>
  <c r="DQ30" i="41"/>
  <c r="DN30" i="41"/>
  <c r="DK30" i="41"/>
  <c r="DH30" i="41"/>
  <c r="DE30" i="41"/>
  <c r="DB30" i="41"/>
  <c r="CY30" i="41"/>
  <c r="CV30" i="41"/>
  <c r="CS30" i="41"/>
  <c r="CP30" i="41"/>
  <c r="CM30" i="41"/>
  <c r="CJ30" i="41"/>
  <c r="CG30" i="41"/>
  <c r="CD30" i="41"/>
  <c r="CA30" i="41"/>
  <c r="BX30" i="41"/>
  <c r="BU30" i="41"/>
  <c r="BR30" i="41"/>
  <c r="BO30" i="41"/>
  <c r="BL30" i="41"/>
  <c r="BI30" i="41"/>
  <c r="BF30" i="41"/>
  <c r="BC30" i="41"/>
  <c r="AZ30" i="41"/>
  <c r="AW30" i="41"/>
  <c r="AT30" i="41"/>
  <c r="AQ30" i="41"/>
  <c r="AO30" i="41"/>
  <c r="EK30" i="41" s="1"/>
  <c r="AL30" i="41"/>
  <c r="AN30" i="41" s="1"/>
  <c r="AI30" i="41"/>
  <c r="AK30" i="41" s="1"/>
  <c r="AB30" i="41"/>
  <c r="Y30" i="41"/>
  <c r="V30" i="41"/>
  <c r="S30" i="41"/>
  <c r="EH30" i="41" s="1"/>
  <c r="P30" i="41"/>
  <c r="M30" i="41"/>
  <c r="J30" i="41"/>
  <c r="G30" i="41"/>
  <c r="D30" i="41"/>
  <c r="EM29" i="41"/>
  <c r="EL29" i="41"/>
  <c r="EK29" i="41"/>
  <c r="EG29" i="41"/>
  <c r="EI29" i="41" s="1"/>
  <c r="DW29" i="41"/>
  <c r="DT29" i="41"/>
  <c r="DQ29" i="41"/>
  <c r="DN29" i="41"/>
  <c r="DK29" i="41"/>
  <c r="DH29" i="41"/>
  <c r="DE29" i="41"/>
  <c r="DB29" i="41"/>
  <c r="CY29" i="41"/>
  <c r="CV29" i="41"/>
  <c r="CS29" i="41"/>
  <c r="CP29" i="41"/>
  <c r="CM29" i="41"/>
  <c r="CJ29" i="41"/>
  <c r="CG29" i="41"/>
  <c r="CD29" i="41"/>
  <c r="CA29" i="41"/>
  <c r="BX29" i="41"/>
  <c r="BU29" i="41"/>
  <c r="BR29" i="41"/>
  <c r="BO29" i="41"/>
  <c r="BL29" i="41"/>
  <c r="BI29" i="41"/>
  <c r="BF29" i="41"/>
  <c r="BC29" i="41"/>
  <c r="AZ29" i="41"/>
  <c r="AW29" i="41"/>
  <c r="AT29" i="41"/>
  <c r="AO29" i="41"/>
  <c r="AQ29" i="41" s="1"/>
  <c r="AN29" i="41"/>
  <c r="AL29" i="41"/>
  <c r="EB29" i="41" s="1"/>
  <c r="EC29" i="41" s="1"/>
  <c r="AK29" i="41"/>
  <c r="AI29" i="41"/>
  <c r="AB29" i="41"/>
  <c r="Y29" i="41"/>
  <c r="V29" i="41"/>
  <c r="EH29" i="41" s="1"/>
  <c r="S29" i="41"/>
  <c r="P29" i="41"/>
  <c r="M29" i="41"/>
  <c r="J29" i="41"/>
  <c r="ED29" i="41" s="1"/>
  <c r="G29" i="41"/>
  <c r="D29" i="41"/>
  <c r="EL28" i="41"/>
  <c r="EI28" i="41"/>
  <c r="EG28" i="41"/>
  <c r="DW28" i="41"/>
  <c r="DT28" i="41"/>
  <c r="DQ28" i="41"/>
  <c r="DN28" i="41"/>
  <c r="DK28" i="41"/>
  <c r="DH28" i="41"/>
  <c r="DE28" i="41"/>
  <c r="DB28" i="41"/>
  <c r="CY28" i="41"/>
  <c r="CV28" i="41"/>
  <c r="CS28" i="41"/>
  <c r="CP28" i="41"/>
  <c r="CM28" i="41"/>
  <c r="CJ28" i="41"/>
  <c r="CG28" i="41"/>
  <c r="CD28" i="41"/>
  <c r="CA28" i="41"/>
  <c r="BX28" i="41"/>
  <c r="BU28" i="41"/>
  <c r="BR28" i="41"/>
  <c r="BO28" i="41"/>
  <c r="BL28" i="41"/>
  <c r="BI28" i="41"/>
  <c r="BF28" i="41"/>
  <c r="BC28" i="41"/>
  <c r="AZ28" i="41"/>
  <c r="AW28" i="41"/>
  <c r="AT28" i="41"/>
  <c r="AO28" i="41"/>
  <c r="AL28" i="41"/>
  <c r="AN28" i="41" s="1"/>
  <c r="AI28" i="41"/>
  <c r="AK28" i="41" s="1"/>
  <c r="AB28" i="41"/>
  <c r="Y28" i="41"/>
  <c r="V28" i="41"/>
  <c r="S28" i="41"/>
  <c r="P28" i="41"/>
  <c r="M28" i="41"/>
  <c r="J28" i="41"/>
  <c r="G28" i="41"/>
  <c r="D28" i="41"/>
  <c r="EL27" i="41"/>
  <c r="EK27" i="41"/>
  <c r="EG27" i="41"/>
  <c r="EI27" i="41" s="1"/>
  <c r="DW27" i="41"/>
  <c r="DT27" i="41"/>
  <c r="DQ27" i="41"/>
  <c r="DN27" i="41"/>
  <c r="DK27" i="41"/>
  <c r="DH27" i="41"/>
  <c r="DE27" i="41"/>
  <c r="DB27" i="41"/>
  <c r="CY27" i="41"/>
  <c r="CV27" i="41"/>
  <c r="CS27" i="41"/>
  <c r="CP27" i="41"/>
  <c r="CM27" i="41"/>
  <c r="CJ27" i="41"/>
  <c r="CG27" i="41"/>
  <c r="CD27" i="41"/>
  <c r="CA27" i="41"/>
  <c r="BX27" i="41"/>
  <c r="BU27" i="41"/>
  <c r="BR27" i="41"/>
  <c r="BO27" i="41"/>
  <c r="BL27" i="41"/>
  <c r="BI27" i="41"/>
  <c r="BF27" i="41"/>
  <c r="BC27" i="41"/>
  <c r="AZ27" i="41"/>
  <c r="AW27" i="41"/>
  <c r="AT27" i="41"/>
  <c r="AQ27" i="41"/>
  <c r="AO27" i="41"/>
  <c r="AN27" i="41"/>
  <c r="AL27" i="41"/>
  <c r="EB27" i="41" s="1"/>
  <c r="EC27" i="41" s="1"/>
  <c r="AK27" i="41"/>
  <c r="AB27" i="41"/>
  <c r="Y27" i="41"/>
  <c r="V27" i="41"/>
  <c r="S27" i="41"/>
  <c r="EH27" i="41" s="1"/>
  <c r="P27" i="41"/>
  <c r="M27" i="41"/>
  <c r="J27" i="41"/>
  <c r="G27" i="41"/>
  <c r="D27" i="41"/>
  <c r="ED27" i="41" s="1"/>
  <c r="EL26" i="41"/>
  <c r="EK26" i="41"/>
  <c r="EG26" i="41"/>
  <c r="EI26" i="41" s="1"/>
  <c r="DW26" i="41"/>
  <c r="DT26" i="41"/>
  <c r="DQ26" i="41"/>
  <c r="DN26" i="41"/>
  <c r="DK26" i="41"/>
  <c r="DH26" i="41"/>
  <c r="DE26" i="41"/>
  <c r="DB26" i="41"/>
  <c r="CY26" i="41"/>
  <c r="CV26" i="41"/>
  <c r="CS26" i="41"/>
  <c r="CP26" i="41"/>
  <c r="CM26" i="41"/>
  <c r="CJ26" i="41"/>
  <c r="CG26" i="41"/>
  <c r="CD26" i="41"/>
  <c r="CA26" i="41"/>
  <c r="BX26" i="41"/>
  <c r="BU26" i="41"/>
  <c r="BR26" i="41"/>
  <c r="BO26" i="41"/>
  <c r="BL26" i="41"/>
  <c r="BI26" i="41"/>
  <c r="BF26" i="41"/>
  <c r="BC26" i="41"/>
  <c r="AZ26" i="41"/>
  <c r="AW26" i="41"/>
  <c r="AT26" i="41"/>
  <c r="AQ26" i="41"/>
  <c r="AO26" i="41"/>
  <c r="AN26" i="41"/>
  <c r="AL26" i="41"/>
  <c r="EB26" i="41" s="1"/>
  <c r="EC26" i="41" s="1"/>
  <c r="AK26" i="41"/>
  <c r="AI26" i="41"/>
  <c r="AB26" i="41"/>
  <c r="Y26" i="41"/>
  <c r="V26" i="41"/>
  <c r="S26" i="41"/>
  <c r="P26" i="41"/>
  <c r="M26" i="41"/>
  <c r="J26" i="41"/>
  <c r="G26" i="41"/>
  <c r="D26" i="41"/>
  <c r="EL25" i="41"/>
  <c r="EG25" i="41"/>
  <c r="EI25" i="41" s="1"/>
  <c r="EB25" i="41"/>
  <c r="DW25" i="41"/>
  <c r="DT25" i="41"/>
  <c r="DQ25" i="41"/>
  <c r="DN25" i="41"/>
  <c r="DK25" i="41"/>
  <c r="DH25" i="41"/>
  <c r="DE25" i="41"/>
  <c r="DB25" i="41"/>
  <c r="CY25" i="41"/>
  <c r="CV25" i="41"/>
  <c r="CS25" i="41"/>
  <c r="CP25" i="41"/>
  <c r="CM25" i="41"/>
  <c r="CJ25" i="41"/>
  <c r="CG25" i="41"/>
  <c r="CD25" i="41"/>
  <c r="CA25" i="41"/>
  <c r="BX25" i="41"/>
  <c r="BU25" i="41"/>
  <c r="BR25" i="41"/>
  <c r="BO25" i="41"/>
  <c r="BL25" i="41"/>
  <c r="BI25" i="41"/>
  <c r="BF25" i="41"/>
  <c r="BC25" i="41"/>
  <c r="AZ25" i="41"/>
  <c r="AW25" i="41"/>
  <c r="AT25" i="41"/>
  <c r="AO25" i="41"/>
  <c r="EK25" i="41" s="1"/>
  <c r="AL25" i="41"/>
  <c r="AN25" i="41" s="1"/>
  <c r="AK25" i="41"/>
  <c r="AI25" i="41"/>
  <c r="AB25" i="41"/>
  <c r="Y25" i="41"/>
  <c r="V25" i="41"/>
  <c r="S25" i="41"/>
  <c r="P25" i="41"/>
  <c r="M25" i="41"/>
  <c r="J25" i="41"/>
  <c r="G25" i="41"/>
  <c r="D25" i="41"/>
  <c r="EL24" i="41"/>
  <c r="EI24" i="41"/>
  <c r="EG24" i="41"/>
  <c r="DW24" i="41"/>
  <c r="DT24" i="41"/>
  <c r="DQ24" i="41"/>
  <c r="EM24" i="41" s="1"/>
  <c r="DN24" i="41"/>
  <c r="DK24" i="41"/>
  <c r="DH24" i="41"/>
  <c r="DE24" i="41"/>
  <c r="DB24" i="41"/>
  <c r="CY24" i="41"/>
  <c r="CV24" i="41"/>
  <c r="CS24" i="41"/>
  <c r="CP24" i="41"/>
  <c r="CM24" i="41"/>
  <c r="CJ24" i="41"/>
  <c r="CG24" i="41"/>
  <c r="CD24" i="41"/>
  <c r="CA24" i="41"/>
  <c r="BX24" i="41"/>
  <c r="BU24" i="41"/>
  <c r="BR24" i="41"/>
  <c r="BO24" i="41"/>
  <c r="BL24" i="41"/>
  <c r="BI24" i="41"/>
  <c r="BF24" i="41"/>
  <c r="BC24" i="41"/>
  <c r="AZ24" i="41"/>
  <c r="AW24" i="41"/>
  <c r="AT24" i="41"/>
  <c r="AQ24" i="41"/>
  <c r="AO24" i="41"/>
  <c r="EB24" i="41" s="1"/>
  <c r="AN24" i="41"/>
  <c r="AK24" i="41"/>
  <c r="AI24" i="41"/>
  <c r="AB24" i="41"/>
  <c r="Y24" i="41"/>
  <c r="V24" i="41"/>
  <c r="S24" i="41"/>
  <c r="EH24" i="41" s="1"/>
  <c r="P24" i="41"/>
  <c r="M24" i="41"/>
  <c r="J24" i="41"/>
  <c r="G24" i="41"/>
  <c r="D24" i="41"/>
  <c r="ED24" i="41" s="1"/>
  <c r="EL23" i="41"/>
  <c r="EI23" i="41"/>
  <c r="EG23" i="41"/>
  <c r="DW23" i="41"/>
  <c r="DT23" i="41"/>
  <c r="DQ23" i="41"/>
  <c r="EM23" i="41" s="1"/>
  <c r="DN23" i="41"/>
  <c r="DK23" i="41"/>
  <c r="DH23" i="41"/>
  <c r="DE23" i="41"/>
  <c r="DB23" i="41"/>
  <c r="CY23" i="41"/>
  <c r="CV23" i="41"/>
  <c r="CS23" i="41"/>
  <c r="CP23" i="41"/>
  <c r="CM23" i="41"/>
  <c r="CJ23" i="41"/>
  <c r="CG23" i="41"/>
  <c r="CD23" i="41"/>
  <c r="CA23" i="41"/>
  <c r="BX23" i="41"/>
  <c r="BU23" i="41"/>
  <c r="BR23" i="41"/>
  <c r="BO23" i="41"/>
  <c r="BL23" i="41"/>
  <c r="BI23" i="41"/>
  <c r="BF23" i="41"/>
  <c r="BC23" i="41"/>
  <c r="AZ23" i="41"/>
  <c r="AW23" i="41"/>
  <c r="AT23" i="41"/>
  <c r="AQ23" i="41"/>
  <c r="AO23" i="41"/>
  <c r="EB23" i="41" s="1"/>
  <c r="AN23" i="41"/>
  <c r="AI23" i="41"/>
  <c r="AK23" i="41" s="1"/>
  <c r="AB23" i="41"/>
  <c r="Y23" i="41"/>
  <c r="V23" i="41"/>
  <c r="S23" i="41"/>
  <c r="EH23" i="41" s="1"/>
  <c r="P23" i="41"/>
  <c r="M23" i="41"/>
  <c r="J23" i="41"/>
  <c r="G23" i="41"/>
  <c r="D23" i="41"/>
  <c r="EL22" i="41"/>
  <c r="EI22" i="41"/>
  <c r="EG22" i="41"/>
  <c r="DW22" i="41"/>
  <c r="DT22" i="41"/>
  <c r="DQ22" i="41"/>
  <c r="EM22" i="41" s="1"/>
  <c r="DN22" i="41"/>
  <c r="DK22" i="41"/>
  <c r="DH22" i="41"/>
  <c r="DE22" i="41"/>
  <c r="DB22" i="41"/>
  <c r="CY22" i="41"/>
  <c r="CV22" i="41"/>
  <c r="CS22" i="41"/>
  <c r="CP22" i="41"/>
  <c r="CM22" i="41"/>
  <c r="CJ22" i="41"/>
  <c r="CG22" i="41"/>
  <c r="CD22" i="41"/>
  <c r="CA22" i="41"/>
  <c r="BX22" i="41"/>
  <c r="BU22" i="41"/>
  <c r="BR22" i="41"/>
  <c r="BO22" i="41"/>
  <c r="BL22" i="41"/>
  <c r="BI22" i="41"/>
  <c r="BF22" i="41"/>
  <c r="BC22" i="41"/>
  <c r="AZ22" i="41"/>
  <c r="AW22" i="41"/>
  <c r="AT22" i="41"/>
  <c r="AQ22" i="41"/>
  <c r="AO22" i="41"/>
  <c r="EB22" i="41" s="1"/>
  <c r="AN22" i="41"/>
  <c r="AI22" i="41"/>
  <c r="AK22" i="41" s="1"/>
  <c r="AB22" i="41"/>
  <c r="Y22" i="41"/>
  <c r="V22" i="41"/>
  <c r="S22" i="41"/>
  <c r="EH22" i="41" s="1"/>
  <c r="P22" i="41"/>
  <c r="M22" i="41"/>
  <c r="J22" i="41"/>
  <c r="G22" i="41"/>
  <c r="D22" i="41"/>
  <c r="EL21" i="41"/>
  <c r="EI21" i="41"/>
  <c r="EH21" i="41"/>
  <c r="EG21" i="41"/>
  <c r="DW21" i="41"/>
  <c r="DT21" i="41"/>
  <c r="DQ21" i="41"/>
  <c r="EM21" i="41" s="1"/>
  <c r="DN21" i="41"/>
  <c r="DK21" i="41"/>
  <c r="DH21" i="41"/>
  <c r="DE21" i="41"/>
  <c r="DB21" i="41"/>
  <c r="CY21" i="41"/>
  <c r="CV21" i="41"/>
  <c r="CS21" i="41"/>
  <c r="CS42" i="41" s="1"/>
  <c r="CP21" i="41"/>
  <c r="CM21" i="41"/>
  <c r="CJ21" i="41"/>
  <c r="CG21" i="41"/>
  <c r="CD21" i="41"/>
  <c r="CA21" i="41"/>
  <c r="BX21" i="41"/>
  <c r="BU21" i="41"/>
  <c r="BR21" i="41"/>
  <c r="BO21" i="41"/>
  <c r="BL21" i="41"/>
  <c r="BI21" i="41"/>
  <c r="BF21" i="41"/>
  <c r="BC21" i="41"/>
  <c r="AZ21" i="41"/>
  <c r="AW21" i="41"/>
  <c r="AT21" i="41"/>
  <c r="AQ21" i="41"/>
  <c r="AO21" i="41"/>
  <c r="EB21" i="41" s="1"/>
  <c r="EE21" i="41" s="1"/>
  <c r="AN21" i="41"/>
  <c r="AI21" i="41"/>
  <c r="AK21" i="41" s="1"/>
  <c r="AB21" i="41"/>
  <c r="Y21" i="41"/>
  <c r="V21" i="41"/>
  <c r="S21" i="41"/>
  <c r="P21" i="41"/>
  <c r="M21" i="41"/>
  <c r="J21" i="41"/>
  <c r="G21" i="41"/>
  <c r="D21" i="41"/>
  <c r="ED21" i="41" s="1"/>
  <c r="EM20" i="41"/>
  <c r="EL20" i="41"/>
  <c r="EI20" i="41"/>
  <c r="EG20" i="41"/>
  <c r="DW20" i="41"/>
  <c r="DT20" i="41"/>
  <c r="DQ20" i="41"/>
  <c r="DN20" i="41"/>
  <c r="DK20" i="41"/>
  <c r="DH20" i="41"/>
  <c r="DE20" i="41"/>
  <c r="DB20" i="41"/>
  <c r="CY20" i="41"/>
  <c r="CV20" i="41"/>
  <c r="CS20" i="41"/>
  <c r="CP20" i="41"/>
  <c r="CM20" i="41"/>
  <c r="CJ20" i="41"/>
  <c r="CG20" i="41"/>
  <c r="CD20" i="41"/>
  <c r="CA20" i="41"/>
  <c r="BX20" i="41"/>
  <c r="BU20" i="41"/>
  <c r="BR20" i="41"/>
  <c r="BO20" i="41"/>
  <c r="BL20" i="41"/>
  <c r="BI20" i="41"/>
  <c r="BF20" i="41"/>
  <c r="BC20" i="41"/>
  <c r="AZ20" i="41"/>
  <c r="AW20" i="41"/>
  <c r="AT20" i="41"/>
  <c r="AQ20" i="41"/>
  <c r="AO20" i="41"/>
  <c r="EB20" i="41" s="1"/>
  <c r="AN20" i="41"/>
  <c r="AK20" i="41"/>
  <c r="AI20" i="41"/>
  <c r="AB20" i="41"/>
  <c r="Y20" i="41"/>
  <c r="EH20" i="41" s="1"/>
  <c r="V20" i="41"/>
  <c r="S20" i="41"/>
  <c r="P20" i="41"/>
  <c r="M20" i="41"/>
  <c r="J20" i="41"/>
  <c r="G20" i="41"/>
  <c r="D20" i="41"/>
  <c r="EM19" i="41"/>
  <c r="EL19" i="41"/>
  <c r="EI19" i="41"/>
  <c r="EG19" i="41"/>
  <c r="DW19" i="41"/>
  <c r="DT19" i="41"/>
  <c r="DQ19" i="41"/>
  <c r="DN19" i="41"/>
  <c r="DK19" i="41"/>
  <c r="DH19" i="41"/>
  <c r="DE19" i="41"/>
  <c r="DB19" i="41"/>
  <c r="CY19" i="41"/>
  <c r="CV19" i="41"/>
  <c r="CS19" i="41"/>
  <c r="CP19" i="41"/>
  <c r="CM19" i="41"/>
  <c r="CJ19" i="41"/>
  <c r="CG19" i="41"/>
  <c r="CD19" i="41"/>
  <c r="CA19" i="41"/>
  <c r="BX19" i="41"/>
  <c r="BU19" i="41"/>
  <c r="BR19" i="41"/>
  <c r="BO19" i="41"/>
  <c r="BL19" i="41"/>
  <c r="BI19" i="41"/>
  <c r="BF19" i="41"/>
  <c r="BC19" i="41"/>
  <c r="AZ19" i="41"/>
  <c r="AW19" i="41"/>
  <c r="AT19" i="41"/>
  <c r="AQ19" i="41"/>
  <c r="AO19" i="41"/>
  <c r="EK19" i="41" s="1"/>
  <c r="AN19" i="41"/>
  <c r="AL19" i="41"/>
  <c r="EB19" i="41" s="1"/>
  <c r="AI19" i="41"/>
  <c r="AK19" i="41" s="1"/>
  <c r="AB19" i="41"/>
  <c r="Y19" i="41"/>
  <c r="V19" i="41"/>
  <c r="EH19" i="41" s="1"/>
  <c r="S19" i="41"/>
  <c r="P19" i="41"/>
  <c r="M19" i="41"/>
  <c r="J19" i="41"/>
  <c r="G19" i="41"/>
  <c r="D19" i="41"/>
  <c r="EL18" i="41"/>
  <c r="EG18" i="41"/>
  <c r="EI18" i="41" s="1"/>
  <c r="DW18" i="41"/>
  <c r="DT18" i="41"/>
  <c r="DQ18" i="41"/>
  <c r="DN18" i="41"/>
  <c r="DK18" i="41"/>
  <c r="DH18" i="41"/>
  <c r="DE18" i="41"/>
  <c r="DB18" i="41"/>
  <c r="CY18" i="41"/>
  <c r="CV18" i="41"/>
  <c r="CS18" i="41"/>
  <c r="CP18" i="41"/>
  <c r="CM18" i="41"/>
  <c r="CJ18" i="41"/>
  <c r="CG18" i="41"/>
  <c r="CD18" i="41"/>
  <c r="CA18" i="41"/>
  <c r="BX18" i="41"/>
  <c r="BU18" i="41"/>
  <c r="BR18" i="41"/>
  <c r="BO18" i="41"/>
  <c r="BL18" i="41"/>
  <c r="BI18" i="41"/>
  <c r="BF18" i="41"/>
  <c r="BC18" i="41"/>
  <c r="AZ18" i="41"/>
  <c r="AW18" i="41"/>
  <c r="AT18" i="41"/>
  <c r="AO18" i="41"/>
  <c r="AL18" i="41"/>
  <c r="AN18" i="41" s="1"/>
  <c r="AI18" i="41"/>
  <c r="AK18" i="41" s="1"/>
  <c r="AB18" i="41"/>
  <c r="Y18" i="41"/>
  <c r="V18" i="41"/>
  <c r="S18" i="41"/>
  <c r="P18" i="41"/>
  <c r="M18" i="41"/>
  <c r="J18" i="41"/>
  <c r="G18" i="41"/>
  <c r="D18" i="41"/>
  <c r="EL17" i="41"/>
  <c r="EK17" i="41"/>
  <c r="EI17" i="41"/>
  <c r="EG17" i="41"/>
  <c r="DW17" i="41"/>
  <c r="DT17" i="41"/>
  <c r="DQ17" i="41"/>
  <c r="DN17" i="41"/>
  <c r="DK17" i="41"/>
  <c r="DH17" i="41"/>
  <c r="DE17" i="41"/>
  <c r="DB17" i="41"/>
  <c r="CY17" i="41"/>
  <c r="CV17" i="41"/>
  <c r="CS17" i="41"/>
  <c r="CP17" i="41"/>
  <c r="CM17" i="41"/>
  <c r="CJ17" i="41"/>
  <c r="CG17" i="41"/>
  <c r="CD17" i="41"/>
  <c r="CA17" i="41"/>
  <c r="BX17" i="41"/>
  <c r="BU17" i="41"/>
  <c r="BR17" i="41"/>
  <c r="BO17" i="41"/>
  <c r="BL17" i="41"/>
  <c r="BI17" i="41"/>
  <c r="BF17" i="41"/>
  <c r="BC17" i="41"/>
  <c r="AZ17" i="41"/>
  <c r="AW17" i="41"/>
  <c r="AT17" i="41"/>
  <c r="AQ17" i="41"/>
  <c r="AO17" i="41"/>
  <c r="AL17" i="41"/>
  <c r="AN17" i="41" s="1"/>
  <c r="AK17" i="41"/>
  <c r="AI17" i="41"/>
  <c r="AB17" i="41"/>
  <c r="EH17" i="41" s="1"/>
  <c r="Y17" i="41"/>
  <c r="V17" i="41"/>
  <c r="S17" i="41"/>
  <c r="P17" i="41"/>
  <c r="M17" i="41"/>
  <c r="J17" i="41"/>
  <c r="G17" i="41"/>
  <c r="D17" i="41"/>
  <c r="EL16" i="41"/>
  <c r="EG16" i="41"/>
  <c r="EI16" i="41" s="1"/>
  <c r="EB16" i="41"/>
  <c r="DW16" i="41"/>
  <c r="DT16" i="41"/>
  <c r="DQ16" i="41"/>
  <c r="DN16" i="41"/>
  <c r="DK16" i="41"/>
  <c r="DH16" i="41"/>
  <c r="DE16" i="41"/>
  <c r="DB16" i="41"/>
  <c r="CY16" i="41"/>
  <c r="CV16" i="41"/>
  <c r="CS16" i="41"/>
  <c r="CP16" i="41"/>
  <c r="CM16" i="41"/>
  <c r="CJ16" i="41"/>
  <c r="CG16" i="41"/>
  <c r="CD16" i="41"/>
  <c r="CA16" i="41"/>
  <c r="BX16" i="41"/>
  <c r="BU16" i="41"/>
  <c r="BR16" i="41"/>
  <c r="BO16" i="41"/>
  <c r="BL16" i="41"/>
  <c r="BI16" i="41"/>
  <c r="BF16" i="41"/>
  <c r="BC16" i="41"/>
  <c r="AZ16" i="41"/>
  <c r="AW16" i="41"/>
  <c r="AT16" i="41"/>
  <c r="AO16" i="41"/>
  <c r="AQ16" i="41" s="1"/>
  <c r="AL16" i="41"/>
  <c r="AI16" i="41"/>
  <c r="AK16" i="41" s="1"/>
  <c r="AB16" i="41"/>
  <c r="Y16" i="41"/>
  <c r="V16" i="41"/>
  <c r="S16" i="41"/>
  <c r="P16" i="41"/>
  <c r="M16" i="41"/>
  <c r="J16" i="41"/>
  <c r="G16" i="41"/>
  <c r="D16" i="41"/>
  <c r="EL15" i="41"/>
  <c r="EK15" i="41"/>
  <c r="EG15" i="41"/>
  <c r="EI15" i="41" s="1"/>
  <c r="EC15" i="41"/>
  <c r="DW15" i="41"/>
  <c r="DT15" i="41"/>
  <c r="DQ15" i="41"/>
  <c r="DQ42" i="41" s="1"/>
  <c r="DN15" i="41"/>
  <c r="DK15" i="41"/>
  <c r="DH15" i="41"/>
  <c r="DE15" i="41"/>
  <c r="DB15" i="41"/>
  <c r="CY15" i="41"/>
  <c r="CV15" i="41"/>
  <c r="CS15" i="41"/>
  <c r="CP15" i="41"/>
  <c r="CM15" i="41"/>
  <c r="CJ15" i="41"/>
  <c r="CG15" i="41"/>
  <c r="CD15" i="41"/>
  <c r="CA15" i="41"/>
  <c r="BX15" i="41"/>
  <c r="BU15" i="41"/>
  <c r="BU42" i="41" s="1"/>
  <c r="BR15" i="41"/>
  <c r="BO15" i="41"/>
  <c r="BL15" i="41"/>
  <c r="BI15" i="41"/>
  <c r="BF15" i="41"/>
  <c r="BC15" i="41"/>
  <c r="AZ15" i="41"/>
  <c r="AW15" i="41"/>
  <c r="AW42" i="41" s="1"/>
  <c r="AT15" i="41"/>
  <c r="AO15" i="41"/>
  <c r="AQ15" i="41" s="1"/>
  <c r="AN15" i="41"/>
  <c r="AL15" i="41"/>
  <c r="EB15" i="41" s="1"/>
  <c r="AK15" i="41"/>
  <c r="AI15" i="41"/>
  <c r="AB15" i="41"/>
  <c r="Y15" i="41"/>
  <c r="V15" i="41"/>
  <c r="EH15" i="41" s="1"/>
  <c r="S15" i="41"/>
  <c r="P15" i="41"/>
  <c r="M15" i="41"/>
  <c r="J15" i="41"/>
  <c r="G15" i="41"/>
  <c r="D15" i="41"/>
  <c r="EL14" i="41"/>
  <c r="EI14" i="41"/>
  <c r="EG14" i="41"/>
  <c r="DW14" i="41"/>
  <c r="DT14" i="41"/>
  <c r="DQ14" i="41"/>
  <c r="DN14" i="41"/>
  <c r="DK14" i="41"/>
  <c r="DH14" i="41"/>
  <c r="DE14" i="41"/>
  <c r="DB14" i="41"/>
  <c r="CY14" i="41"/>
  <c r="CV14" i="41"/>
  <c r="CS14" i="41"/>
  <c r="CP14" i="41"/>
  <c r="CM14" i="41"/>
  <c r="CJ14" i="41"/>
  <c r="CG14" i="41"/>
  <c r="CD14" i="41"/>
  <c r="CA14" i="41"/>
  <c r="BX14" i="41"/>
  <c r="BU14" i="41"/>
  <c r="BR14" i="41"/>
  <c r="BO14" i="41"/>
  <c r="BL14" i="41"/>
  <c r="BI14" i="41"/>
  <c r="BF14" i="41"/>
  <c r="BC14" i="41"/>
  <c r="AZ14" i="41"/>
  <c r="AW14" i="41"/>
  <c r="AT14" i="41"/>
  <c r="AO14" i="41"/>
  <c r="AL14" i="41"/>
  <c r="AN14" i="41" s="1"/>
  <c r="AI14" i="41"/>
  <c r="AK14" i="41" s="1"/>
  <c r="AB14" i="41"/>
  <c r="Y14" i="41"/>
  <c r="V14" i="41"/>
  <c r="S14" i="41"/>
  <c r="EH14" i="41" s="1"/>
  <c r="P14" i="41"/>
  <c r="M14" i="41"/>
  <c r="J14" i="41"/>
  <c r="G14" i="41"/>
  <c r="D14" i="41"/>
  <c r="EL13" i="41"/>
  <c r="EK13" i="41"/>
  <c r="EG13" i="41"/>
  <c r="EI13" i="41" s="1"/>
  <c r="DW13" i="41"/>
  <c r="DT13" i="41"/>
  <c r="DQ13" i="41"/>
  <c r="DN13" i="41"/>
  <c r="DK13" i="41"/>
  <c r="DH13" i="41"/>
  <c r="DE13" i="41"/>
  <c r="DB13" i="41"/>
  <c r="CY13" i="41"/>
  <c r="CV13" i="41"/>
  <c r="CS13" i="41"/>
  <c r="CP13" i="41"/>
  <c r="CM13" i="41"/>
  <c r="CJ13" i="41"/>
  <c r="CG13" i="41"/>
  <c r="CD13" i="41"/>
  <c r="CA13" i="41"/>
  <c r="BX13" i="41"/>
  <c r="BU13" i="41"/>
  <c r="BR13" i="41"/>
  <c r="BO13" i="41"/>
  <c r="BL13" i="41"/>
  <c r="BI13" i="41"/>
  <c r="BF13" i="41"/>
  <c r="BC13" i="41"/>
  <c r="AZ13" i="41"/>
  <c r="AW13" i="41"/>
  <c r="AT13" i="41"/>
  <c r="AQ13" i="41"/>
  <c r="AL13" i="41"/>
  <c r="AI13" i="41"/>
  <c r="AK13" i="41" s="1"/>
  <c r="AB13" i="41"/>
  <c r="Y13" i="41"/>
  <c r="V13" i="41"/>
  <c r="S13" i="41"/>
  <c r="EH13" i="41" s="1"/>
  <c r="P13" i="41"/>
  <c r="M13" i="41"/>
  <c r="J13" i="41"/>
  <c r="G13" i="41"/>
  <c r="D13" i="41"/>
  <c r="EL12" i="41"/>
  <c r="EG12" i="41"/>
  <c r="EI12" i="41" s="1"/>
  <c r="DW12" i="41"/>
  <c r="DT12" i="41"/>
  <c r="DQ12" i="41"/>
  <c r="DN12" i="41"/>
  <c r="DK12" i="41"/>
  <c r="DH12" i="41"/>
  <c r="DE12" i="41"/>
  <c r="DB12" i="41"/>
  <c r="CY12" i="41"/>
  <c r="CV12" i="41"/>
  <c r="CS12" i="41"/>
  <c r="CP12" i="41"/>
  <c r="CM12" i="41"/>
  <c r="CJ12" i="41"/>
  <c r="CG12" i="41"/>
  <c r="CD12" i="41"/>
  <c r="CA12" i="41"/>
  <c r="BX12" i="41"/>
  <c r="BU12" i="41"/>
  <c r="BR12" i="41"/>
  <c r="BO12" i="41"/>
  <c r="BL12" i="41"/>
  <c r="BI12" i="41"/>
  <c r="BF12" i="41"/>
  <c r="BC12" i="41"/>
  <c r="AZ12" i="41"/>
  <c r="AW12" i="41"/>
  <c r="AT12" i="41"/>
  <c r="AQ12" i="41"/>
  <c r="AL12" i="41"/>
  <c r="AI12" i="41"/>
  <c r="AK12" i="41" s="1"/>
  <c r="AB12" i="41"/>
  <c r="Y12" i="41"/>
  <c r="V12" i="41"/>
  <c r="S12" i="41"/>
  <c r="P12" i="41"/>
  <c r="M12" i="41"/>
  <c r="J12" i="41"/>
  <c r="G12" i="41"/>
  <c r="D12" i="4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EL11" i="41"/>
  <c r="EK11" i="41"/>
  <c r="EG11" i="41"/>
  <c r="DW11" i="41"/>
  <c r="DT11" i="41"/>
  <c r="DQ11" i="41"/>
  <c r="DN11" i="41"/>
  <c r="DK11" i="41"/>
  <c r="DH11" i="41"/>
  <c r="DE11" i="41"/>
  <c r="DB11" i="41"/>
  <c r="CY11" i="41"/>
  <c r="CV11" i="41"/>
  <c r="CS11" i="41"/>
  <c r="CP11" i="41"/>
  <c r="CM11" i="41"/>
  <c r="CJ11" i="41"/>
  <c r="CG11" i="41"/>
  <c r="CD11" i="41"/>
  <c r="CA11" i="41"/>
  <c r="BX11" i="41"/>
  <c r="BU11" i="41"/>
  <c r="BR11" i="41"/>
  <c r="BO11" i="41"/>
  <c r="BL11" i="41"/>
  <c r="BI11" i="41"/>
  <c r="BF11" i="41"/>
  <c r="BC11" i="41"/>
  <c r="AZ11" i="41"/>
  <c r="AW11" i="41"/>
  <c r="AT11" i="41"/>
  <c r="AQ11" i="41"/>
  <c r="AL11" i="41"/>
  <c r="AI11" i="41"/>
  <c r="AK11" i="41" s="1"/>
  <c r="AB11" i="41"/>
  <c r="Y11" i="41"/>
  <c r="Y42" i="41" s="1"/>
  <c r="V11" i="41"/>
  <c r="S11" i="41"/>
  <c r="P11" i="41"/>
  <c r="M11" i="41"/>
  <c r="J11" i="41"/>
  <c r="G11" i="41"/>
  <c r="D11" i="41"/>
  <c r="EI2" i="41"/>
  <c r="ED36" i="41" l="1"/>
  <c r="ED18" i="41"/>
  <c r="EE16" i="41"/>
  <c r="EH11" i="41"/>
  <c r="S42" i="41"/>
  <c r="BO42" i="41"/>
  <c r="CM42" i="41"/>
  <c r="DK42" i="41"/>
  <c r="EB12" i="41"/>
  <c r="AN12" i="41"/>
  <c r="EM12" i="41" s="1"/>
  <c r="EB14" i="41"/>
  <c r="ED15" i="41"/>
  <c r="ED16" i="41"/>
  <c r="EM16" i="41"/>
  <c r="EM17" i="41"/>
  <c r="EN17" i="41" s="1"/>
  <c r="ED19" i="41"/>
  <c r="EE19" i="41" s="1"/>
  <c r="EC33" i="41"/>
  <c r="EE33" i="41"/>
  <c r="EN35" i="41"/>
  <c r="EH36" i="41"/>
  <c r="EK36" i="41"/>
  <c r="AQ36" i="41"/>
  <c r="EM36" i="41" s="1"/>
  <c r="EN37" i="41"/>
  <c r="V42" i="41"/>
  <c r="BR42" i="41"/>
  <c r="CP42" i="41"/>
  <c r="DN42" i="41"/>
  <c r="EH12" i="41"/>
  <c r="EK12" i="41"/>
  <c r="EN12" i="41" s="1"/>
  <c r="EB13" i="41"/>
  <c r="AN13" i="41"/>
  <c r="EM13" i="41" s="1"/>
  <c r="EN13" i="41" s="1"/>
  <c r="EM25" i="41"/>
  <c r="EM28" i="41"/>
  <c r="ED30" i="41"/>
  <c r="EM31" i="41"/>
  <c r="EM35" i="41"/>
  <c r="ED40" i="41"/>
  <c r="EN40" i="41"/>
  <c r="EE32" i="41"/>
  <c r="D42" i="41"/>
  <c r="AB42" i="41"/>
  <c r="EK14" i="41"/>
  <c r="EN3" i="41" s="1"/>
  <c r="AQ14" i="41"/>
  <c r="ED14" i="41" s="1"/>
  <c r="EC25" i="41"/>
  <c r="EH26" i="41"/>
  <c r="ED38" i="41"/>
  <c r="G42" i="41"/>
  <c r="AE42" i="41"/>
  <c r="BC42" i="41"/>
  <c r="CA42" i="41"/>
  <c r="CY42" i="41"/>
  <c r="DW42" i="41"/>
  <c r="ED12" i="41"/>
  <c r="AN16" i="41"/>
  <c r="EK16" i="41"/>
  <c r="EC19" i="41"/>
  <c r="ED20" i="41"/>
  <c r="EE20" i="41" s="1"/>
  <c r="EE24" i="41"/>
  <c r="EE27" i="41"/>
  <c r="EB30" i="41"/>
  <c r="EN31" i="41"/>
  <c r="ED33" i="41"/>
  <c r="ED37" i="41"/>
  <c r="EM38" i="41"/>
  <c r="EN38" i="41" s="1"/>
  <c r="EM40" i="41"/>
  <c r="EE15" i="41"/>
  <c r="ED22" i="41"/>
  <c r="EE22" i="41" s="1"/>
  <c r="J42" i="41"/>
  <c r="AH42" i="41"/>
  <c r="BF42" i="41"/>
  <c r="CD42" i="41"/>
  <c r="DB42" i="41"/>
  <c r="EH16" i="41"/>
  <c r="ED23" i="41"/>
  <c r="EE23" i="41" s="1"/>
  <c r="EH25" i="41"/>
  <c r="EE29" i="41"/>
  <c r="EM33" i="41"/>
  <c r="EN33" i="41" s="1"/>
  <c r="M42" i="41"/>
  <c r="AK42" i="41"/>
  <c r="BI42" i="41"/>
  <c r="CG42" i="41"/>
  <c r="DE42" i="41"/>
  <c r="AZ42" i="41"/>
  <c r="BX42" i="41"/>
  <c r="CV42" i="41"/>
  <c r="DT42" i="41"/>
  <c r="EM14" i="41"/>
  <c r="ED17" i="41"/>
  <c r="EH18" i="41"/>
  <c r="AQ18" i="41"/>
  <c r="EM18" i="41" s="1"/>
  <c r="EK18" i="41"/>
  <c r="EN19" i="41"/>
  <c r="EC22" i="41"/>
  <c r="EN25" i="41"/>
  <c r="ED26" i="41"/>
  <c r="EE26" i="41" s="1"/>
  <c r="EM26" i="41"/>
  <c r="EN26" i="41" s="1"/>
  <c r="EH28" i="41"/>
  <c r="EK28" i="41"/>
  <c r="AQ28" i="41"/>
  <c r="ED28" i="41" s="1"/>
  <c r="EN29" i="41"/>
  <c r="EN30" i="41"/>
  <c r="EE35" i="41"/>
  <c r="EE38" i="41"/>
  <c r="EC38" i="41"/>
  <c r="P42" i="41"/>
  <c r="EB11" i="41"/>
  <c r="AN11" i="41"/>
  <c r="ED11" i="41" s="1"/>
  <c r="BL42" i="41"/>
  <c r="CJ42" i="41"/>
  <c r="DH42" i="41"/>
  <c r="EI5" i="41"/>
  <c r="EM15" i="41"/>
  <c r="EN15" i="41" s="1"/>
  <c r="EM27" i="41"/>
  <c r="EN27" i="41" s="1"/>
  <c r="ED31" i="41"/>
  <c r="EM32" i="41"/>
  <c r="EE37" i="41"/>
  <c r="EH40" i="41"/>
  <c r="EB28" i="41"/>
  <c r="EB36" i="41"/>
  <c r="EB41" i="41"/>
  <c r="AQ25" i="41"/>
  <c r="ED25" i="41" s="1"/>
  <c r="EE25" i="41" s="1"/>
  <c r="AQ34" i="41"/>
  <c r="ED34" i="41" s="1"/>
  <c r="EE40" i="41"/>
  <c r="EB17" i="41"/>
  <c r="EB31" i="41"/>
  <c r="EB18" i="41"/>
  <c r="EK20" i="41"/>
  <c r="EN20" i="41" s="1"/>
  <c r="EK21" i="41"/>
  <c r="EK22" i="41"/>
  <c r="EN22" i="41" s="1"/>
  <c r="EK23" i="41"/>
  <c r="EN23" i="41" s="1"/>
  <c r="EK24" i="41"/>
  <c r="AN39" i="41"/>
  <c r="ED39" i="41" s="1"/>
  <c r="EB39" i="41"/>
  <c r="AT41" i="41"/>
  <c r="ED41" i="41" s="1"/>
  <c r="EK32" i="41"/>
  <c r="EI11" i="41"/>
  <c r="EB34" i="41"/>
  <c r="EI3" i="41"/>
  <c r="EI4" i="41" s="1"/>
  <c r="ED42" i="41" l="1"/>
  <c r="EC17" i="41"/>
  <c r="EE17" i="41"/>
  <c r="EM39" i="41"/>
  <c r="EN39" i="41" s="1"/>
  <c r="EN24" i="41"/>
  <c r="EC24" i="41"/>
  <c r="EC34" i="41"/>
  <c r="EE34" i="41"/>
  <c r="EE11" i="41"/>
  <c r="EC11" i="41"/>
  <c r="EE3" i="41"/>
  <c r="EE5" i="41"/>
  <c r="G7" i="41" s="1"/>
  <c r="EM34" i="41"/>
  <c r="EN34" i="41" s="1"/>
  <c r="EN16" i="41"/>
  <c r="EN21" i="41"/>
  <c r="EC21" i="41"/>
  <c r="EN28" i="41"/>
  <c r="EN18" i="41"/>
  <c r="ED13" i="41"/>
  <c r="AT42" i="41"/>
  <c r="AQ42" i="41"/>
  <c r="EN14" i="41"/>
  <c r="EN32" i="41"/>
  <c r="EE41" i="41"/>
  <c r="EC41" i="41"/>
  <c r="EE2" i="41"/>
  <c r="EQ2" i="41" s="1"/>
  <c r="G4" i="41" s="1"/>
  <c r="EE18" i="41"/>
  <c r="EC18" i="41"/>
  <c r="EE36" i="41"/>
  <c r="EC36" i="41"/>
  <c r="EM41" i="41"/>
  <c r="EN41" i="41" s="1"/>
  <c r="EE30" i="41"/>
  <c r="EC30" i="41"/>
  <c r="EC13" i="41"/>
  <c r="EE13" i="41"/>
  <c r="EN5" i="41"/>
  <c r="EH42" i="41"/>
  <c r="EC23" i="41"/>
  <c r="AN42" i="41"/>
  <c r="EM11" i="41"/>
  <c r="EN36" i="41"/>
  <c r="EE14" i="41"/>
  <c r="EC14" i="41"/>
  <c r="EE39" i="41"/>
  <c r="EC39" i="41"/>
  <c r="EE31" i="41"/>
  <c r="EC31" i="41"/>
  <c r="EE28" i="41"/>
  <c r="EC28" i="41"/>
  <c r="EC32" i="41"/>
  <c r="EC20" i="41"/>
  <c r="EE12" i="41"/>
  <c r="EC12" i="41"/>
  <c r="EC16" i="41"/>
  <c r="EM42" i="41" l="1"/>
  <c r="EN11" i="41"/>
  <c r="G5" i="41"/>
  <c r="EE4" i="41"/>
  <c r="G6" i="41" s="1"/>
  <c r="EN4" i="41"/>
  <c r="DK39" i="40" l="1"/>
  <c r="CM39" i="40"/>
  <c r="BO39" i="40"/>
  <c r="AQ39" i="40"/>
  <c r="S39" i="40"/>
  <c r="EL38" i="40"/>
  <c r="EK38" i="40"/>
  <c r="EN38" i="40" s="1"/>
  <c r="EG38" i="40"/>
  <c r="EI38" i="40" s="1"/>
  <c r="EB38" i="40"/>
  <c r="EE38" i="40" s="1"/>
  <c r="DW38" i="40"/>
  <c r="DT38" i="40"/>
  <c r="EM38" i="40" s="1"/>
  <c r="DQ38" i="40"/>
  <c r="DN38" i="40"/>
  <c r="DK38" i="40"/>
  <c r="DH38" i="40"/>
  <c r="DE38" i="40"/>
  <c r="DB38" i="40"/>
  <c r="CY38" i="40"/>
  <c r="CV38" i="40"/>
  <c r="CS38" i="40"/>
  <c r="CP38" i="40"/>
  <c r="CM38" i="40"/>
  <c r="CJ38" i="40"/>
  <c r="CG38" i="40"/>
  <c r="CD38" i="40"/>
  <c r="CA38" i="40"/>
  <c r="BX38" i="40"/>
  <c r="BU38" i="40"/>
  <c r="BR38" i="40"/>
  <c r="BO38" i="40"/>
  <c r="BL38" i="40"/>
  <c r="BI38" i="40"/>
  <c r="BF38" i="40"/>
  <c r="BC38" i="40"/>
  <c r="AZ38" i="40"/>
  <c r="AW38" i="40"/>
  <c r="AT38" i="40"/>
  <c r="AQ38" i="40"/>
  <c r="AN38" i="40"/>
  <c r="AK38" i="40"/>
  <c r="AB38" i="40"/>
  <c r="Y38" i="40"/>
  <c r="V38" i="40"/>
  <c r="S38" i="40"/>
  <c r="EH38" i="40" s="1"/>
  <c r="P38" i="40"/>
  <c r="M38" i="40"/>
  <c r="J38" i="40"/>
  <c r="G38" i="40"/>
  <c r="D38" i="40"/>
  <c r="ED38" i="40" s="1"/>
  <c r="EL37" i="40"/>
  <c r="EK37" i="40"/>
  <c r="EI37" i="40"/>
  <c r="EG37" i="40"/>
  <c r="EC37" i="40"/>
  <c r="EB37" i="40"/>
  <c r="EE37" i="40" s="1"/>
  <c r="DW37" i="40"/>
  <c r="DT37" i="40"/>
  <c r="EM37" i="40" s="1"/>
  <c r="EN37" i="40" s="1"/>
  <c r="DQ37" i="40"/>
  <c r="DN37" i="40"/>
  <c r="DK37" i="40"/>
  <c r="DH37" i="40"/>
  <c r="DE37" i="40"/>
  <c r="DB37" i="40"/>
  <c r="CY37" i="40"/>
  <c r="CV37" i="40"/>
  <c r="CS37" i="40"/>
  <c r="CP37" i="40"/>
  <c r="CM37" i="40"/>
  <c r="CJ37" i="40"/>
  <c r="CG37" i="40"/>
  <c r="CD37" i="40"/>
  <c r="CA37" i="40"/>
  <c r="BX37" i="40"/>
  <c r="BU37" i="40"/>
  <c r="BR37" i="40"/>
  <c r="BO37" i="40"/>
  <c r="BL37" i="40"/>
  <c r="BI37" i="40"/>
  <c r="BF37" i="40"/>
  <c r="BC37" i="40"/>
  <c r="AZ37" i="40"/>
  <c r="AW37" i="40"/>
  <c r="AT37" i="40"/>
  <c r="AQ37" i="40"/>
  <c r="AN37" i="40"/>
  <c r="AK37" i="40"/>
  <c r="AB37" i="40"/>
  <c r="Y37" i="40"/>
  <c r="EH37" i="40" s="1"/>
  <c r="V37" i="40"/>
  <c r="S37" i="40"/>
  <c r="P37" i="40"/>
  <c r="M37" i="40"/>
  <c r="J37" i="40"/>
  <c r="G37" i="40"/>
  <c r="D37" i="40"/>
  <c r="ED37" i="40" s="1"/>
  <c r="EL36" i="40"/>
  <c r="EK36" i="40"/>
  <c r="EG36" i="40"/>
  <c r="EI36" i="40" s="1"/>
  <c r="EB36" i="40"/>
  <c r="EC36" i="40" s="1"/>
  <c r="DW36" i="40"/>
  <c r="DT36" i="40"/>
  <c r="EM36" i="40" s="1"/>
  <c r="DQ36" i="40"/>
  <c r="DN36" i="40"/>
  <c r="DK36" i="40"/>
  <c r="DH36" i="40"/>
  <c r="DE36" i="40"/>
  <c r="DB36" i="40"/>
  <c r="CY36" i="40"/>
  <c r="CV36" i="40"/>
  <c r="CS36" i="40"/>
  <c r="CP36" i="40"/>
  <c r="CM36" i="40"/>
  <c r="CJ36" i="40"/>
  <c r="CG36" i="40"/>
  <c r="CD36" i="40"/>
  <c r="CA36" i="40"/>
  <c r="BX36" i="40"/>
  <c r="BU36" i="40"/>
  <c r="BR36" i="40"/>
  <c r="BO36" i="40"/>
  <c r="BL36" i="40"/>
  <c r="BI36" i="40"/>
  <c r="BF36" i="40"/>
  <c r="BC36" i="40"/>
  <c r="AZ36" i="40"/>
  <c r="AW36" i="40"/>
  <c r="AT36" i="40"/>
  <c r="AQ36" i="40"/>
  <c r="AN36" i="40"/>
  <c r="AK36" i="40"/>
  <c r="AB36" i="40"/>
  <c r="Y36" i="40"/>
  <c r="V36" i="40"/>
  <c r="S36" i="40"/>
  <c r="EH36" i="40" s="1"/>
  <c r="P36" i="40"/>
  <c r="M36" i="40"/>
  <c r="J36" i="40"/>
  <c r="G36" i="40"/>
  <c r="D36" i="40"/>
  <c r="ED36" i="40" s="1"/>
  <c r="EE36" i="40" s="1"/>
  <c r="EL35" i="40"/>
  <c r="EK35" i="40"/>
  <c r="EI35" i="40"/>
  <c r="EG35" i="40"/>
  <c r="EC35" i="40"/>
  <c r="EB35" i="40"/>
  <c r="DW35" i="40"/>
  <c r="DT35" i="40"/>
  <c r="EM35" i="40" s="1"/>
  <c r="EN35" i="40" s="1"/>
  <c r="DQ35" i="40"/>
  <c r="DN35" i="40"/>
  <c r="DK35" i="40"/>
  <c r="DH35" i="40"/>
  <c r="DE35" i="40"/>
  <c r="DB35" i="40"/>
  <c r="CY35" i="40"/>
  <c r="CV35" i="40"/>
  <c r="CS35" i="40"/>
  <c r="CP35" i="40"/>
  <c r="CM35" i="40"/>
  <c r="CJ35" i="40"/>
  <c r="CG35" i="40"/>
  <c r="CD35" i="40"/>
  <c r="CA35" i="40"/>
  <c r="BX35" i="40"/>
  <c r="BU35" i="40"/>
  <c r="BR35" i="40"/>
  <c r="BO35" i="40"/>
  <c r="BL35" i="40"/>
  <c r="BI35" i="40"/>
  <c r="BF35" i="40"/>
  <c r="BC35" i="40"/>
  <c r="AZ35" i="40"/>
  <c r="AW35" i="40"/>
  <c r="AT35" i="40"/>
  <c r="AQ35" i="40"/>
  <c r="AN35" i="40"/>
  <c r="AK35" i="40"/>
  <c r="AB35" i="40"/>
  <c r="Y35" i="40"/>
  <c r="EH35" i="40" s="1"/>
  <c r="V35" i="40"/>
  <c r="S35" i="40"/>
  <c r="P35" i="40"/>
  <c r="ED35" i="40" s="1"/>
  <c r="M35" i="40"/>
  <c r="J35" i="40"/>
  <c r="G35" i="40"/>
  <c r="D35" i="40"/>
  <c r="EL34" i="40"/>
  <c r="EK34" i="40"/>
  <c r="EN34" i="40" s="1"/>
  <c r="EG34" i="40"/>
  <c r="EI34" i="40" s="1"/>
  <c r="EB34" i="40"/>
  <c r="EE34" i="40" s="1"/>
  <c r="DW34" i="40"/>
  <c r="DT34" i="40"/>
  <c r="EM34" i="40" s="1"/>
  <c r="DQ34" i="40"/>
  <c r="DN34" i="40"/>
  <c r="DK34" i="40"/>
  <c r="DH34" i="40"/>
  <c r="DE34" i="40"/>
  <c r="DB34" i="40"/>
  <c r="CY34" i="40"/>
  <c r="CV34" i="40"/>
  <c r="CS34" i="40"/>
  <c r="CP34" i="40"/>
  <c r="CM34" i="40"/>
  <c r="CJ34" i="40"/>
  <c r="CG34" i="40"/>
  <c r="CD34" i="40"/>
  <c r="CA34" i="40"/>
  <c r="BX34" i="40"/>
  <c r="BU34" i="40"/>
  <c r="BR34" i="40"/>
  <c r="BO34" i="40"/>
  <c r="BL34" i="40"/>
  <c r="BI34" i="40"/>
  <c r="BF34" i="40"/>
  <c r="BC34" i="40"/>
  <c r="AZ34" i="40"/>
  <c r="AW34" i="40"/>
  <c r="AT34" i="40"/>
  <c r="AQ34" i="40"/>
  <c r="AN34" i="40"/>
  <c r="AK34" i="40"/>
  <c r="AB34" i="40"/>
  <c r="Y34" i="40"/>
  <c r="V34" i="40"/>
  <c r="S34" i="40"/>
  <c r="EH34" i="40" s="1"/>
  <c r="P34" i="40"/>
  <c r="M34" i="40"/>
  <c r="J34" i="40"/>
  <c r="G34" i="40"/>
  <c r="D34" i="40"/>
  <c r="ED34" i="40" s="1"/>
  <c r="EL33" i="40"/>
  <c r="EK33" i="40"/>
  <c r="EI33" i="40"/>
  <c r="EG33" i="40"/>
  <c r="EC33" i="40"/>
  <c r="EB33" i="40"/>
  <c r="EE33" i="40" s="1"/>
  <c r="DW33" i="40"/>
  <c r="DT33" i="40"/>
  <c r="EM33" i="40" s="1"/>
  <c r="EN33" i="40" s="1"/>
  <c r="DQ33" i="40"/>
  <c r="DN33" i="40"/>
  <c r="DK33" i="40"/>
  <c r="DH33" i="40"/>
  <c r="DE33" i="40"/>
  <c r="DB33" i="40"/>
  <c r="CY33" i="40"/>
  <c r="CV33" i="40"/>
  <c r="CS33" i="40"/>
  <c r="CP33" i="40"/>
  <c r="CM33" i="40"/>
  <c r="CJ33" i="40"/>
  <c r="CG33" i="40"/>
  <c r="CD33" i="40"/>
  <c r="CA33" i="40"/>
  <c r="BX33" i="40"/>
  <c r="BU33" i="40"/>
  <c r="BR33" i="40"/>
  <c r="BO33" i="40"/>
  <c r="BL33" i="40"/>
  <c r="BI33" i="40"/>
  <c r="BF33" i="40"/>
  <c r="BC33" i="40"/>
  <c r="AZ33" i="40"/>
  <c r="AW33" i="40"/>
  <c r="AT33" i="40"/>
  <c r="AQ33" i="40"/>
  <c r="AN33" i="40"/>
  <c r="AK33" i="40"/>
  <c r="AB33" i="40"/>
  <c r="Y33" i="40"/>
  <c r="EH33" i="40" s="1"/>
  <c r="V33" i="40"/>
  <c r="S33" i="40"/>
  <c r="P33" i="40"/>
  <c r="M33" i="40"/>
  <c r="J33" i="40"/>
  <c r="G33" i="40"/>
  <c r="D33" i="40"/>
  <c r="ED33" i="40" s="1"/>
  <c r="EL32" i="40"/>
  <c r="EK32" i="40"/>
  <c r="EN32" i="40" s="1"/>
  <c r="EG32" i="40"/>
  <c r="EI32" i="40" s="1"/>
  <c r="EB32" i="40"/>
  <c r="DW32" i="40"/>
  <c r="DT32" i="40"/>
  <c r="EM32" i="40" s="1"/>
  <c r="DQ32" i="40"/>
  <c r="DN32" i="40"/>
  <c r="DK32" i="40"/>
  <c r="DH32" i="40"/>
  <c r="DE32" i="40"/>
  <c r="DB32" i="40"/>
  <c r="CY32" i="40"/>
  <c r="CV32" i="40"/>
  <c r="CS32" i="40"/>
  <c r="CP32" i="40"/>
  <c r="CM32" i="40"/>
  <c r="CJ32" i="40"/>
  <c r="CG32" i="40"/>
  <c r="CD32" i="40"/>
  <c r="CA32" i="40"/>
  <c r="BX32" i="40"/>
  <c r="BU32" i="40"/>
  <c r="BR32" i="40"/>
  <c r="BO32" i="40"/>
  <c r="BL32" i="40"/>
  <c r="BI32" i="40"/>
  <c r="BF32" i="40"/>
  <c r="BC32" i="40"/>
  <c r="AZ32" i="40"/>
  <c r="AW32" i="40"/>
  <c r="AT32" i="40"/>
  <c r="AQ32" i="40"/>
  <c r="AN32" i="40"/>
  <c r="AK32" i="40"/>
  <c r="AB32" i="40"/>
  <c r="Y32" i="40"/>
  <c r="V32" i="40"/>
  <c r="S32" i="40"/>
  <c r="EH32" i="40" s="1"/>
  <c r="P32" i="40"/>
  <c r="M32" i="40"/>
  <c r="J32" i="40"/>
  <c r="G32" i="40"/>
  <c r="D32" i="40"/>
  <c r="ED32" i="40" s="1"/>
  <c r="EL31" i="40"/>
  <c r="EK31" i="40"/>
  <c r="EI31" i="40"/>
  <c r="EG31" i="40"/>
  <c r="EC31" i="40"/>
  <c r="EB31" i="40"/>
  <c r="DW31" i="40"/>
  <c r="DT31" i="40"/>
  <c r="EM31" i="40" s="1"/>
  <c r="EN31" i="40" s="1"/>
  <c r="DQ31" i="40"/>
  <c r="DN31" i="40"/>
  <c r="DK31" i="40"/>
  <c r="DH31" i="40"/>
  <c r="DE31" i="40"/>
  <c r="DB31" i="40"/>
  <c r="CY31" i="40"/>
  <c r="CV31" i="40"/>
  <c r="CS31" i="40"/>
  <c r="CP31" i="40"/>
  <c r="CM31" i="40"/>
  <c r="CJ31" i="40"/>
  <c r="CG31" i="40"/>
  <c r="CD31" i="40"/>
  <c r="CA31" i="40"/>
  <c r="BX31" i="40"/>
  <c r="BU31" i="40"/>
  <c r="BR31" i="40"/>
  <c r="BO31" i="40"/>
  <c r="BL31" i="40"/>
  <c r="BI31" i="40"/>
  <c r="BF31" i="40"/>
  <c r="BC31" i="40"/>
  <c r="AZ31" i="40"/>
  <c r="AW31" i="40"/>
  <c r="AT31" i="40"/>
  <c r="AQ31" i="40"/>
  <c r="AN31" i="40"/>
  <c r="AK31" i="40"/>
  <c r="AB31" i="40"/>
  <c r="Y31" i="40"/>
  <c r="EH31" i="40" s="1"/>
  <c r="V31" i="40"/>
  <c r="S31" i="40"/>
  <c r="P31" i="40"/>
  <c r="ED31" i="40" s="1"/>
  <c r="M31" i="40"/>
  <c r="J31" i="40"/>
  <c r="G31" i="40"/>
  <c r="D31" i="40"/>
  <c r="EL30" i="40"/>
  <c r="EK30" i="40"/>
  <c r="EN30" i="40" s="1"/>
  <c r="EG30" i="40"/>
  <c r="EI30" i="40" s="1"/>
  <c r="EB30" i="40"/>
  <c r="EE30" i="40" s="1"/>
  <c r="DW30" i="40"/>
  <c r="DT30" i="40"/>
  <c r="EM30" i="40" s="1"/>
  <c r="DQ30" i="40"/>
  <c r="DN30" i="40"/>
  <c r="DK30" i="40"/>
  <c r="DH30" i="40"/>
  <c r="DE30" i="40"/>
  <c r="DB30" i="40"/>
  <c r="CY30" i="40"/>
  <c r="CV30" i="40"/>
  <c r="CS30" i="40"/>
  <c r="CP30" i="40"/>
  <c r="CM30" i="40"/>
  <c r="CJ30" i="40"/>
  <c r="CG30" i="40"/>
  <c r="CD30" i="40"/>
  <c r="CA30" i="40"/>
  <c r="BX30" i="40"/>
  <c r="BU30" i="40"/>
  <c r="BR30" i="40"/>
  <c r="BO30" i="40"/>
  <c r="BL30" i="40"/>
  <c r="BI30" i="40"/>
  <c r="BF30" i="40"/>
  <c r="BC30" i="40"/>
  <c r="AZ30" i="40"/>
  <c r="AW30" i="40"/>
  <c r="AT30" i="40"/>
  <c r="AQ30" i="40"/>
  <c r="AN30" i="40"/>
  <c r="AK30" i="40"/>
  <c r="AB30" i="40"/>
  <c r="Y30" i="40"/>
  <c r="V30" i="40"/>
  <c r="S30" i="40"/>
  <c r="EH30" i="40" s="1"/>
  <c r="P30" i="40"/>
  <c r="M30" i="40"/>
  <c r="J30" i="40"/>
  <c r="G30" i="40"/>
  <c r="D30" i="40"/>
  <c r="ED30" i="40" s="1"/>
  <c r="EL29" i="40"/>
  <c r="EK29" i="40"/>
  <c r="EI29" i="40"/>
  <c r="EG29" i="40"/>
  <c r="EC29" i="40"/>
  <c r="EB29" i="40"/>
  <c r="EE29" i="40" s="1"/>
  <c r="DW29" i="40"/>
  <c r="DT29" i="40"/>
  <c r="EM29" i="40" s="1"/>
  <c r="EN29" i="40" s="1"/>
  <c r="DQ29" i="40"/>
  <c r="DN29" i="40"/>
  <c r="DK29" i="40"/>
  <c r="DH29" i="40"/>
  <c r="DE29" i="40"/>
  <c r="DB29" i="40"/>
  <c r="CY29" i="40"/>
  <c r="CV29" i="40"/>
  <c r="CS29" i="40"/>
  <c r="CP29" i="40"/>
  <c r="CM29" i="40"/>
  <c r="CJ29" i="40"/>
  <c r="CG29" i="40"/>
  <c r="CD29" i="40"/>
  <c r="CA29" i="40"/>
  <c r="BX29" i="40"/>
  <c r="BU29" i="40"/>
  <c r="BR29" i="40"/>
  <c r="BO29" i="40"/>
  <c r="BL29" i="40"/>
  <c r="BI29" i="40"/>
  <c r="BF29" i="40"/>
  <c r="BC29" i="40"/>
  <c r="AZ29" i="40"/>
  <c r="AW29" i="40"/>
  <c r="AT29" i="40"/>
  <c r="AQ29" i="40"/>
  <c r="AN29" i="40"/>
  <c r="AK29" i="40"/>
  <c r="AB29" i="40"/>
  <c r="Y29" i="40"/>
  <c r="EH29" i="40" s="1"/>
  <c r="V29" i="40"/>
  <c r="S29" i="40"/>
  <c r="P29" i="40"/>
  <c r="M29" i="40"/>
  <c r="J29" i="40"/>
  <c r="G29" i="40"/>
  <c r="D29" i="40"/>
  <c r="ED29" i="40" s="1"/>
  <c r="EL28" i="40"/>
  <c r="EK28" i="40"/>
  <c r="EG28" i="40"/>
  <c r="EI28" i="40" s="1"/>
  <c r="EB28" i="40"/>
  <c r="DW28" i="40"/>
  <c r="DT28" i="40"/>
  <c r="EM28" i="40" s="1"/>
  <c r="DQ28" i="40"/>
  <c r="DN28" i="40"/>
  <c r="DK28" i="40"/>
  <c r="DH28" i="40"/>
  <c r="DE28" i="40"/>
  <c r="DB28" i="40"/>
  <c r="CY28" i="40"/>
  <c r="CV28" i="40"/>
  <c r="CS28" i="40"/>
  <c r="CP28" i="40"/>
  <c r="CM28" i="40"/>
  <c r="CJ28" i="40"/>
  <c r="CG28" i="40"/>
  <c r="CD28" i="40"/>
  <c r="CA28" i="40"/>
  <c r="BX28" i="40"/>
  <c r="BU28" i="40"/>
  <c r="BR28" i="40"/>
  <c r="BO28" i="40"/>
  <c r="BL28" i="40"/>
  <c r="BI28" i="40"/>
  <c r="BF28" i="40"/>
  <c r="BC28" i="40"/>
  <c r="AZ28" i="40"/>
  <c r="AW28" i="40"/>
  <c r="AT28" i="40"/>
  <c r="AQ28" i="40"/>
  <c r="AN28" i="40"/>
  <c r="AK28" i="40"/>
  <c r="AB28" i="40"/>
  <c r="Y28" i="40"/>
  <c r="V28" i="40"/>
  <c r="S28" i="40"/>
  <c r="EH28" i="40" s="1"/>
  <c r="P28" i="40"/>
  <c r="M28" i="40"/>
  <c r="J28" i="40"/>
  <c r="G28" i="40"/>
  <c r="D28" i="40"/>
  <c r="ED28" i="40" s="1"/>
  <c r="EL27" i="40"/>
  <c r="EK27" i="40"/>
  <c r="EI27" i="40"/>
  <c r="EG27" i="40"/>
  <c r="EC27" i="40"/>
  <c r="EB27" i="40"/>
  <c r="DW27" i="40"/>
  <c r="DT27" i="40"/>
  <c r="EM27" i="40" s="1"/>
  <c r="EN27" i="40" s="1"/>
  <c r="DQ27" i="40"/>
  <c r="DN27" i="40"/>
  <c r="DK27" i="40"/>
  <c r="DH27" i="40"/>
  <c r="DE27" i="40"/>
  <c r="DB27" i="40"/>
  <c r="CY27" i="40"/>
  <c r="CV27" i="40"/>
  <c r="CS27" i="40"/>
  <c r="CP27" i="40"/>
  <c r="CM27" i="40"/>
  <c r="CJ27" i="40"/>
  <c r="CG27" i="40"/>
  <c r="CD27" i="40"/>
  <c r="CA27" i="40"/>
  <c r="BX27" i="40"/>
  <c r="BU27" i="40"/>
  <c r="BR27" i="40"/>
  <c r="BO27" i="40"/>
  <c r="BL27" i="40"/>
  <c r="BI27" i="40"/>
  <c r="BF27" i="40"/>
  <c r="BC27" i="40"/>
  <c r="AZ27" i="40"/>
  <c r="AW27" i="40"/>
  <c r="AT27" i="40"/>
  <c r="AQ27" i="40"/>
  <c r="AN27" i="40"/>
  <c r="AK27" i="40"/>
  <c r="AB27" i="40"/>
  <c r="Y27" i="40"/>
  <c r="EH27" i="40" s="1"/>
  <c r="V27" i="40"/>
  <c r="S27" i="40"/>
  <c r="P27" i="40"/>
  <c r="ED27" i="40" s="1"/>
  <c r="M27" i="40"/>
  <c r="J27" i="40"/>
  <c r="G27" i="40"/>
  <c r="D27" i="40"/>
  <c r="EL26" i="40"/>
  <c r="EK26" i="40"/>
  <c r="EN26" i="40" s="1"/>
  <c r="EG26" i="40"/>
  <c r="EI26" i="40" s="1"/>
  <c r="EB26" i="40"/>
  <c r="EE26" i="40" s="1"/>
  <c r="DW26" i="40"/>
  <c r="DT26" i="40"/>
  <c r="EM26" i="40" s="1"/>
  <c r="DQ26" i="40"/>
  <c r="DN26" i="40"/>
  <c r="DK26" i="40"/>
  <c r="DH26" i="40"/>
  <c r="DE26" i="40"/>
  <c r="DB26" i="40"/>
  <c r="CY26" i="40"/>
  <c r="CV26" i="40"/>
  <c r="CS26" i="40"/>
  <c r="CP26" i="40"/>
  <c r="CM26" i="40"/>
  <c r="CJ26" i="40"/>
  <c r="CG26" i="40"/>
  <c r="CD26" i="40"/>
  <c r="CA26" i="40"/>
  <c r="BX26" i="40"/>
  <c r="BU26" i="40"/>
  <c r="BR26" i="40"/>
  <c r="BO26" i="40"/>
  <c r="BL26" i="40"/>
  <c r="BI26" i="40"/>
  <c r="BF26" i="40"/>
  <c r="BC26" i="40"/>
  <c r="AZ26" i="40"/>
  <c r="AW26" i="40"/>
  <c r="AT26" i="40"/>
  <c r="AQ26" i="40"/>
  <c r="AN26" i="40"/>
  <c r="AK26" i="40"/>
  <c r="AB26" i="40"/>
  <c r="Y26" i="40"/>
  <c r="V26" i="40"/>
  <c r="S26" i="40"/>
  <c r="EH26" i="40" s="1"/>
  <c r="P26" i="40"/>
  <c r="M26" i="40"/>
  <c r="J26" i="40"/>
  <c r="G26" i="40"/>
  <c r="D26" i="40"/>
  <c r="ED26" i="40" s="1"/>
  <c r="EL25" i="40"/>
  <c r="EK25" i="40"/>
  <c r="EI25" i="40"/>
  <c r="EG25" i="40"/>
  <c r="EC25" i="40"/>
  <c r="EB25" i="40"/>
  <c r="EE25" i="40" s="1"/>
  <c r="DW25" i="40"/>
  <c r="DT25" i="40"/>
  <c r="EM25" i="40" s="1"/>
  <c r="EN25" i="40" s="1"/>
  <c r="DQ25" i="40"/>
  <c r="DN25" i="40"/>
  <c r="DK25" i="40"/>
  <c r="DH25" i="40"/>
  <c r="DE25" i="40"/>
  <c r="DB25" i="40"/>
  <c r="CY25" i="40"/>
  <c r="CV25" i="40"/>
  <c r="CS25" i="40"/>
  <c r="CP25" i="40"/>
  <c r="CM25" i="40"/>
  <c r="CJ25" i="40"/>
  <c r="CG25" i="40"/>
  <c r="CD25" i="40"/>
  <c r="CA25" i="40"/>
  <c r="BX25" i="40"/>
  <c r="BU25" i="40"/>
  <c r="BR25" i="40"/>
  <c r="BO25" i="40"/>
  <c r="BL25" i="40"/>
  <c r="BI25" i="40"/>
  <c r="BF25" i="40"/>
  <c r="BC25" i="40"/>
  <c r="AZ25" i="40"/>
  <c r="AW25" i="40"/>
  <c r="AT25" i="40"/>
  <c r="AQ25" i="40"/>
  <c r="AN25" i="40"/>
  <c r="AK25" i="40"/>
  <c r="AB25" i="40"/>
  <c r="Y25" i="40"/>
  <c r="EH25" i="40" s="1"/>
  <c r="V25" i="40"/>
  <c r="S25" i="40"/>
  <c r="P25" i="40"/>
  <c r="M25" i="40"/>
  <c r="J25" i="40"/>
  <c r="G25" i="40"/>
  <c r="D25" i="40"/>
  <c r="ED25" i="40" s="1"/>
  <c r="EL24" i="40"/>
  <c r="EK24" i="40"/>
  <c r="EN24" i="40" s="1"/>
  <c r="EG24" i="40"/>
  <c r="EI24" i="40" s="1"/>
  <c r="EB24" i="40"/>
  <c r="DW24" i="40"/>
  <c r="DT24" i="40"/>
  <c r="EM24" i="40" s="1"/>
  <c r="DQ24" i="40"/>
  <c r="DN24" i="40"/>
  <c r="DK24" i="40"/>
  <c r="DH24" i="40"/>
  <c r="DE24" i="40"/>
  <c r="DB24" i="40"/>
  <c r="CY24" i="40"/>
  <c r="CV24" i="40"/>
  <c r="CS24" i="40"/>
  <c r="CP24" i="40"/>
  <c r="CM24" i="40"/>
  <c r="CJ24" i="40"/>
  <c r="CG24" i="40"/>
  <c r="CD24" i="40"/>
  <c r="CA24" i="40"/>
  <c r="BX24" i="40"/>
  <c r="BU24" i="40"/>
  <c r="BR24" i="40"/>
  <c r="BO24" i="40"/>
  <c r="BL24" i="40"/>
  <c r="BI24" i="40"/>
  <c r="BF24" i="40"/>
  <c r="BC24" i="40"/>
  <c r="AZ24" i="40"/>
  <c r="AW24" i="40"/>
  <c r="AT24" i="40"/>
  <c r="AQ24" i="40"/>
  <c r="AN24" i="40"/>
  <c r="AK24" i="40"/>
  <c r="AB24" i="40"/>
  <c r="Y24" i="40"/>
  <c r="V24" i="40"/>
  <c r="S24" i="40"/>
  <c r="EH24" i="40" s="1"/>
  <c r="P24" i="40"/>
  <c r="M24" i="40"/>
  <c r="J24" i="40"/>
  <c r="G24" i="40"/>
  <c r="D24" i="40"/>
  <c r="ED24" i="40" s="1"/>
  <c r="EL23" i="40"/>
  <c r="EK23" i="40"/>
  <c r="EI23" i="40"/>
  <c r="EG23" i="40"/>
  <c r="EB23" i="40"/>
  <c r="EC23" i="40" s="1"/>
  <c r="DW23" i="40"/>
  <c r="DT23" i="40"/>
  <c r="EM23" i="40" s="1"/>
  <c r="EN23" i="40" s="1"/>
  <c r="DQ23" i="40"/>
  <c r="DN23" i="40"/>
  <c r="DK23" i="40"/>
  <c r="DH23" i="40"/>
  <c r="DE23" i="40"/>
  <c r="DB23" i="40"/>
  <c r="CY23" i="40"/>
  <c r="CV23" i="40"/>
  <c r="CS23" i="40"/>
  <c r="CP23" i="40"/>
  <c r="CM23" i="40"/>
  <c r="CJ23" i="40"/>
  <c r="CG23" i="40"/>
  <c r="CD23" i="40"/>
  <c r="CA23" i="40"/>
  <c r="BX23" i="40"/>
  <c r="BU23" i="40"/>
  <c r="BR23" i="40"/>
  <c r="BO23" i="40"/>
  <c r="BL23" i="40"/>
  <c r="BI23" i="40"/>
  <c r="BF23" i="40"/>
  <c r="BC23" i="40"/>
  <c r="AZ23" i="40"/>
  <c r="AW23" i="40"/>
  <c r="AT23" i="40"/>
  <c r="AQ23" i="40"/>
  <c r="AN23" i="40"/>
  <c r="AK23" i="40"/>
  <c r="AB23" i="40"/>
  <c r="Y23" i="40"/>
  <c r="EH23" i="40" s="1"/>
  <c r="V23" i="40"/>
  <c r="S23" i="40"/>
  <c r="P23" i="40"/>
  <c r="ED23" i="40" s="1"/>
  <c r="M23" i="40"/>
  <c r="J23" i="40"/>
  <c r="G23" i="40"/>
  <c r="D23" i="40"/>
  <c r="EL22" i="40"/>
  <c r="EK22" i="40"/>
  <c r="EG22" i="40"/>
  <c r="EI22" i="40" s="1"/>
  <c r="EB22" i="40"/>
  <c r="DW22" i="40"/>
  <c r="DT22" i="40"/>
  <c r="EM22" i="40" s="1"/>
  <c r="DQ22" i="40"/>
  <c r="DN22" i="40"/>
  <c r="DK22" i="40"/>
  <c r="DH22" i="40"/>
  <c r="DE22" i="40"/>
  <c r="DB22" i="40"/>
  <c r="CY22" i="40"/>
  <c r="CV22" i="40"/>
  <c r="CS22" i="40"/>
  <c r="CP22" i="40"/>
  <c r="CM22" i="40"/>
  <c r="CJ22" i="40"/>
  <c r="CG22" i="40"/>
  <c r="CD22" i="40"/>
  <c r="CA22" i="40"/>
  <c r="BX22" i="40"/>
  <c r="BU22" i="40"/>
  <c r="BR22" i="40"/>
  <c r="BO22" i="40"/>
  <c r="BL22" i="40"/>
  <c r="BI22" i="40"/>
  <c r="BF22" i="40"/>
  <c r="BC22" i="40"/>
  <c r="AZ22" i="40"/>
  <c r="AW22" i="40"/>
  <c r="AT22" i="40"/>
  <c r="AQ22" i="40"/>
  <c r="AN22" i="40"/>
  <c r="AK22" i="40"/>
  <c r="AB22" i="40"/>
  <c r="Y22" i="40"/>
  <c r="V22" i="40"/>
  <c r="S22" i="40"/>
  <c r="EH22" i="40" s="1"/>
  <c r="P22" i="40"/>
  <c r="M22" i="40"/>
  <c r="J22" i="40"/>
  <c r="G22" i="40"/>
  <c r="D22" i="40"/>
  <c r="ED22" i="40" s="1"/>
  <c r="EL21" i="40"/>
  <c r="EK21" i="40"/>
  <c r="EI21" i="40"/>
  <c r="EG21" i="40"/>
  <c r="EC21" i="40"/>
  <c r="EB21" i="40"/>
  <c r="DW21" i="40"/>
  <c r="DT21" i="40"/>
  <c r="EM21" i="40" s="1"/>
  <c r="EN21" i="40" s="1"/>
  <c r="DQ21" i="40"/>
  <c r="DN21" i="40"/>
  <c r="DK21" i="40"/>
  <c r="DH21" i="40"/>
  <c r="DE21" i="40"/>
  <c r="DB21" i="40"/>
  <c r="CY21" i="40"/>
  <c r="CV21" i="40"/>
  <c r="CS21" i="40"/>
  <c r="CP21" i="40"/>
  <c r="CM21" i="40"/>
  <c r="CJ21" i="40"/>
  <c r="CG21" i="40"/>
  <c r="CD21" i="40"/>
  <c r="CA21" i="40"/>
  <c r="BX21" i="40"/>
  <c r="BU21" i="40"/>
  <c r="BR21" i="40"/>
  <c r="BO21" i="40"/>
  <c r="BL21" i="40"/>
  <c r="BI21" i="40"/>
  <c r="BF21" i="40"/>
  <c r="BC21" i="40"/>
  <c r="AZ21" i="40"/>
  <c r="AW21" i="40"/>
  <c r="AT21" i="40"/>
  <c r="AQ21" i="40"/>
  <c r="AN21" i="40"/>
  <c r="AK21" i="40"/>
  <c r="AB21" i="40"/>
  <c r="Y21" i="40"/>
  <c r="V21" i="40"/>
  <c r="EH21" i="40" s="1"/>
  <c r="S21" i="40"/>
  <c r="P21" i="40"/>
  <c r="M21" i="40"/>
  <c r="J21" i="40"/>
  <c r="G21" i="40"/>
  <c r="D21" i="40"/>
  <c r="ED21" i="40" s="1"/>
  <c r="EL20" i="40"/>
  <c r="EK20" i="40"/>
  <c r="EG20" i="40"/>
  <c r="EI20" i="40" s="1"/>
  <c r="EB20" i="40"/>
  <c r="DW20" i="40"/>
  <c r="DT20" i="40"/>
  <c r="EM20" i="40" s="1"/>
  <c r="DQ20" i="40"/>
  <c r="DN20" i="40"/>
  <c r="DK20" i="40"/>
  <c r="DH20" i="40"/>
  <c r="DE20" i="40"/>
  <c r="DB20" i="40"/>
  <c r="CY20" i="40"/>
  <c r="CV20" i="40"/>
  <c r="CS20" i="40"/>
  <c r="CP20" i="40"/>
  <c r="CM20" i="40"/>
  <c r="CJ20" i="40"/>
  <c r="CG20" i="40"/>
  <c r="CD20" i="40"/>
  <c r="CA20" i="40"/>
  <c r="BX20" i="40"/>
  <c r="BU20" i="40"/>
  <c r="BR20" i="40"/>
  <c r="BO20" i="40"/>
  <c r="BL20" i="40"/>
  <c r="BI20" i="40"/>
  <c r="BF20" i="40"/>
  <c r="BC20" i="40"/>
  <c r="AZ20" i="40"/>
  <c r="AW20" i="40"/>
  <c r="AT20" i="40"/>
  <c r="AQ20" i="40"/>
  <c r="AN20" i="40"/>
  <c r="AK20" i="40"/>
  <c r="AB20" i="40"/>
  <c r="Y20" i="40"/>
  <c r="V20" i="40"/>
  <c r="S20" i="40"/>
  <c r="EH20" i="40" s="1"/>
  <c r="P20" i="40"/>
  <c r="M20" i="40"/>
  <c r="J20" i="40"/>
  <c r="G20" i="40"/>
  <c r="D20" i="40"/>
  <c r="ED20" i="40" s="1"/>
  <c r="EL19" i="40"/>
  <c r="EK19" i="40"/>
  <c r="EI19" i="40"/>
  <c r="EG19" i="40"/>
  <c r="EB19" i="40"/>
  <c r="EC19" i="40" s="1"/>
  <c r="DW19" i="40"/>
  <c r="DT19" i="40"/>
  <c r="EM19" i="40" s="1"/>
  <c r="EN19" i="40" s="1"/>
  <c r="DQ19" i="40"/>
  <c r="DN19" i="40"/>
  <c r="DK19" i="40"/>
  <c r="DH19" i="40"/>
  <c r="DE19" i="40"/>
  <c r="DB19" i="40"/>
  <c r="CY19" i="40"/>
  <c r="CV19" i="40"/>
  <c r="CS19" i="40"/>
  <c r="CP19" i="40"/>
  <c r="CM19" i="40"/>
  <c r="CJ19" i="40"/>
  <c r="CG19" i="40"/>
  <c r="CD19" i="40"/>
  <c r="CA19" i="40"/>
  <c r="BX19" i="40"/>
  <c r="BU19" i="40"/>
  <c r="BR19" i="40"/>
  <c r="BO19" i="40"/>
  <c r="BL19" i="40"/>
  <c r="BI19" i="40"/>
  <c r="BF19" i="40"/>
  <c r="BC19" i="40"/>
  <c r="AZ19" i="40"/>
  <c r="AW19" i="40"/>
  <c r="AT19" i="40"/>
  <c r="AQ19" i="40"/>
  <c r="AN19" i="40"/>
  <c r="AK19" i="40"/>
  <c r="AB19" i="40"/>
  <c r="Y19" i="40"/>
  <c r="EH19" i="40" s="1"/>
  <c r="V19" i="40"/>
  <c r="S19" i="40"/>
  <c r="P19" i="40"/>
  <c r="ED19" i="40" s="1"/>
  <c r="M19" i="40"/>
  <c r="J19" i="40"/>
  <c r="G19" i="40"/>
  <c r="D19" i="40"/>
  <c r="EL18" i="40"/>
  <c r="EK18" i="40"/>
  <c r="EG18" i="40"/>
  <c r="EI18" i="40" s="1"/>
  <c r="EB18" i="40"/>
  <c r="DW18" i="40"/>
  <c r="DT18" i="40"/>
  <c r="EM18" i="40" s="1"/>
  <c r="DQ18" i="40"/>
  <c r="DN18" i="40"/>
  <c r="DK18" i="40"/>
  <c r="DH18" i="40"/>
  <c r="DE18" i="40"/>
  <c r="DB18" i="40"/>
  <c r="CY18" i="40"/>
  <c r="CV18" i="40"/>
  <c r="CS18" i="40"/>
  <c r="CP18" i="40"/>
  <c r="CM18" i="40"/>
  <c r="CJ18" i="40"/>
  <c r="CG18" i="40"/>
  <c r="CD18" i="40"/>
  <c r="CA18" i="40"/>
  <c r="BX18" i="40"/>
  <c r="BU18" i="40"/>
  <c r="BR18" i="40"/>
  <c r="BO18" i="40"/>
  <c r="BL18" i="40"/>
  <c r="BI18" i="40"/>
  <c r="BF18" i="40"/>
  <c r="BC18" i="40"/>
  <c r="AZ18" i="40"/>
  <c r="AW18" i="40"/>
  <c r="AT18" i="40"/>
  <c r="AQ18" i="40"/>
  <c r="AN18" i="40"/>
  <c r="AK18" i="40"/>
  <c r="AB18" i="40"/>
  <c r="Y18" i="40"/>
  <c r="V18" i="40"/>
  <c r="S18" i="40"/>
  <c r="EH18" i="40" s="1"/>
  <c r="P18" i="40"/>
  <c r="M18" i="40"/>
  <c r="J18" i="40"/>
  <c r="G18" i="40"/>
  <c r="D18" i="40"/>
  <c r="ED18" i="40" s="1"/>
  <c r="EL17" i="40"/>
  <c r="EK17" i="40"/>
  <c r="EI17" i="40"/>
  <c r="EG17" i="40"/>
  <c r="EB17" i="40"/>
  <c r="EE17" i="40" s="1"/>
  <c r="DW17" i="40"/>
  <c r="DT17" i="40"/>
  <c r="EM17" i="40" s="1"/>
  <c r="EN17" i="40" s="1"/>
  <c r="DQ17" i="40"/>
  <c r="DN17" i="40"/>
  <c r="DK17" i="40"/>
  <c r="DH17" i="40"/>
  <c r="DE17" i="40"/>
  <c r="DB17" i="40"/>
  <c r="CY17" i="40"/>
  <c r="CV17" i="40"/>
  <c r="CS17" i="40"/>
  <c r="CP17" i="40"/>
  <c r="CM17" i="40"/>
  <c r="CJ17" i="40"/>
  <c r="CG17" i="40"/>
  <c r="CD17" i="40"/>
  <c r="CA17" i="40"/>
  <c r="BX17" i="40"/>
  <c r="BU17" i="40"/>
  <c r="BR17" i="40"/>
  <c r="BO17" i="40"/>
  <c r="BL17" i="40"/>
  <c r="BI17" i="40"/>
  <c r="BF17" i="40"/>
  <c r="BC17" i="40"/>
  <c r="AZ17" i="40"/>
  <c r="AW17" i="40"/>
  <c r="AT17" i="40"/>
  <c r="AQ17" i="40"/>
  <c r="AN17" i="40"/>
  <c r="AK17" i="40"/>
  <c r="AB17" i="40"/>
  <c r="Y17" i="40"/>
  <c r="V17" i="40"/>
  <c r="EH17" i="40" s="1"/>
  <c r="S17" i="40"/>
  <c r="P17" i="40"/>
  <c r="M17" i="40"/>
  <c r="J17" i="40"/>
  <c r="G17" i="40"/>
  <c r="D17" i="40"/>
  <c r="ED17" i="40" s="1"/>
  <c r="EL16" i="40"/>
  <c r="EK16" i="40"/>
  <c r="EG16" i="40"/>
  <c r="EI16" i="40" s="1"/>
  <c r="EB16" i="40"/>
  <c r="DW16" i="40"/>
  <c r="DT16" i="40"/>
  <c r="EM16" i="40" s="1"/>
  <c r="EN16" i="40" s="1"/>
  <c r="DQ16" i="40"/>
  <c r="DN16" i="40"/>
  <c r="DK16" i="40"/>
  <c r="DH16" i="40"/>
  <c r="DE16" i="40"/>
  <c r="DB16" i="40"/>
  <c r="CY16" i="40"/>
  <c r="CV16" i="40"/>
  <c r="CS16" i="40"/>
  <c r="CP16" i="40"/>
  <c r="CM16" i="40"/>
  <c r="CJ16" i="40"/>
  <c r="CG16" i="40"/>
  <c r="CD16" i="40"/>
  <c r="CA16" i="40"/>
  <c r="BX16" i="40"/>
  <c r="BU16" i="40"/>
  <c r="BR16" i="40"/>
  <c r="BO16" i="40"/>
  <c r="BL16" i="40"/>
  <c r="BI16" i="40"/>
  <c r="BF16" i="40"/>
  <c r="BC16" i="40"/>
  <c r="AZ16" i="40"/>
  <c r="AW16" i="40"/>
  <c r="AT16" i="40"/>
  <c r="AQ16" i="40"/>
  <c r="AN16" i="40"/>
  <c r="AK16" i="40"/>
  <c r="AB16" i="40"/>
  <c r="Y16" i="40"/>
  <c r="V16" i="40"/>
  <c r="S16" i="40"/>
  <c r="EH16" i="40" s="1"/>
  <c r="P16" i="40"/>
  <c r="M16" i="40"/>
  <c r="J16" i="40"/>
  <c r="G16" i="40"/>
  <c r="ED16" i="40" s="1"/>
  <c r="D16" i="40"/>
  <c r="EL15" i="40"/>
  <c r="EK15" i="40"/>
  <c r="EI15" i="40"/>
  <c r="EG15" i="40"/>
  <c r="EB15" i="40"/>
  <c r="EC15" i="40" s="1"/>
  <c r="DW15" i="40"/>
  <c r="DT15" i="40"/>
  <c r="EM15" i="40" s="1"/>
  <c r="EN15" i="40" s="1"/>
  <c r="DQ15" i="40"/>
  <c r="DN15" i="40"/>
  <c r="DK15" i="40"/>
  <c r="DH15" i="40"/>
  <c r="DE15" i="40"/>
  <c r="DB15" i="40"/>
  <c r="CY15" i="40"/>
  <c r="CV15" i="40"/>
  <c r="CS15" i="40"/>
  <c r="CP15" i="40"/>
  <c r="CM15" i="40"/>
  <c r="CJ15" i="40"/>
  <c r="CG15" i="40"/>
  <c r="CD15" i="40"/>
  <c r="CA15" i="40"/>
  <c r="BX15" i="40"/>
  <c r="BU15" i="40"/>
  <c r="BR15" i="40"/>
  <c r="BO15" i="40"/>
  <c r="BL15" i="40"/>
  <c r="BI15" i="40"/>
  <c r="BF15" i="40"/>
  <c r="BC15" i="40"/>
  <c r="AZ15" i="40"/>
  <c r="AW15" i="40"/>
  <c r="AT15" i="40"/>
  <c r="AQ15" i="40"/>
  <c r="AN15" i="40"/>
  <c r="AK15" i="40"/>
  <c r="AB15" i="40"/>
  <c r="Y15" i="40"/>
  <c r="V15" i="40"/>
  <c r="EH15" i="40" s="1"/>
  <c r="S15" i="40"/>
  <c r="P15" i="40"/>
  <c r="ED15" i="40" s="1"/>
  <c r="M15" i="40"/>
  <c r="J15" i="40"/>
  <c r="G15" i="40"/>
  <c r="D15" i="40"/>
  <c r="EL14" i="40"/>
  <c r="EK14" i="40"/>
  <c r="EG14" i="40"/>
  <c r="EI14" i="40" s="1"/>
  <c r="EB14" i="40"/>
  <c r="EE14" i="40" s="1"/>
  <c r="DW14" i="40"/>
  <c r="DT14" i="40"/>
  <c r="EM14" i="40" s="1"/>
  <c r="DQ14" i="40"/>
  <c r="DN14" i="40"/>
  <c r="DK14" i="40"/>
  <c r="DH14" i="40"/>
  <c r="DE14" i="40"/>
  <c r="DB14" i="40"/>
  <c r="CY14" i="40"/>
  <c r="CV14" i="40"/>
  <c r="CS14" i="40"/>
  <c r="CP14" i="40"/>
  <c r="CM14" i="40"/>
  <c r="CJ14" i="40"/>
  <c r="CG14" i="40"/>
  <c r="CD14" i="40"/>
  <c r="CA14" i="40"/>
  <c r="BX14" i="40"/>
  <c r="BU14" i="40"/>
  <c r="BR14" i="40"/>
  <c r="BO14" i="40"/>
  <c r="BL14" i="40"/>
  <c r="BI14" i="40"/>
  <c r="BF14" i="40"/>
  <c r="BC14" i="40"/>
  <c r="AZ14" i="40"/>
  <c r="AW14" i="40"/>
  <c r="AT14" i="40"/>
  <c r="AQ14" i="40"/>
  <c r="AN14" i="40"/>
  <c r="AK14" i="40"/>
  <c r="AB14" i="40"/>
  <c r="Y14" i="40"/>
  <c r="V14" i="40"/>
  <c r="S14" i="40"/>
  <c r="EH14" i="40" s="1"/>
  <c r="P14" i="40"/>
  <c r="M14" i="40"/>
  <c r="J14" i="40"/>
  <c r="G14" i="40"/>
  <c r="D14" i="40"/>
  <c r="ED14" i="40" s="1"/>
  <c r="EL13" i="40"/>
  <c r="EK13" i="40"/>
  <c r="EI13" i="40"/>
  <c r="EG13" i="40"/>
  <c r="EB13" i="40"/>
  <c r="EE13" i="40" s="1"/>
  <c r="DW13" i="40"/>
  <c r="DT13" i="40"/>
  <c r="EM13" i="40" s="1"/>
  <c r="EN13" i="40" s="1"/>
  <c r="DQ13" i="40"/>
  <c r="DN13" i="40"/>
  <c r="DK13" i="40"/>
  <c r="DH13" i="40"/>
  <c r="DE13" i="40"/>
  <c r="DB13" i="40"/>
  <c r="CY13" i="40"/>
  <c r="CV13" i="40"/>
  <c r="CS13" i="40"/>
  <c r="CP13" i="40"/>
  <c r="CM13" i="40"/>
  <c r="CJ13" i="40"/>
  <c r="CG13" i="40"/>
  <c r="CD13" i="40"/>
  <c r="CA13" i="40"/>
  <c r="BX13" i="40"/>
  <c r="BU13" i="40"/>
  <c r="BR13" i="40"/>
  <c r="BO13" i="40"/>
  <c r="BL13" i="40"/>
  <c r="BI13" i="40"/>
  <c r="BF13" i="40"/>
  <c r="BC13" i="40"/>
  <c r="AZ13" i="40"/>
  <c r="AW13" i="40"/>
  <c r="AT13" i="40"/>
  <c r="AQ13" i="40"/>
  <c r="AN13" i="40"/>
  <c r="AK13" i="40"/>
  <c r="AB13" i="40"/>
  <c r="Y13" i="40"/>
  <c r="V13" i="40"/>
  <c r="EH13" i="40" s="1"/>
  <c r="S13" i="40"/>
  <c r="P13" i="40"/>
  <c r="M13" i="40"/>
  <c r="J13" i="40"/>
  <c r="G13" i="40"/>
  <c r="D13" i="40"/>
  <c r="ED13" i="40" s="1"/>
  <c r="A13" i="40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EL12" i="40"/>
  <c r="EK12" i="40"/>
  <c r="EG12" i="40"/>
  <c r="EI12" i="40" s="1"/>
  <c r="EB12" i="40"/>
  <c r="DW12" i="40"/>
  <c r="DT12" i="40"/>
  <c r="EM12" i="40" s="1"/>
  <c r="EN12" i="40" s="1"/>
  <c r="DQ12" i="40"/>
  <c r="DN12" i="40"/>
  <c r="DK12" i="40"/>
  <c r="DH12" i="40"/>
  <c r="DE12" i="40"/>
  <c r="DB12" i="40"/>
  <c r="CY12" i="40"/>
  <c r="CV12" i="40"/>
  <c r="CS12" i="40"/>
  <c r="CP12" i="40"/>
  <c r="CM12" i="40"/>
  <c r="CJ12" i="40"/>
  <c r="CG12" i="40"/>
  <c r="CD12" i="40"/>
  <c r="CA12" i="40"/>
  <c r="BX12" i="40"/>
  <c r="BU12" i="40"/>
  <c r="BR12" i="40"/>
  <c r="BO12" i="40"/>
  <c r="BL12" i="40"/>
  <c r="BI12" i="40"/>
  <c r="BF12" i="40"/>
  <c r="BC12" i="40"/>
  <c r="AZ12" i="40"/>
  <c r="AW12" i="40"/>
  <c r="AT12" i="40"/>
  <c r="AQ12" i="40"/>
  <c r="AN12" i="40"/>
  <c r="AK12" i="40"/>
  <c r="AB12" i="40"/>
  <c r="Y12" i="40"/>
  <c r="V12" i="40"/>
  <c r="S12" i="40"/>
  <c r="EH12" i="40" s="1"/>
  <c r="P12" i="40"/>
  <c r="M12" i="40"/>
  <c r="J12" i="40"/>
  <c r="G12" i="40"/>
  <c r="D12" i="40"/>
  <c r="ED12" i="40" s="1"/>
  <c r="A12" i="40"/>
  <c r="EL11" i="40"/>
  <c r="EK11" i="40"/>
  <c r="EI11" i="40"/>
  <c r="EG11" i="40"/>
  <c r="EB11" i="40"/>
  <c r="EC11" i="40" s="1"/>
  <c r="DW11" i="40"/>
  <c r="DW39" i="40" s="1"/>
  <c r="DT11" i="40"/>
  <c r="EM11" i="40" s="1"/>
  <c r="DQ11" i="40"/>
  <c r="DQ39" i="40" s="1"/>
  <c r="DN11" i="40"/>
  <c r="DN39" i="40" s="1"/>
  <c r="DK11" i="40"/>
  <c r="DH11" i="40"/>
  <c r="DH39" i="40" s="1"/>
  <c r="DE11" i="40"/>
  <c r="DE39" i="40" s="1"/>
  <c r="DB11" i="40"/>
  <c r="DB39" i="40" s="1"/>
  <c r="CY11" i="40"/>
  <c r="CY39" i="40" s="1"/>
  <c r="CV11" i="40"/>
  <c r="CV39" i="40" s="1"/>
  <c r="CS11" i="40"/>
  <c r="CS39" i="40" s="1"/>
  <c r="CP11" i="40"/>
  <c r="CP39" i="40" s="1"/>
  <c r="CM11" i="40"/>
  <c r="CJ11" i="40"/>
  <c r="CJ39" i="40" s="1"/>
  <c r="CG11" i="40"/>
  <c r="CG39" i="40" s="1"/>
  <c r="CD11" i="40"/>
  <c r="CD39" i="40" s="1"/>
  <c r="CA11" i="40"/>
  <c r="CA39" i="40" s="1"/>
  <c r="BX11" i="40"/>
  <c r="BX39" i="40" s="1"/>
  <c r="BU11" i="40"/>
  <c r="BU39" i="40" s="1"/>
  <c r="BR11" i="40"/>
  <c r="BR39" i="40" s="1"/>
  <c r="BO11" i="40"/>
  <c r="BL11" i="40"/>
  <c r="BL39" i="40" s="1"/>
  <c r="BI11" i="40"/>
  <c r="BI39" i="40" s="1"/>
  <c r="BF11" i="40"/>
  <c r="BF39" i="40" s="1"/>
  <c r="BC11" i="40"/>
  <c r="BC39" i="40" s="1"/>
  <c r="AZ11" i="40"/>
  <c r="AZ39" i="40" s="1"/>
  <c r="AW11" i="40"/>
  <c r="AW39" i="40" s="1"/>
  <c r="AT11" i="40"/>
  <c r="AT39" i="40" s="1"/>
  <c r="AQ11" i="40"/>
  <c r="AN11" i="40"/>
  <c r="AN39" i="40" s="1"/>
  <c r="AK11" i="40"/>
  <c r="AK39" i="40" s="1"/>
  <c r="AH39" i="40"/>
  <c r="AE39" i="40"/>
  <c r="AB11" i="40"/>
  <c r="AB39" i="40" s="1"/>
  <c r="Y11" i="40"/>
  <c r="Y39" i="40" s="1"/>
  <c r="V11" i="40"/>
  <c r="EH11" i="40" s="1"/>
  <c r="S11" i="40"/>
  <c r="P11" i="40"/>
  <c r="P39" i="40" s="1"/>
  <c r="M11" i="40"/>
  <c r="M39" i="40" s="1"/>
  <c r="J11" i="40"/>
  <c r="J39" i="40" s="1"/>
  <c r="G11" i="40"/>
  <c r="G39" i="40" s="1"/>
  <c r="D11" i="40"/>
  <c r="D39" i="40" s="1"/>
  <c r="EN5" i="40"/>
  <c r="EI5" i="40"/>
  <c r="EN3" i="40"/>
  <c r="EI3" i="40"/>
  <c r="EI4" i="40" s="1"/>
  <c r="EN2" i="40"/>
  <c r="EP2" i="40" s="1"/>
  <c r="EI2" i="40"/>
  <c r="EN4" i="40" l="1"/>
  <c r="EE21" i="40"/>
  <c r="EE22" i="40"/>
  <c r="EH39" i="40"/>
  <c r="EE27" i="40"/>
  <c r="EE28" i="40"/>
  <c r="EE35" i="40"/>
  <c r="EE16" i="40"/>
  <c r="EE20" i="40"/>
  <c r="EN22" i="40"/>
  <c r="EN28" i="40"/>
  <c r="EN36" i="40"/>
  <c r="EN20" i="40"/>
  <c r="EM39" i="40"/>
  <c r="EN11" i="40"/>
  <c r="EE12" i="40"/>
  <c r="EN14" i="40"/>
  <c r="EE18" i="40"/>
  <c r="EE24" i="40"/>
  <c r="EE31" i="40"/>
  <c r="EE32" i="40"/>
  <c r="EN18" i="40"/>
  <c r="EC14" i="40"/>
  <c r="EE15" i="40"/>
  <c r="EC18" i="40"/>
  <c r="EE19" i="40"/>
  <c r="EC22" i="40"/>
  <c r="EE23" i="40"/>
  <c r="EC26" i="40"/>
  <c r="EC30" i="40"/>
  <c r="EC34" i="40"/>
  <c r="EC38" i="40"/>
  <c r="V39" i="40"/>
  <c r="ED11" i="40"/>
  <c r="ED39" i="40" s="1"/>
  <c r="EE2" i="40"/>
  <c r="EQ2" i="40" s="1"/>
  <c r="G4" i="40" s="1"/>
  <c r="EC13" i="40"/>
  <c r="EC17" i="40"/>
  <c r="DT39" i="40"/>
  <c r="EC12" i="40"/>
  <c r="EC16" i="40"/>
  <c r="EC20" i="40"/>
  <c r="EC24" i="40"/>
  <c r="EC28" i="40"/>
  <c r="EC32" i="40"/>
  <c r="EE3" i="40"/>
  <c r="EE5" i="40"/>
  <c r="G7" i="40" s="1"/>
  <c r="EE11" i="40" l="1"/>
  <c r="G5" i="40"/>
  <c r="EE4" i="40"/>
  <c r="G6" i="40" s="1"/>
  <c r="EL41" i="39" l="1"/>
  <c r="EG41" i="39"/>
  <c r="EI41" i="39" s="1"/>
  <c r="EB41" i="39"/>
  <c r="EE2" i="39" s="1"/>
  <c r="EQ2" i="39" s="1"/>
  <c r="G4" i="39" s="1"/>
  <c r="DW41" i="39"/>
  <c r="DT41" i="39"/>
  <c r="DQ41" i="39"/>
  <c r="DN41" i="39"/>
  <c r="DK41" i="39"/>
  <c r="EM41" i="39" s="1"/>
  <c r="DH41" i="39"/>
  <c r="DE41" i="39"/>
  <c r="DB41" i="39"/>
  <c r="CY41" i="39"/>
  <c r="CV41" i="39"/>
  <c r="CS41" i="39"/>
  <c r="CP41" i="39"/>
  <c r="CM41" i="39"/>
  <c r="CJ41" i="39"/>
  <c r="CG41" i="39"/>
  <c r="CD41" i="39"/>
  <c r="CA41" i="39"/>
  <c r="BX41" i="39"/>
  <c r="BU41" i="39"/>
  <c r="BR41" i="39"/>
  <c r="BO41" i="39"/>
  <c r="BL41" i="39"/>
  <c r="BI41" i="39"/>
  <c r="BF41" i="39"/>
  <c r="BC41" i="39"/>
  <c r="AZ41" i="39"/>
  <c r="AW41" i="39"/>
  <c r="AT41" i="39"/>
  <c r="AQ41" i="39"/>
  <c r="AL41" i="39"/>
  <c r="AN41" i="39" s="1"/>
  <c r="AK41" i="39"/>
  <c r="AI41" i="39"/>
  <c r="EK41" i="39" s="1"/>
  <c r="AB41" i="39"/>
  <c r="Y41" i="39"/>
  <c r="V41" i="39"/>
  <c r="S41" i="39"/>
  <c r="EH41" i="39" s="1"/>
  <c r="P41" i="39"/>
  <c r="M41" i="39"/>
  <c r="J41" i="39"/>
  <c r="G41" i="39"/>
  <c r="D41" i="39"/>
  <c r="EL40" i="39"/>
  <c r="EI40" i="39"/>
  <c r="EG40" i="39"/>
  <c r="EB40" i="39"/>
  <c r="DW40" i="39"/>
  <c r="DT40" i="39"/>
  <c r="DQ40" i="39"/>
  <c r="DN40" i="39"/>
  <c r="DK40" i="39"/>
  <c r="EM40" i="39" s="1"/>
  <c r="DH40" i="39"/>
  <c r="DE40" i="39"/>
  <c r="DB40" i="39"/>
  <c r="CY40" i="39"/>
  <c r="CV40" i="39"/>
  <c r="CS40" i="39"/>
  <c r="CP40" i="39"/>
  <c r="CM40" i="39"/>
  <c r="CJ40" i="39"/>
  <c r="CG40" i="39"/>
  <c r="CD40" i="39"/>
  <c r="CA40" i="39"/>
  <c r="BX40" i="39"/>
  <c r="BU40" i="39"/>
  <c r="BR40" i="39"/>
  <c r="BO40" i="39"/>
  <c r="BL40" i="39"/>
  <c r="BI40" i="39"/>
  <c r="BF40" i="39"/>
  <c r="BC40" i="39"/>
  <c r="AZ40" i="39"/>
  <c r="AW40" i="39"/>
  <c r="AT40" i="39"/>
  <c r="AQ40" i="39"/>
  <c r="AN40" i="39"/>
  <c r="AL40" i="39"/>
  <c r="AK40" i="39"/>
  <c r="AI40" i="39"/>
  <c r="EK40" i="39" s="1"/>
  <c r="AB40" i="39"/>
  <c r="Y40" i="39"/>
  <c r="V40" i="39"/>
  <c r="S40" i="39"/>
  <c r="EH40" i="39" s="1"/>
  <c r="P40" i="39"/>
  <c r="M40" i="39"/>
  <c r="J40" i="39"/>
  <c r="ED40" i="39" s="1"/>
  <c r="G40" i="39"/>
  <c r="D40" i="39"/>
  <c r="EL39" i="39"/>
  <c r="EI39" i="39"/>
  <c r="EG39" i="39"/>
  <c r="EB39" i="39"/>
  <c r="DW39" i="39"/>
  <c r="DT39" i="39"/>
  <c r="DQ39" i="39"/>
  <c r="DN39" i="39"/>
  <c r="DK39" i="39"/>
  <c r="EM39" i="39" s="1"/>
  <c r="DH39" i="39"/>
  <c r="DE39" i="39"/>
  <c r="DB39" i="39"/>
  <c r="CY39" i="39"/>
  <c r="CV39" i="39"/>
  <c r="CS39" i="39"/>
  <c r="CP39" i="39"/>
  <c r="CM39" i="39"/>
  <c r="CJ39" i="39"/>
  <c r="CG39" i="39"/>
  <c r="CD39" i="39"/>
  <c r="CA39" i="39"/>
  <c r="BX39" i="39"/>
  <c r="BU39" i="39"/>
  <c r="BR39" i="39"/>
  <c r="BO39" i="39"/>
  <c r="BL39" i="39"/>
  <c r="BI39" i="39"/>
  <c r="BF39" i="39"/>
  <c r="BC39" i="39"/>
  <c r="AZ39" i="39"/>
  <c r="AW39" i="39"/>
  <c r="AT39" i="39"/>
  <c r="AQ39" i="39"/>
  <c r="AN39" i="39"/>
  <c r="AL39" i="39"/>
  <c r="AK39" i="39"/>
  <c r="AI39" i="39"/>
  <c r="EK39" i="39" s="1"/>
  <c r="EN39" i="39" s="1"/>
  <c r="AB39" i="39"/>
  <c r="Y39" i="39"/>
  <c r="V39" i="39"/>
  <c r="S39" i="39"/>
  <c r="EH39" i="39" s="1"/>
  <c r="P39" i="39"/>
  <c r="M39" i="39"/>
  <c r="ED39" i="39" s="1"/>
  <c r="J39" i="39"/>
  <c r="G39" i="39"/>
  <c r="D39" i="39"/>
  <c r="EL38" i="39"/>
  <c r="EI38" i="39"/>
  <c r="EG38" i="39"/>
  <c r="DW38" i="39"/>
  <c r="DT38" i="39"/>
  <c r="DQ38" i="39"/>
  <c r="DN38" i="39"/>
  <c r="DK38" i="39"/>
  <c r="DH38" i="39"/>
  <c r="DE38" i="39"/>
  <c r="DB38" i="39"/>
  <c r="CY38" i="39"/>
  <c r="CV38" i="39"/>
  <c r="CS38" i="39"/>
  <c r="CP38" i="39"/>
  <c r="CM38" i="39"/>
  <c r="CJ38" i="39"/>
  <c r="CG38" i="39"/>
  <c r="CD38" i="39"/>
  <c r="CA38" i="39"/>
  <c r="BX38" i="39"/>
  <c r="BU38" i="39"/>
  <c r="BR38" i="39"/>
  <c r="BO38" i="39"/>
  <c r="BL38" i="39"/>
  <c r="BI38" i="39"/>
  <c r="BF38" i="39"/>
  <c r="BC38" i="39"/>
  <c r="AZ38" i="39"/>
  <c r="AW38" i="39"/>
  <c r="AT38" i="39"/>
  <c r="AQ38" i="39"/>
  <c r="AN38" i="39"/>
  <c r="AI38" i="39"/>
  <c r="EK38" i="39" s="1"/>
  <c r="AB38" i="39"/>
  <c r="Y38" i="39"/>
  <c r="V38" i="39"/>
  <c r="S38" i="39"/>
  <c r="EH38" i="39" s="1"/>
  <c r="P38" i="39"/>
  <c r="M38" i="39"/>
  <c r="J38" i="39"/>
  <c r="G38" i="39"/>
  <c r="D38" i="39"/>
  <c r="EL37" i="39"/>
  <c r="EK37" i="39"/>
  <c r="EI37" i="39"/>
  <c r="EG37" i="39"/>
  <c r="DW37" i="39"/>
  <c r="DT37" i="39"/>
  <c r="EM37" i="39" s="1"/>
  <c r="DQ37" i="39"/>
  <c r="DN37" i="39"/>
  <c r="DK37" i="39"/>
  <c r="DH37" i="39"/>
  <c r="DE37" i="39"/>
  <c r="DB37" i="39"/>
  <c r="CY37" i="39"/>
  <c r="CV37" i="39"/>
  <c r="CS37" i="39"/>
  <c r="CP37" i="39"/>
  <c r="CM37" i="39"/>
  <c r="CJ37" i="39"/>
  <c r="CG37" i="39"/>
  <c r="CD37" i="39"/>
  <c r="CA37" i="39"/>
  <c r="BX37" i="39"/>
  <c r="BU37" i="39"/>
  <c r="BR37" i="39"/>
  <c r="BO37" i="39"/>
  <c r="BL37" i="39"/>
  <c r="BI37" i="39"/>
  <c r="BF37" i="39"/>
  <c r="BC37" i="39"/>
  <c r="AZ37" i="39"/>
  <c r="AW37" i="39"/>
  <c r="AT37" i="39"/>
  <c r="AQ37" i="39"/>
  <c r="AN37" i="39"/>
  <c r="AK37" i="39"/>
  <c r="AI37" i="39"/>
  <c r="EB37" i="39" s="1"/>
  <c r="AB37" i="39"/>
  <c r="Y37" i="39"/>
  <c r="V37" i="39"/>
  <c r="S37" i="39"/>
  <c r="EH37" i="39" s="1"/>
  <c r="P37" i="39"/>
  <c r="M37" i="39"/>
  <c r="J37" i="39"/>
  <c r="G37" i="39"/>
  <c r="ED37" i="39" s="1"/>
  <c r="D37" i="39"/>
  <c r="EL36" i="39"/>
  <c r="EI36" i="39"/>
  <c r="EG36" i="39"/>
  <c r="DW36" i="39"/>
  <c r="DT36" i="39"/>
  <c r="EM36" i="39" s="1"/>
  <c r="DQ36" i="39"/>
  <c r="DN36" i="39"/>
  <c r="DK36" i="39"/>
  <c r="DH36" i="39"/>
  <c r="DE36" i="39"/>
  <c r="DB36" i="39"/>
  <c r="CY36" i="39"/>
  <c r="CV36" i="39"/>
  <c r="CS36" i="39"/>
  <c r="CP36" i="39"/>
  <c r="CM36" i="39"/>
  <c r="CJ36" i="39"/>
  <c r="CG36" i="39"/>
  <c r="CD36" i="39"/>
  <c r="CA36" i="39"/>
  <c r="BX36" i="39"/>
  <c r="BU36" i="39"/>
  <c r="BR36" i="39"/>
  <c r="BO36" i="39"/>
  <c r="BL36" i="39"/>
  <c r="BI36" i="39"/>
  <c r="BF36" i="39"/>
  <c r="BC36" i="39"/>
  <c r="AZ36" i="39"/>
  <c r="AW36" i="39"/>
  <c r="AT36" i="39"/>
  <c r="AQ36" i="39"/>
  <c r="AN36" i="39"/>
  <c r="AK36" i="39"/>
  <c r="AI36" i="39"/>
  <c r="EB36" i="39" s="1"/>
  <c r="AB36" i="39"/>
  <c r="EH36" i="39" s="1"/>
  <c r="Y36" i="39"/>
  <c r="V36" i="39"/>
  <c r="S36" i="39"/>
  <c r="P36" i="39"/>
  <c r="M36" i="39"/>
  <c r="J36" i="39"/>
  <c r="G36" i="39"/>
  <c r="D36" i="39"/>
  <c r="ED36" i="39" s="1"/>
  <c r="EL35" i="39"/>
  <c r="EK35" i="39"/>
  <c r="EG35" i="39"/>
  <c r="EI35" i="39" s="1"/>
  <c r="EB35" i="39"/>
  <c r="DW35" i="39"/>
  <c r="DT35" i="39"/>
  <c r="EM35" i="39" s="1"/>
  <c r="DQ35" i="39"/>
  <c r="DN35" i="39"/>
  <c r="DK35" i="39"/>
  <c r="DH35" i="39"/>
  <c r="DE35" i="39"/>
  <c r="DB35" i="39"/>
  <c r="CY35" i="39"/>
  <c r="CV35" i="39"/>
  <c r="CS35" i="39"/>
  <c r="CP35" i="39"/>
  <c r="CM35" i="39"/>
  <c r="CJ35" i="39"/>
  <c r="CG35" i="39"/>
  <c r="CD35" i="39"/>
  <c r="CA35" i="39"/>
  <c r="BX35" i="39"/>
  <c r="BU35" i="39"/>
  <c r="BR35" i="39"/>
  <c r="BO35" i="39"/>
  <c r="BL35" i="39"/>
  <c r="BI35" i="39"/>
  <c r="BF35" i="39"/>
  <c r="BC35" i="39"/>
  <c r="AZ35" i="39"/>
  <c r="AW35" i="39"/>
  <c r="AT35" i="39"/>
  <c r="AQ35" i="39"/>
  <c r="AN35" i="39"/>
  <c r="AK35" i="39"/>
  <c r="AB35" i="39"/>
  <c r="Y35" i="39"/>
  <c r="EH35" i="39" s="1"/>
  <c r="V35" i="39"/>
  <c r="S35" i="39"/>
  <c r="P35" i="39"/>
  <c r="M35" i="39"/>
  <c r="J35" i="39"/>
  <c r="G35" i="39"/>
  <c r="D35" i="39"/>
  <c r="ED35" i="39" s="1"/>
  <c r="EL34" i="39"/>
  <c r="EI34" i="39"/>
  <c r="EG34" i="39"/>
  <c r="DW34" i="39"/>
  <c r="DT34" i="39"/>
  <c r="DQ34" i="39"/>
  <c r="DN34" i="39"/>
  <c r="DK34" i="39"/>
  <c r="DH34" i="39"/>
  <c r="DE34" i="39"/>
  <c r="DB34" i="39"/>
  <c r="CY34" i="39"/>
  <c r="CV34" i="39"/>
  <c r="CS34" i="39"/>
  <c r="CP34" i="39"/>
  <c r="CM34" i="39"/>
  <c r="CJ34" i="39"/>
  <c r="CG34" i="39"/>
  <c r="CD34" i="39"/>
  <c r="CA34" i="39"/>
  <c r="BX34" i="39"/>
  <c r="BU34" i="39"/>
  <c r="BR34" i="39"/>
  <c r="BO34" i="39"/>
  <c r="BL34" i="39"/>
  <c r="BI34" i="39"/>
  <c r="BF34" i="39"/>
  <c r="BC34" i="39"/>
  <c r="AZ34" i="39"/>
  <c r="AW34" i="39"/>
  <c r="AT34" i="39"/>
  <c r="AQ34" i="39"/>
  <c r="AN34" i="39"/>
  <c r="AI34" i="39"/>
  <c r="AK34" i="39" s="1"/>
  <c r="AB34" i="39"/>
  <c r="Y34" i="39"/>
  <c r="V34" i="39"/>
  <c r="S34" i="39"/>
  <c r="P34" i="39"/>
  <c r="M34" i="39"/>
  <c r="J34" i="39"/>
  <c r="G34" i="39"/>
  <c r="D34" i="39"/>
  <c r="EL33" i="39"/>
  <c r="EG33" i="39"/>
  <c r="EI33" i="39" s="1"/>
  <c r="DW33" i="39"/>
  <c r="DT33" i="39"/>
  <c r="DQ33" i="39"/>
  <c r="DN33" i="39"/>
  <c r="DK33" i="39"/>
  <c r="DH33" i="39"/>
  <c r="EM33" i="39" s="1"/>
  <c r="DE33" i="39"/>
  <c r="DB33" i="39"/>
  <c r="CY33" i="39"/>
  <c r="CV33" i="39"/>
  <c r="CS33" i="39"/>
  <c r="CP33" i="39"/>
  <c r="CM33" i="39"/>
  <c r="CJ33" i="39"/>
  <c r="CG33" i="39"/>
  <c r="CD33" i="39"/>
  <c r="CA33" i="39"/>
  <c r="BX33" i="39"/>
  <c r="BU33" i="39"/>
  <c r="BR33" i="39"/>
  <c r="BO33" i="39"/>
  <c r="BL33" i="39"/>
  <c r="BI33" i="39"/>
  <c r="BF33" i="39"/>
  <c r="BC33" i="39"/>
  <c r="AZ33" i="39"/>
  <c r="AW33" i="39"/>
  <c r="AT33" i="39"/>
  <c r="AQ33" i="39"/>
  <c r="AN33" i="39"/>
  <c r="AK33" i="39"/>
  <c r="AI33" i="39"/>
  <c r="EB33" i="39" s="1"/>
  <c r="AB33" i="39"/>
  <c r="Y33" i="39"/>
  <c r="V33" i="39"/>
  <c r="S33" i="39"/>
  <c r="ED33" i="39" s="1"/>
  <c r="P33" i="39"/>
  <c r="M33" i="39"/>
  <c r="J33" i="39"/>
  <c r="G33" i="39"/>
  <c r="D33" i="39"/>
  <c r="EL32" i="39"/>
  <c r="EG32" i="39"/>
  <c r="EI32" i="39" s="1"/>
  <c r="DW32" i="39"/>
  <c r="DT32" i="39"/>
  <c r="DQ32" i="39"/>
  <c r="DN32" i="39"/>
  <c r="DK32" i="39"/>
  <c r="DH32" i="39"/>
  <c r="DE32" i="39"/>
  <c r="EM32" i="39" s="1"/>
  <c r="DB32" i="39"/>
  <c r="CY32" i="39"/>
  <c r="CV32" i="39"/>
  <c r="CS32" i="39"/>
  <c r="CP32" i="39"/>
  <c r="CM32" i="39"/>
  <c r="CJ32" i="39"/>
  <c r="CG32" i="39"/>
  <c r="CD32" i="39"/>
  <c r="CA32" i="39"/>
  <c r="BX32" i="39"/>
  <c r="BU32" i="39"/>
  <c r="BR32" i="39"/>
  <c r="BO32" i="39"/>
  <c r="BL32" i="39"/>
  <c r="BI32" i="39"/>
  <c r="BF32" i="39"/>
  <c r="BC32" i="39"/>
  <c r="AZ32" i="39"/>
  <c r="AW32" i="39"/>
  <c r="AT32" i="39"/>
  <c r="AQ32" i="39"/>
  <c r="AN32" i="39"/>
  <c r="AK32" i="39"/>
  <c r="AI32" i="39"/>
  <c r="EB32" i="39" s="1"/>
  <c r="AB32" i="39"/>
  <c r="Y32" i="39"/>
  <c r="V32" i="39"/>
  <c r="S32" i="39"/>
  <c r="EH32" i="39" s="1"/>
  <c r="P32" i="39"/>
  <c r="M32" i="39"/>
  <c r="J32" i="39"/>
  <c r="G32" i="39"/>
  <c r="D32" i="39"/>
  <c r="ED32" i="39" s="1"/>
  <c r="EL31" i="39"/>
  <c r="EG31" i="39"/>
  <c r="EI31" i="39" s="1"/>
  <c r="EB31" i="39"/>
  <c r="DW31" i="39"/>
  <c r="DT31" i="39"/>
  <c r="DQ31" i="39"/>
  <c r="DN31" i="39"/>
  <c r="DK31" i="39"/>
  <c r="DH31" i="39"/>
  <c r="DE31" i="39"/>
  <c r="DB31" i="39"/>
  <c r="CY31" i="39"/>
  <c r="CV31" i="39"/>
  <c r="CS31" i="39"/>
  <c r="CP31" i="39"/>
  <c r="CM31" i="39"/>
  <c r="CJ31" i="39"/>
  <c r="CG31" i="39"/>
  <c r="CD31" i="39"/>
  <c r="CA31" i="39"/>
  <c r="BX31" i="39"/>
  <c r="BU31" i="39"/>
  <c r="BR31" i="39"/>
  <c r="BO31" i="39"/>
  <c r="BL31" i="39"/>
  <c r="BI31" i="39"/>
  <c r="BF31" i="39"/>
  <c r="BC31" i="39"/>
  <c r="AZ31" i="39"/>
  <c r="AW31" i="39"/>
  <c r="AT31" i="39"/>
  <c r="AQ31" i="39"/>
  <c r="AN31" i="39"/>
  <c r="AI31" i="39"/>
  <c r="EK31" i="39" s="1"/>
  <c r="AB31" i="39"/>
  <c r="Y31" i="39"/>
  <c r="V31" i="39"/>
  <c r="S31" i="39"/>
  <c r="EH31" i="39" s="1"/>
  <c r="P31" i="39"/>
  <c r="M31" i="39"/>
  <c r="J31" i="39"/>
  <c r="G31" i="39"/>
  <c r="D31" i="39"/>
  <c r="EL30" i="39"/>
  <c r="EK30" i="39"/>
  <c r="EI30" i="39"/>
  <c r="EG30" i="39"/>
  <c r="DW30" i="39"/>
  <c r="DT30" i="39"/>
  <c r="EM30" i="39" s="1"/>
  <c r="DQ30" i="39"/>
  <c r="DN30" i="39"/>
  <c r="DK30" i="39"/>
  <c r="DH30" i="39"/>
  <c r="DE30" i="39"/>
  <c r="DB30" i="39"/>
  <c r="CY30" i="39"/>
  <c r="CV30" i="39"/>
  <c r="CS30" i="39"/>
  <c r="CP30" i="39"/>
  <c r="CM30" i="39"/>
  <c r="CJ30" i="39"/>
  <c r="CG30" i="39"/>
  <c r="CD30" i="39"/>
  <c r="CA30" i="39"/>
  <c r="BX30" i="39"/>
  <c r="BU30" i="39"/>
  <c r="BR30" i="39"/>
  <c r="BO30" i="39"/>
  <c r="BL30" i="39"/>
  <c r="BI30" i="39"/>
  <c r="BF30" i="39"/>
  <c r="BC30" i="39"/>
  <c r="AZ30" i="39"/>
  <c r="AW30" i="39"/>
  <c r="AT30" i="39"/>
  <c r="AQ30" i="39"/>
  <c r="AN30" i="39"/>
  <c r="AK30" i="39"/>
  <c r="AI30" i="39"/>
  <c r="EB30" i="39" s="1"/>
  <c r="AB30" i="39"/>
  <c r="Y30" i="39"/>
  <c r="V30" i="39"/>
  <c r="S30" i="39"/>
  <c r="EH30" i="39" s="1"/>
  <c r="P30" i="39"/>
  <c r="M30" i="39"/>
  <c r="J30" i="39"/>
  <c r="G30" i="39"/>
  <c r="ED30" i="39" s="1"/>
  <c r="D30" i="39"/>
  <c r="EL29" i="39"/>
  <c r="EI29" i="39"/>
  <c r="EG29" i="39"/>
  <c r="DW29" i="39"/>
  <c r="DT29" i="39"/>
  <c r="EM29" i="39" s="1"/>
  <c r="DQ29" i="39"/>
  <c r="DN29" i="39"/>
  <c r="DK29" i="39"/>
  <c r="DH29" i="39"/>
  <c r="DE29" i="39"/>
  <c r="DB29" i="39"/>
  <c r="CY29" i="39"/>
  <c r="CV29" i="39"/>
  <c r="CS29" i="39"/>
  <c r="CP29" i="39"/>
  <c r="CM29" i="39"/>
  <c r="CJ29" i="39"/>
  <c r="CG29" i="39"/>
  <c r="CD29" i="39"/>
  <c r="CA29" i="39"/>
  <c r="BX29" i="39"/>
  <c r="BU29" i="39"/>
  <c r="BR29" i="39"/>
  <c r="BO29" i="39"/>
  <c r="BL29" i="39"/>
  <c r="BI29" i="39"/>
  <c r="BF29" i="39"/>
  <c r="BC29" i="39"/>
  <c r="AZ29" i="39"/>
  <c r="AW29" i="39"/>
  <c r="AT29" i="39"/>
  <c r="AQ29" i="39"/>
  <c r="AN29" i="39"/>
  <c r="AK29" i="39"/>
  <c r="AI29" i="39"/>
  <c r="EB29" i="39" s="1"/>
  <c r="AB29" i="39"/>
  <c r="EH29" i="39" s="1"/>
  <c r="Y29" i="39"/>
  <c r="V29" i="39"/>
  <c r="S29" i="39"/>
  <c r="P29" i="39"/>
  <c r="M29" i="39"/>
  <c r="J29" i="39"/>
  <c r="G29" i="39"/>
  <c r="D29" i="39"/>
  <c r="ED29" i="39" s="1"/>
  <c r="EL28" i="39"/>
  <c r="EG28" i="39"/>
  <c r="EI28" i="39" s="1"/>
  <c r="DW28" i="39"/>
  <c r="DT28" i="39"/>
  <c r="DQ28" i="39"/>
  <c r="DN28" i="39"/>
  <c r="DK28" i="39"/>
  <c r="DH28" i="39"/>
  <c r="DE28" i="39"/>
  <c r="DB28" i="39"/>
  <c r="CY28" i="39"/>
  <c r="CV28" i="39"/>
  <c r="CS28" i="39"/>
  <c r="CP28" i="39"/>
  <c r="CM28" i="39"/>
  <c r="CJ28" i="39"/>
  <c r="CG28" i="39"/>
  <c r="CD28" i="39"/>
  <c r="CA28" i="39"/>
  <c r="BX28" i="39"/>
  <c r="BU28" i="39"/>
  <c r="BR28" i="39"/>
  <c r="BO28" i="39"/>
  <c r="BL28" i="39"/>
  <c r="BI28" i="39"/>
  <c r="BF28" i="39"/>
  <c r="BC28" i="39"/>
  <c r="AZ28" i="39"/>
  <c r="AW28" i="39"/>
  <c r="AT28" i="39"/>
  <c r="AQ28" i="39"/>
  <c r="AN28" i="39"/>
  <c r="AI28" i="39"/>
  <c r="AK28" i="39" s="1"/>
  <c r="AB28" i="39"/>
  <c r="EH28" i="39" s="1"/>
  <c r="Y28" i="39"/>
  <c r="V28" i="39"/>
  <c r="S28" i="39"/>
  <c r="P28" i="39"/>
  <c r="M28" i="39"/>
  <c r="J28" i="39"/>
  <c r="G28" i="39"/>
  <c r="D28" i="39"/>
  <c r="EL27" i="39"/>
  <c r="EK27" i="39"/>
  <c r="EG27" i="39"/>
  <c r="EI27" i="39" s="1"/>
  <c r="DW27" i="39"/>
  <c r="DT27" i="39"/>
  <c r="EM27" i="39" s="1"/>
  <c r="DQ27" i="39"/>
  <c r="DN27" i="39"/>
  <c r="DK27" i="39"/>
  <c r="DH27" i="39"/>
  <c r="DE27" i="39"/>
  <c r="DB27" i="39"/>
  <c r="CY27" i="39"/>
  <c r="CV27" i="39"/>
  <c r="CS27" i="39"/>
  <c r="CP27" i="39"/>
  <c r="CM27" i="39"/>
  <c r="CJ27" i="39"/>
  <c r="CG27" i="39"/>
  <c r="CD27" i="39"/>
  <c r="CA27" i="39"/>
  <c r="BX27" i="39"/>
  <c r="BU27" i="39"/>
  <c r="BR27" i="39"/>
  <c r="BO27" i="39"/>
  <c r="BL27" i="39"/>
  <c r="BI27" i="39"/>
  <c r="BF27" i="39"/>
  <c r="BC27" i="39"/>
  <c r="AZ27" i="39"/>
  <c r="AW27" i="39"/>
  <c r="AT27" i="39"/>
  <c r="AQ27" i="39"/>
  <c r="AN27" i="39"/>
  <c r="AK27" i="39"/>
  <c r="AI27" i="39"/>
  <c r="EB27" i="39" s="1"/>
  <c r="AB27" i="39"/>
  <c r="Y27" i="39"/>
  <c r="V27" i="39"/>
  <c r="S27" i="39"/>
  <c r="EH27" i="39" s="1"/>
  <c r="P27" i="39"/>
  <c r="M27" i="39"/>
  <c r="J27" i="39"/>
  <c r="G27" i="39"/>
  <c r="D27" i="39"/>
  <c r="ED27" i="39" s="1"/>
  <c r="EL26" i="39"/>
  <c r="EI26" i="39"/>
  <c r="EG26" i="39"/>
  <c r="DW26" i="39"/>
  <c r="DT26" i="39"/>
  <c r="DQ26" i="39"/>
  <c r="DN26" i="39"/>
  <c r="DK26" i="39"/>
  <c r="DH26" i="39"/>
  <c r="DE26" i="39"/>
  <c r="DB26" i="39"/>
  <c r="CY26" i="39"/>
  <c r="CV26" i="39"/>
  <c r="CS26" i="39"/>
  <c r="CP26" i="39"/>
  <c r="CM26" i="39"/>
  <c r="CJ26" i="39"/>
  <c r="CG26" i="39"/>
  <c r="CD26" i="39"/>
  <c r="CA26" i="39"/>
  <c r="BX26" i="39"/>
  <c r="BU26" i="39"/>
  <c r="BR26" i="39"/>
  <c r="BO26" i="39"/>
  <c r="BL26" i="39"/>
  <c r="BI26" i="39"/>
  <c r="BF26" i="39"/>
  <c r="BC26" i="39"/>
  <c r="AZ26" i="39"/>
  <c r="AW26" i="39"/>
  <c r="AT26" i="39"/>
  <c r="AQ26" i="39"/>
  <c r="AN26" i="39"/>
  <c r="AI26" i="39"/>
  <c r="AK26" i="39" s="1"/>
  <c r="AB26" i="39"/>
  <c r="Y26" i="39"/>
  <c r="V26" i="39"/>
  <c r="S26" i="39"/>
  <c r="EH26" i="39" s="1"/>
  <c r="P26" i="39"/>
  <c r="M26" i="39"/>
  <c r="J26" i="39"/>
  <c r="G26" i="39"/>
  <c r="D26" i="39"/>
  <c r="EL25" i="39"/>
  <c r="EG25" i="39"/>
  <c r="EI25" i="39" s="1"/>
  <c r="DW25" i="39"/>
  <c r="DT25" i="39"/>
  <c r="DQ25" i="39"/>
  <c r="EM25" i="39" s="1"/>
  <c r="DN25" i="39"/>
  <c r="DK25" i="39"/>
  <c r="DH25" i="39"/>
  <c r="DE25" i="39"/>
  <c r="DB25" i="39"/>
  <c r="CY25" i="39"/>
  <c r="CV25" i="39"/>
  <c r="CS25" i="39"/>
  <c r="CP25" i="39"/>
  <c r="CM25" i="39"/>
  <c r="CJ25" i="39"/>
  <c r="CG25" i="39"/>
  <c r="CD25" i="39"/>
  <c r="CA25" i="39"/>
  <c r="BX25" i="39"/>
  <c r="BU25" i="39"/>
  <c r="BR25" i="39"/>
  <c r="BO25" i="39"/>
  <c r="BL25" i="39"/>
  <c r="BI25" i="39"/>
  <c r="BF25" i="39"/>
  <c r="BC25" i="39"/>
  <c r="AZ25" i="39"/>
  <c r="AW25" i="39"/>
  <c r="AT25" i="39"/>
  <c r="AQ25" i="39"/>
  <c r="AN25" i="39"/>
  <c r="AK25" i="39"/>
  <c r="AI25" i="39"/>
  <c r="EB25" i="39" s="1"/>
  <c r="AB25" i="39"/>
  <c r="Y25" i="39"/>
  <c r="V25" i="39"/>
  <c r="S25" i="39"/>
  <c r="EH25" i="39" s="1"/>
  <c r="P25" i="39"/>
  <c r="M25" i="39"/>
  <c r="J25" i="39"/>
  <c r="G25" i="39"/>
  <c r="D25" i="39"/>
  <c r="EL24" i="39"/>
  <c r="EK24" i="39"/>
  <c r="EN24" i="39" s="1"/>
  <c r="EG24" i="39"/>
  <c r="EI24" i="39" s="1"/>
  <c r="EC24" i="39"/>
  <c r="EB24" i="39"/>
  <c r="EE24" i="39" s="1"/>
  <c r="DW24" i="39"/>
  <c r="DT24" i="39"/>
  <c r="DQ24" i="39"/>
  <c r="DN24" i="39"/>
  <c r="DK24" i="39"/>
  <c r="DH24" i="39"/>
  <c r="DE24" i="39"/>
  <c r="EM24" i="39" s="1"/>
  <c r="DB24" i="39"/>
  <c r="CY24" i="39"/>
  <c r="CV24" i="39"/>
  <c r="CS24" i="39"/>
  <c r="CP24" i="39"/>
  <c r="CM24" i="39"/>
  <c r="CJ24" i="39"/>
  <c r="CG24" i="39"/>
  <c r="CD24" i="39"/>
  <c r="CA24" i="39"/>
  <c r="BX24" i="39"/>
  <c r="BU24" i="39"/>
  <c r="BR24" i="39"/>
  <c r="BO24" i="39"/>
  <c r="BL24" i="39"/>
  <c r="BI24" i="39"/>
  <c r="BF24" i="39"/>
  <c r="BC24" i="39"/>
  <c r="AZ24" i="39"/>
  <c r="AW24" i="39"/>
  <c r="AT24" i="39"/>
  <c r="AQ24" i="39"/>
  <c r="AN24" i="39"/>
  <c r="AK24" i="39"/>
  <c r="AB24" i="39"/>
  <c r="Y24" i="39"/>
  <c r="V24" i="39"/>
  <c r="S24" i="39"/>
  <c r="EH24" i="39" s="1"/>
  <c r="P24" i="39"/>
  <c r="M24" i="39"/>
  <c r="J24" i="39"/>
  <c r="G24" i="39"/>
  <c r="D24" i="39"/>
  <c r="ED24" i="39" s="1"/>
  <c r="EL23" i="39"/>
  <c r="EK23" i="39"/>
  <c r="EN23" i="39" s="1"/>
  <c r="EI23" i="39"/>
  <c r="EG23" i="39"/>
  <c r="EB23" i="39"/>
  <c r="EE23" i="39" s="1"/>
  <c r="DW23" i="39"/>
  <c r="DT23" i="39"/>
  <c r="EM23" i="39" s="1"/>
  <c r="DQ23" i="39"/>
  <c r="DN23" i="39"/>
  <c r="DK23" i="39"/>
  <c r="DH23" i="39"/>
  <c r="DE23" i="39"/>
  <c r="DB23" i="39"/>
  <c r="CY23" i="39"/>
  <c r="CV23" i="39"/>
  <c r="CS23" i="39"/>
  <c r="CP23" i="39"/>
  <c r="CM23" i="39"/>
  <c r="CJ23" i="39"/>
  <c r="CG23" i="39"/>
  <c r="CD23" i="39"/>
  <c r="CA23" i="39"/>
  <c r="BX23" i="39"/>
  <c r="BU23" i="39"/>
  <c r="BR23" i="39"/>
  <c r="BO23" i="39"/>
  <c r="BL23" i="39"/>
  <c r="BI23" i="39"/>
  <c r="BF23" i="39"/>
  <c r="BC23" i="39"/>
  <c r="AZ23" i="39"/>
  <c r="AW23" i="39"/>
  <c r="AT23" i="39"/>
  <c r="AQ23" i="39"/>
  <c r="AN23" i="39"/>
  <c r="AK23" i="39"/>
  <c r="AB23" i="39"/>
  <c r="Y23" i="39"/>
  <c r="V23" i="39"/>
  <c r="EH23" i="39" s="1"/>
  <c r="S23" i="39"/>
  <c r="P23" i="39"/>
  <c r="M23" i="39"/>
  <c r="J23" i="39"/>
  <c r="G23" i="39"/>
  <c r="D23" i="39"/>
  <c r="ED23" i="39" s="1"/>
  <c r="EL22" i="39"/>
  <c r="EK22" i="39"/>
  <c r="EN22" i="39" s="1"/>
  <c r="EG22" i="39"/>
  <c r="EI22" i="39" s="1"/>
  <c r="EB22" i="39"/>
  <c r="EE22" i="39" s="1"/>
  <c r="DW22" i="39"/>
  <c r="DT22" i="39"/>
  <c r="EM22" i="39" s="1"/>
  <c r="DQ22" i="39"/>
  <c r="DN22" i="39"/>
  <c r="DK22" i="39"/>
  <c r="DH22" i="39"/>
  <c r="DE22" i="39"/>
  <c r="DB22" i="39"/>
  <c r="CY22" i="39"/>
  <c r="CV22" i="39"/>
  <c r="CS22" i="39"/>
  <c r="CP22" i="39"/>
  <c r="CM22" i="39"/>
  <c r="CJ22" i="39"/>
  <c r="CG22" i="39"/>
  <c r="CD22" i="39"/>
  <c r="CA22" i="39"/>
  <c r="BX22" i="39"/>
  <c r="BU22" i="39"/>
  <c r="BR22" i="39"/>
  <c r="BO22" i="39"/>
  <c r="BL22" i="39"/>
  <c r="BI22" i="39"/>
  <c r="BF22" i="39"/>
  <c r="BC22" i="39"/>
  <c r="AZ22" i="39"/>
  <c r="AW22" i="39"/>
  <c r="AT22" i="39"/>
  <c r="AQ22" i="39"/>
  <c r="AN22" i="39"/>
  <c r="AK22" i="39"/>
  <c r="AB22" i="39"/>
  <c r="Y22" i="39"/>
  <c r="EH22" i="39" s="1"/>
  <c r="V22" i="39"/>
  <c r="S22" i="39"/>
  <c r="P22" i="39"/>
  <c r="M22" i="39"/>
  <c r="J22" i="39"/>
  <c r="G22" i="39"/>
  <c r="D22" i="39"/>
  <c r="ED22" i="39" s="1"/>
  <c r="EN21" i="39"/>
  <c r="EL21" i="39"/>
  <c r="EK21" i="39"/>
  <c r="EI21" i="39"/>
  <c r="EG21" i="39"/>
  <c r="EE21" i="39"/>
  <c r="EB21" i="39"/>
  <c r="EC21" i="39" s="1"/>
  <c r="DW21" i="39"/>
  <c r="DT21" i="39"/>
  <c r="EM21" i="39" s="1"/>
  <c r="DQ21" i="39"/>
  <c r="DN21" i="39"/>
  <c r="DK21" i="39"/>
  <c r="DH21" i="39"/>
  <c r="DE21" i="39"/>
  <c r="DB21" i="39"/>
  <c r="CY21" i="39"/>
  <c r="CV21" i="39"/>
  <c r="CS21" i="39"/>
  <c r="CP21" i="39"/>
  <c r="CM21" i="39"/>
  <c r="CJ21" i="39"/>
  <c r="CG21" i="39"/>
  <c r="CD21" i="39"/>
  <c r="CA21" i="39"/>
  <c r="BX21" i="39"/>
  <c r="BU21" i="39"/>
  <c r="BR21" i="39"/>
  <c r="BO21" i="39"/>
  <c r="BL21" i="39"/>
  <c r="BI21" i="39"/>
  <c r="BF21" i="39"/>
  <c r="BC21" i="39"/>
  <c r="AZ21" i="39"/>
  <c r="AW21" i="39"/>
  <c r="AT21" i="39"/>
  <c r="AQ21" i="39"/>
  <c r="AN21" i="39"/>
  <c r="AK21" i="39"/>
  <c r="AB21" i="39"/>
  <c r="Y21" i="39"/>
  <c r="V21" i="39"/>
  <c r="S21" i="39"/>
  <c r="EH21" i="39" s="1"/>
  <c r="P21" i="39"/>
  <c r="M21" i="39"/>
  <c r="J21" i="39"/>
  <c r="G21" i="39"/>
  <c r="D21" i="39"/>
  <c r="ED21" i="39" s="1"/>
  <c r="EL20" i="39"/>
  <c r="EK20" i="39"/>
  <c r="EN20" i="39" s="1"/>
  <c r="EG20" i="39"/>
  <c r="EI20" i="39" s="1"/>
  <c r="EC20" i="39"/>
  <c r="EB20" i="39"/>
  <c r="EE20" i="39" s="1"/>
  <c r="DW20" i="39"/>
  <c r="DT20" i="39"/>
  <c r="DQ20" i="39"/>
  <c r="DN20" i="39"/>
  <c r="DK20" i="39"/>
  <c r="DH20" i="39"/>
  <c r="DE20" i="39"/>
  <c r="EM20" i="39" s="1"/>
  <c r="DB20" i="39"/>
  <c r="CY20" i="39"/>
  <c r="CV20" i="39"/>
  <c r="CS20" i="39"/>
  <c r="CP20" i="39"/>
  <c r="CM20" i="39"/>
  <c r="CJ20" i="39"/>
  <c r="CG20" i="39"/>
  <c r="CD20" i="39"/>
  <c r="CA20" i="39"/>
  <c r="BX20" i="39"/>
  <c r="BU20" i="39"/>
  <c r="BR20" i="39"/>
  <c r="BO20" i="39"/>
  <c r="BL20" i="39"/>
  <c r="BI20" i="39"/>
  <c r="BF20" i="39"/>
  <c r="BC20" i="39"/>
  <c r="AZ20" i="39"/>
  <c r="AW20" i="39"/>
  <c r="AT20" i="39"/>
  <c r="AQ20" i="39"/>
  <c r="AN20" i="39"/>
  <c r="AK20" i="39"/>
  <c r="AB20" i="39"/>
  <c r="Y20" i="39"/>
  <c r="V20" i="39"/>
  <c r="S20" i="39"/>
  <c r="EH20" i="39" s="1"/>
  <c r="P20" i="39"/>
  <c r="M20" i="39"/>
  <c r="J20" i="39"/>
  <c r="G20" i="39"/>
  <c r="D20" i="39"/>
  <c r="ED20" i="39" s="1"/>
  <c r="EL19" i="39"/>
  <c r="EK19" i="39"/>
  <c r="EN19" i="39" s="1"/>
  <c r="EI19" i="39"/>
  <c r="EG19" i="39"/>
  <c r="EB19" i="39"/>
  <c r="EE19" i="39" s="1"/>
  <c r="DW19" i="39"/>
  <c r="DT19" i="39"/>
  <c r="EM19" i="39" s="1"/>
  <c r="DQ19" i="39"/>
  <c r="DN19" i="39"/>
  <c r="DK19" i="39"/>
  <c r="DH19" i="39"/>
  <c r="DE19" i="39"/>
  <c r="DB19" i="39"/>
  <c r="CY19" i="39"/>
  <c r="CV19" i="39"/>
  <c r="CS19" i="39"/>
  <c r="CP19" i="39"/>
  <c r="CM19" i="39"/>
  <c r="CJ19" i="39"/>
  <c r="CG19" i="39"/>
  <c r="CD19" i="39"/>
  <c r="CA19" i="39"/>
  <c r="BX19" i="39"/>
  <c r="BU19" i="39"/>
  <c r="BR19" i="39"/>
  <c r="BO19" i="39"/>
  <c r="BL19" i="39"/>
  <c r="BI19" i="39"/>
  <c r="BF19" i="39"/>
  <c r="BC19" i="39"/>
  <c r="AZ19" i="39"/>
  <c r="AW19" i="39"/>
  <c r="AT19" i="39"/>
  <c r="AQ19" i="39"/>
  <c r="AN19" i="39"/>
  <c r="AK19" i="39"/>
  <c r="AB19" i="39"/>
  <c r="Y19" i="39"/>
  <c r="V19" i="39"/>
  <c r="EH19" i="39" s="1"/>
  <c r="S19" i="39"/>
  <c r="P19" i="39"/>
  <c r="M19" i="39"/>
  <c r="J19" i="39"/>
  <c r="G19" i="39"/>
  <c r="D19" i="39"/>
  <c r="ED19" i="39" s="1"/>
  <c r="EL18" i="39"/>
  <c r="EK18" i="39"/>
  <c r="EN18" i="39" s="1"/>
  <c r="EG18" i="39"/>
  <c r="EI18" i="39" s="1"/>
  <c r="EB18" i="39"/>
  <c r="EE18" i="39" s="1"/>
  <c r="DW18" i="39"/>
  <c r="DT18" i="39"/>
  <c r="EM18" i="39" s="1"/>
  <c r="DQ18" i="39"/>
  <c r="DN18" i="39"/>
  <c r="DK18" i="39"/>
  <c r="DH18" i="39"/>
  <c r="DE18" i="39"/>
  <c r="DB18" i="39"/>
  <c r="CY18" i="39"/>
  <c r="CV18" i="39"/>
  <c r="CS18" i="39"/>
  <c r="CP18" i="39"/>
  <c r="CM18" i="39"/>
  <c r="CJ18" i="39"/>
  <c r="CG18" i="39"/>
  <c r="CD18" i="39"/>
  <c r="CA18" i="39"/>
  <c r="BX18" i="39"/>
  <c r="BU18" i="39"/>
  <c r="BR18" i="39"/>
  <c r="BO18" i="39"/>
  <c r="BL18" i="39"/>
  <c r="BI18" i="39"/>
  <c r="BF18" i="39"/>
  <c r="BC18" i="39"/>
  <c r="AZ18" i="39"/>
  <c r="AW18" i="39"/>
  <c r="AT18" i="39"/>
  <c r="AQ18" i="39"/>
  <c r="AN18" i="39"/>
  <c r="AK18" i="39"/>
  <c r="AB18" i="39"/>
  <c r="Y18" i="39"/>
  <c r="EH18" i="39" s="1"/>
  <c r="V18" i="39"/>
  <c r="S18" i="39"/>
  <c r="P18" i="39"/>
  <c r="M18" i="39"/>
  <c r="J18" i="39"/>
  <c r="G18" i="39"/>
  <c r="D18" i="39"/>
  <c r="ED18" i="39" s="1"/>
  <c r="EN17" i="39"/>
  <c r="EL17" i="39"/>
  <c r="EK17" i="39"/>
  <c r="EI17" i="39"/>
  <c r="EG17" i="39"/>
  <c r="EE17" i="39"/>
  <c r="EB17" i="39"/>
  <c r="EC17" i="39" s="1"/>
  <c r="DW17" i="39"/>
  <c r="DT17" i="39"/>
  <c r="EM17" i="39" s="1"/>
  <c r="DQ17" i="39"/>
  <c r="DN17" i="39"/>
  <c r="DK17" i="39"/>
  <c r="DH17" i="39"/>
  <c r="DE17" i="39"/>
  <c r="DB17" i="39"/>
  <c r="CY17" i="39"/>
  <c r="CV17" i="39"/>
  <c r="CS17" i="39"/>
  <c r="CP17" i="39"/>
  <c r="CM17" i="39"/>
  <c r="CJ17" i="39"/>
  <c r="CG17" i="39"/>
  <c r="CD17" i="39"/>
  <c r="CA17" i="39"/>
  <c r="BX17" i="39"/>
  <c r="BU17" i="39"/>
  <c r="BR17" i="39"/>
  <c r="BO17" i="39"/>
  <c r="BL17" i="39"/>
  <c r="BI17" i="39"/>
  <c r="BF17" i="39"/>
  <c r="BC17" i="39"/>
  <c r="AZ17" i="39"/>
  <c r="AW17" i="39"/>
  <c r="AT17" i="39"/>
  <c r="AQ17" i="39"/>
  <c r="AN17" i="39"/>
  <c r="AK17" i="39"/>
  <c r="AB17" i="39"/>
  <c r="Y17" i="39"/>
  <c r="V17" i="39"/>
  <c r="S17" i="39"/>
  <c r="EH17" i="39" s="1"/>
  <c r="P17" i="39"/>
  <c r="ED17" i="39" s="1"/>
  <c r="M17" i="39"/>
  <c r="J17" i="39"/>
  <c r="G17" i="39"/>
  <c r="D17" i="39"/>
  <c r="EL16" i="39"/>
  <c r="EK16" i="39"/>
  <c r="EN16" i="39" s="1"/>
  <c r="EG16" i="39"/>
  <c r="EI16" i="39" s="1"/>
  <c r="EC16" i="39"/>
  <c r="EB16" i="39"/>
  <c r="EE16" i="39" s="1"/>
  <c r="DW16" i="39"/>
  <c r="DT16" i="39"/>
  <c r="DQ16" i="39"/>
  <c r="DN16" i="39"/>
  <c r="DK16" i="39"/>
  <c r="DH16" i="39"/>
  <c r="DE16" i="39"/>
  <c r="EM16" i="39" s="1"/>
  <c r="DB16" i="39"/>
  <c r="CY16" i="39"/>
  <c r="CV16" i="39"/>
  <c r="CS16" i="39"/>
  <c r="CP16" i="39"/>
  <c r="CM16" i="39"/>
  <c r="CJ16" i="39"/>
  <c r="CG16" i="39"/>
  <c r="CD16" i="39"/>
  <c r="CA16" i="39"/>
  <c r="BX16" i="39"/>
  <c r="BU16" i="39"/>
  <c r="BR16" i="39"/>
  <c r="BO16" i="39"/>
  <c r="BL16" i="39"/>
  <c r="BI16" i="39"/>
  <c r="BF16" i="39"/>
  <c r="BC16" i="39"/>
  <c r="AZ16" i="39"/>
  <c r="AW16" i="39"/>
  <c r="AT16" i="39"/>
  <c r="AQ16" i="39"/>
  <c r="AN16" i="39"/>
  <c r="AK16" i="39"/>
  <c r="AB16" i="39"/>
  <c r="Y16" i="39"/>
  <c r="V16" i="39"/>
  <c r="S16" i="39"/>
  <c r="EH16" i="39" s="1"/>
  <c r="P16" i="39"/>
  <c r="M16" i="39"/>
  <c r="J16" i="39"/>
  <c r="G16" i="39"/>
  <c r="D16" i="39"/>
  <c r="ED16" i="39" s="1"/>
  <c r="EL15" i="39"/>
  <c r="EK15" i="39"/>
  <c r="EN15" i="39" s="1"/>
  <c r="EI15" i="39"/>
  <c r="EG15" i="39"/>
  <c r="EB15" i="39"/>
  <c r="EE15" i="39" s="1"/>
  <c r="DW15" i="39"/>
  <c r="DT15" i="39"/>
  <c r="EM15" i="39" s="1"/>
  <c r="DQ15" i="39"/>
  <c r="DN15" i="39"/>
  <c r="DK15" i="39"/>
  <c r="DH15" i="39"/>
  <c r="DE15" i="39"/>
  <c r="DB15" i="39"/>
  <c r="CY15" i="39"/>
  <c r="CV15" i="39"/>
  <c r="CS15" i="39"/>
  <c r="CP15" i="39"/>
  <c r="CM15" i="39"/>
  <c r="CJ15" i="39"/>
  <c r="CG15" i="39"/>
  <c r="CD15" i="39"/>
  <c r="CA15" i="39"/>
  <c r="BX15" i="39"/>
  <c r="BU15" i="39"/>
  <c r="BR15" i="39"/>
  <c r="BO15" i="39"/>
  <c r="BL15" i="39"/>
  <c r="BI15" i="39"/>
  <c r="BF15" i="39"/>
  <c r="BC15" i="39"/>
  <c r="AZ15" i="39"/>
  <c r="AW15" i="39"/>
  <c r="AT15" i="39"/>
  <c r="AQ15" i="39"/>
  <c r="AN15" i="39"/>
  <c r="AK15" i="39"/>
  <c r="AB15" i="39"/>
  <c r="Y15" i="39"/>
  <c r="EH15" i="39" s="1"/>
  <c r="V15" i="39"/>
  <c r="S15" i="39"/>
  <c r="P15" i="39"/>
  <c r="M15" i="39"/>
  <c r="J15" i="39"/>
  <c r="G15" i="39"/>
  <c r="D15" i="39"/>
  <c r="ED15" i="39" s="1"/>
  <c r="EL14" i="39"/>
  <c r="EK14" i="39"/>
  <c r="EN14" i="39" s="1"/>
  <c r="EG14" i="39"/>
  <c r="EI5" i="39" s="1"/>
  <c r="EB14" i="39"/>
  <c r="EE14" i="39" s="1"/>
  <c r="DW14" i="39"/>
  <c r="DT14" i="39"/>
  <c r="EM14" i="39" s="1"/>
  <c r="DQ14" i="39"/>
  <c r="DN14" i="39"/>
  <c r="DK14" i="39"/>
  <c r="DH14" i="39"/>
  <c r="DE14" i="39"/>
  <c r="DB14" i="39"/>
  <c r="CY14" i="39"/>
  <c r="CV14" i="39"/>
  <c r="CS14" i="39"/>
  <c r="CP14" i="39"/>
  <c r="CM14" i="39"/>
  <c r="CJ14" i="39"/>
  <c r="CG14" i="39"/>
  <c r="CD14" i="39"/>
  <c r="CA14" i="39"/>
  <c r="BX14" i="39"/>
  <c r="BU14" i="39"/>
  <c r="BR14" i="39"/>
  <c r="BO14" i="39"/>
  <c r="BL14" i="39"/>
  <c r="BI14" i="39"/>
  <c r="BF14" i="39"/>
  <c r="BC14" i="39"/>
  <c r="AZ14" i="39"/>
  <c r="AW14" i="39"/>
  <c r="AT14" i="39"/>
  <c r="AQ14" i="39"/>
  <c r="AN14" i="39"/>
  <c r="AK14" i="39"/>
  <c r="AB14" i="39"/>
  <c r="Y14" i="39"/>
  <c r="EH14" i="39" s="1"/>
  <c r="V14" i="39"/>
  <c r="S14" i="39"/>
  <c r="P14" i="39"/>
  <c r="M14" i="39"/>
  <c r="J14" i="39"/>
  <c r="G14" i="39"/>
  <c r="D14" i="39"/>
  <c r="ED14" i="39" s="1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EN13" i="39"/>
  <c r="EL13" i="39"/>
  <c r="EK13" i="39"/>
  <c r="EI13" i="39"/>
  <c r="EG13" i="39"/>
  <c r="EE13" i="39"/>
  <c r="EB13" i="39"/>
  <c r="EC13" i="39" s="1"/>
  <c r="DW13" i="39"/>
  <c r="DT13" i="39"/>
  <c r="EM13" i="39" s="1"/>
  <c r="DQ13" i="39"/>
  <c r="DN13" i="39"/>
  <c r="DK13" i="39"/>
  <c r="DH13" i="39"/>
  <c r="DE13" i="39"/>
  <c r="DB13" i="39"/>
  <c r="CY13" i="39"/>
  <c r="CV13" i="39"/>
  <c r="CS13" i="39"/>
  <c r="CP13" i="39"/>
  <c r="CM13" i="39"/>
  <c r="CJ13" i="39"/>
  <c r="CG13" i="39"/>
  <c r="CD13" i="39"/>
  <c r="CA13" i="39"/>
  <c r="BX13" i="39"/>
  <c r="BU13" i="39"/>
  <c r="BR13" i="39"/>
  <c r="BO13" i="39"/>
  <c r="BL13" i="39"/>
  <c r="BI13" i="39"/>
  <c r="BF13" i="39"/>
  <c r="BC13" i="39"/>
  <c r="AZ13" i="39"/>
  <c r="AW13" i="39"/>
  <c r="AT13" i="39"/>
  <c r="AQ13" i="39"/>
  <c r="AN13" i="39"/>
  <c r="AK13" i="39"/>
  <c r="AB13" i="39"/>
  <c r="Y13" i="39"/>
  <c r="V13" i="39"/>
  <c r="S13" i="39"/>
  <c r="EH13" i="39" s="1"/>
  <c r="P13" i="39"/>
  <c r="ED13" i="39" s="1"/>
  <c r="M13" i="39"/>
  <c r="J13" i="39"/>
  <c r="G13" i="39"/>
  <c r="D13" i="39"/>
  <c r="A13" i="39"/>
  <c r="EL12" i="39"/>
  <c r="EK12" i="39"/>
  <c r="EN12" i="39" s="1"/>
  <c r="EG12" i="39"/>
  <c r="EI12" i="39" s="1"/>
  <c r="EC12" i="39"/>
  <c r="EB12" i="39"/>
  <c r="DW12" i="39"/>
  <c r="DT12" i="39"/>
  <c r="DQ12" i="39"/>
  <c r="DN12" i="39"/>
  <c r="DK12" i="39"/>
  <c r="DK42" i="39" s="1"/>
  <c r="DH12" i="39"/>
  <c r="DE12" i="39"/>
  <c r="EM12" i="39" s="1"/>
  <c r="DB12" i="39"/>
  <c r="CY12" i="39"/>
  <c r="CV12" i="39"/>
  <c r="CS12" i="39"/>
  <c r="CP12" i="39"/>
  <c r="CM12" i="39"/>
  <c r="CM42" i="39" s="1"/>
  <c r="CJ12" i="39"/>
  <c r="CG12" i="39"/>
  <c r="CD12" i="39"/>
  <c r="CA12" i="39"/>
  <c r="BX12" i="39"/>
  <c r="BU12" i="39"/>
  <c r="BR12" i="39"/>
  <c r="BO12" i="39"/>
  <c r="BO42" i="39" s="1"/>
  <c r="BL12" i="39"/>
  <c r="BI12" i="39"/>
  <c r="BF12" i="39"/>
  <c r="BC12" i="39"/>
  <c r="AZ12" i="39"/>
  <c r="AW12" i="39"/>
  <c r="AT12" i="39"/>
  <c r="AQ12" i="39"/>
  <c r="AQ42" i="39" s="1"/>
  <c r="AN12" i="39"/>
  <c r="AK12" i="39"/>
  <c r="AB12" i="39"/>
  <c r="Y12" i="39"/>
  <c r="V12" i="39"/>
  <c r="S12" i="39"/>
  <c r="EH12" i="39" s="1"/>
  <c r="P12" i="39"/>
  <c r="M12" i="39"/>
  <c r="J12" i="39"/>
  <c r="G12" i="39"/>
  <c r="D12" i="39"/>
  <c r="ED12" i="39" s="1"/>
  <c r="A12" i="39"/>
  <c r="EL11" i="39"/>
  <c r="EK11" i="39"/>
  <c r="EC11" i="39" s="1"/>
  <c r="EI11" i="39"/>
  <c r="EG11" i="39"/>
  <c r="EB11" i="39"/>
  <c r="EE11" i="39" s="1"/>
  <c r="DW11" i="39"/>
  <c r="DW42" i="39" s="1"/>
  <c r="DT11" i="39"/>
  <c r="EM11" i="39" s="1"/>
  <c r="DQ11" i="39"/>
  <c r="DQ42" i="39" s="1"/>
  <c r="DN11" i="39"/>
  <c r="DN42" i="39" s="1"/>
  <c r="DK11" i="39"/>
  <c r="DH11" i="39"/>
  <c r="DH42" i="39" s="1"/>
  <c r="DE11" i="39"/>
  <c r="DE42" i="39" s="1"/>
  <c r="DB11" i="39"/>
  <c r="DB42" i="39" s="1"/>
  <c r="CY11" i="39"/>
  <c r="CY42" i="39" s="1"/>
  <c r="CV11" i="39"/>
  <c r="CV42" i="39" s="1"/>
  <c r="CS11" i="39"/>
  <c r="CS42" i="39" s="1"/>
  <c r="CP11" i="39"/>
  <c r="CP42" i="39" s="1"/>
  <c r="CM11" i="39"/>
  <c r="CJ11" i="39"/>
  <c r="CJ42" i="39" s="1"/>
  <c r="CG11" i="39"/>
  <c r="CG42" i="39" s="1"/>
  <c r="CD11" i="39"/>
  <c r="CD42" i="39" s="1"/>
  <c r="CA11" i="39"/>
  <c r="CA42" i="39" s="1"/>
  <c r="BX11" i="39"/>
  <c r="BX42" i="39" s="1"/>
  <c r="BU11" i="39"/>
  <c r="BU42" i="39" s="1"/>
  <c r="BR11" i="39"/>
  <c r="BR42" i="39" s="1"/>
  <c r="BO11" i="39"/>
  <c r="BL11" i="39"/>
  <c r="BL42" i="39" s="1"/>
  <c r="BI11" i="39"/>
  <c r="BI42" i="39" s="1"/>
  <c r="BF11" i="39"/>
  <c r="BF42" i="39" s="1"/>
  <c r="BC11" i="39"/>
  <c r="BC42" i="39" s="1"/>
  <c r="AZ11" i="39"/>
  <c r="AZ42" i="39" s="1"/>
  <c r="AW11" i="39"/>
  <c r="AW42" i="39" s="1"/>
  <c r="AT11" i="39"/>
  <c r="AT42" i="39" s="1"/>
  <c r="AQ11" i="39"/>
  <c r="AN11" i="39"/>
  <c r="AN42" i="39" s="1"/>
  <c r="AK11" i="39"/>
  <c r="AH42" i="39"/>
  <c r="AE42" i="39"/>
  <c r="AB11" i="39"/>
  <c r="AB42" i="39" s="1"/>
  <c r="Y11" i="39"/>
  <c r="Y42" i="39" s="1"/>
  <c r="V11" i="39"/>
  <c r="EH11" i="39" s="1"/>
  <c r="S11" i="39"/>
  <c r="P11" i="39"/>
  <c r="P42" i="39" s="1"/>
  <c r="M11" i="39"/>
  <c r="M42" i="39" s="1"/>
  <c r="J11" i="39"/>
  <c r="J42" i="39" s="1"/>
  <c r="G11" i="39"/>
  <c r="G42" i="39" s="1"/>
  <c r="D11" i="39"/>
  <c r="ED11" i="39" s="1"/>
  <c r="EI2" i="39"/>
  <c r="EE37" i="39" l="1"/>
  <c r="EC37" i="39"/>
  <c r="EM26" i="39"/>
  <c r="EM42" i="39" s="1"/>
  <c r="EE27" i="39"/>
  <c r="EC27" i="39"/>
  <c r="EE30" i="39"/>
  <c r="EC30" i="39"/>
  <c r="ED34" i="39"/>
  <c r="ED31" i="39"/>
  <c r="EE31" i="39" s="1"/>
  <c r="ED26" i="39"/>
  <c r="EN27" i="39"/>
  <c r="EC33" i="39"/>
  <c r="EE33" i="39"/>
  <c r="EE36" i="39"/>
  <c r="EN37" i="39"/>
  <c r="ED41" i="39"/>
  <c r="EE41" i="39" s="1"/>
  <c r="EE29" i="39"/>
  <c r="EC29" i="39"/>
  <c r="EN30" i="39"/>
  <c r="EE35" i="39"/>
  <c r="ED28" i="39"/>
  <c r="EM28" i="39"/>
  <c r="EM34" i="39"/>
  <c r="EM38" i="39"/>
  <c r="EN38" i="39" s="1"/>
  <c r="EN40" i="39"/>
  <c r="EN2" i="39"/>
  <c r="EP2" i="39" s="1"/>
  <c r="EN41" i="39"/>
  <c r="EM31" i="39"/>
  <c r="EN31" i="39" s="1"/>
  <c r="EE32" i="39"/>
  <c r="EN35" i="39"/>
  <c r="EE39" i="39"/>
  <c r="EE40" i="39"/>
  <c r="ED38" i="39"/>
  <c r="ED25" i="39"/>
  <c r="ED42" i="39" s="1"/>
  <c r="EB38" i="39"/>
  <c r="S42" i="39"/>
  <c r="EI14" i="39"/>
  <c r="EK29" i="39"/>
  <c r="EN29" i="39" s="1"/>
  <c r="AK31" i="39"/>
  <c r="AK42" i="39" s="1"/>
  <c r="EC31" i="39"/>
  <c r="EK36" i="39"/>
  <c r="EN36" i="39" s="1"/>
  <c r="AK38" i="39"/>
  <c r="EC39" i="39"/>
  <c r="EC40" i="39"/>
  <c r="EC41" i="39"/>
  <c r="V42" i="39"/>
  <c r="EC15" i="39"/>
  <c r="EC19" i="39"/>
  <c r="EC23" i="39"/>
  <c r="EK28" i="39"/>
  <c r="EN28" i="39" s="1"/>
  <c r="EH34" i="39"/>
  <c r="EI3" i="39"/>
  <c r="EI4" i="39" s="1"/>
  <c r="EB28" i="39"/>
  <c r="EE3" i="39" s="1"/>
  <c r="EH33" i="39"/>
  <c r="EH42" i="39" s="1"/>
  <c r="D42" i="39"/>
  <c r="DT42" i="39"/>
  <c r="EE12" i="39"/>
  <c r="EN11" i="39"/>
  <c r="EC14" i="39"/>
  <c r="EC18" i="39"/>
  <c r="EC22" i="39"/>
  <c r="EK26" i="39"/>
  <c r="EN26" i="39" s="1"/>
  <c r="EK34" i="39"/>
  <c r="EN34" i="39" s="1"/>
  <c r="EC35" i="39"/>
  <c r="EK25" i="39"/>
  <c r="EN25" i="39" s="1"/>
  <c r="EB26" i="39"/>
  <c r="EE5" i="39" s="1"/>
  <c r="G7" i="39" s="1"/>
  <c r="EK33" i="39"/>
  <c r="EN33" i="39" s="1"/>
  <c r="EB34" i="39"/>
  <c r="EK32" i="39"/>
  <c r="EN32" i="39" s="1"/>
  <c r="EE4" i="39" l="1"/>
  <c r="G6" i="39" s="1"/>
  <c r="G5" i="39"/>
  <c r="EE38" i="39"/>
  <c r="EC38" i="39"/>
  <c r="EC32" i="39"/>
  <c r="EE25" i="39"/>
  <c r="EC25" i="39"/>
  <c r="EC34" i="39"/>
  <c r="EE34" i="39"/>
  <c r="EC36" i="39"/>
  <c r="EC26" i="39"/>
  <c r="EE26" i="39"/>
  <c r="EN5" i="39"/>
  <c r="EN3" i="39"/>
  <c r="EN4" i="39" s="1"/>
  <c r="EE28" i="39"/>
  <c r="EC28" i="39"/>
  <c r="DK42" i="38" l="1"/>
  <c r="CM42" i="38"/>
  <c r="BO42" i="38"/>
  <c r="AQ42" i="38"/>
  <c r="EN41" i="38"/>
  <c r="EL41" i="38"/>
  <c r="EK41" i="38"/>
  <c r="EG41" i="38"/>
  <c r="EI41" i="38" s="1"/>
  <c r="EB41" i="38"/>
  <c r="EE41" i="38" s="1"/>
  <c r="DW41" i="38"/>
  <c r="DT41" i="38"/>
  <c r="DQ41" i="38"/>
  <c r="DN41" i="38"/>
  <c r="DK41" i="38"/>
  <c r="DH41" i="38"/>
  <c r="DE41" i="38"/>
  <c r="EM41" i="38" s="1"/>
  <c r="DB41" i="38"/>
  <c r="CY41" i="38"/>
  <c r="CV41" i="38"/>
  <c r="CS41" i="38"/>
  <c r="CP41" i="38"/>
  <c r="CM41" i="38"/>
  <c r="CJ41" i="38"/>
  <c r="CG41" i="38"/>
  <c r="CD41" i="38"/>
  <c r="CA41" i="38"/>
  <c r="BX41" i="38"/>
  <c r="BU41" i="38"/>
  <c r="BR41" i="38"/>
  <c r="BO41" i="38"/>
  <c r="BL41" i="38"/>
  <c r="BI41" i="38"/>
  <c r="BF41" i="38"/>
  <c r="BC41" i="38"/>
  <c r="AZ41" i="38"/>
  <c r="AW41" i="38"/>
  <c r="AT41" i="38"/>
  <c r="AQ41" i="38"/>
  <c r="AN41" i="38"/>
  <c r="AK41" i="38"/>
  <c r="AB41" i="38"/>
  <c r="Y41" i="38"/>
  <c r="V41" i="38"/>
  <c r="S41" i="38"/>
  <c r="EH41" i="38" s="1"/>
  <c r="P41" i="38"/>
  <c r="M41" i="38"/>
  <c r="J41" i="38"/>
  <c r="ED41" i="38" s="1"/>
  <c r="G41" i="38"/>
  <c r="D41" i="38"/>
  <c r="EL40" i="38"/>
  <c r="EK40" i="38"/>
  <c r="EN40" i="38" s="1"/>
  <c r="EI40" i="38"/>
  <c r="EG40" i="38"/>
  <c r="EB40" i="38"/>
  <c r="EE40" i="38" s="1"/>
  <c r="DW40" i="38"/>
  <c r="DT40" i="38"/>
  <c r="EM40" i="38" s="1"/>
  <c r="DQ40" i="38"/>
  <c r="DN40" i="38"/>
  <c r="DK40" i="38"/>
  <c r="DH40" i="38"/>
  <c r="DE40" i="38"/>
  <c r="DB40" i="38"/>
  <c r="CY40" i="38"/>
  <c r="CV40" i="38"/>
  <c r="CS40" i="38"/>
  <c r="CP40" i="38"/>
  <c r="CM40" i="38"/>
  <c r="CJ40" i="38"/>
  <c r="CG40" i="38"/>
  <c r="CD40" i="38"/>
  <c r="CA40" i="38"/>
  <c r="BX40" i="38"/>
  <c r="BU40" i="38"/>
  <c r="BR40" i="38"/>
  <c r="BO40" i="38"/>
  <c r="BL40" i="38"/>
  <c r="BI40" i="38"/>
  <c r="BF40" i="38"/>
  <c r="BC40" i="38"/>
  <c r="AZ40" i="38"/>
  <c r="AW40" i="38"/>
  <c r="AT40" i="38"/>
  <c r="AQ40" i="38"/>
  <c r="AN40" i="38"/>
  <c r="AK40" i="38"/>
  <c r="AB40" i="38"/>
  <c r="Y40" i="38"/>
  <c r="EH40" i="38" s="1"/>
  <c r="V40" i="38"/>
  <c r="S40" i="38"/>
  <c r="P40" i="38"/>
  <c r="M40" i="38"/>
  <c r="J40" i="38"/>
  <c r="G40" i="38"/>
  <c r="D40" i="38"/>
  <c r="ED40" i="38" s="1"/>
  <c r="EL39" i="38"/>
  <c r="EK39" i="38"/>
  <c r="EN39" i="38" s="1"/>
  <c r="EG39" i="38"/>
  <c r="EI39" i="38" s="1"/>
  <c r="EB39" i="38"/>
  <c r="EE39" i="38" s="1"/>
  <c r="DW39" i="38"/>
  <c r="DT39" i="38"/>
  <c r="EM39" i="38" s="1"/>
  <c r="DQ39" i="38"/>
  <c r="DN39" i="38"/>
  <c r="DK39" i="38"/>
  <c r="DH39" i="38"/>
  <c r="DE39" i="38"/>
  <c r="DB39" i="38"/>
  <c r="CY39" i="38"/>
  <c r="CV39" i="38"/>
  <c r="CS39" i="38"/>
  <c r="CP39" i="38"/>
  <c r="CM39" i="38"/>
  <c r="CJ39" i="38"/>
  <c r="CG39" i="38"/>
  <c r="CD39" i="38"/>
  <c r="CA39" i="38"/>
  <c r="BX39" i="38"/>
  <c r="BU39" i="38"/>
  <c r="BR39" i="38"/>
  <c r="BO39" i="38"/>
  <c r="BL39" i="38"/>
  <c r="BI39" i="38"/>
  <c r="BF39" i="38"/>
  <c r="BC39" i="38"/>
  <c r="AZ39" i="38"/>
  <c r="AW39" i="38"/>
  <c r="AT39" i="38"/>
  <c r="AQ39" i="38"/>
  <c r="AN39" i="38"/>
  <c r="AK39" i="38"/>
  <c r="AB39" i="38"/>
  <c r="Y39" i="38"/>
  <c r="V39" i="38"/>
  <c r="EH39" i="38" s="1"/>
  <c r="S39" i="38"/>
  <c r="P39" i="38"/>
  <c r="M39" i="38"/>
  <c r="J39" i="38"/>
  <c r="G39" i="38"/>
  <c r="D39" i="38"/>
  <c r="ED39" i="38" s="1"/>
  <c r="EL38" i="38"/>
  <c r="EI38" i="38"/>
  <c r="EG38" i="38"/>
  <c r="DW38" i="38"/>
  <c r="DT38" i="38"/>
  <c r="EM38" i="38" s="1"/>
  <c r="DQ38" i="38"/>
  <c r="DN38" i="38"/>
  <c r="DK38" i="38"/>
  <c r="DH38" i="38"/>
  <c r="DE38" i="38"/>
  <c r="DB38" i="38"/>
  <c r="CY38" i="38"/>
  <c r="CV38" i="38"/>
  <c r="CS38" i="38"/>
  <c r="CP38" i="38"/>
  <c r="CM38" i="38"/>
  <c r="CJ38" i="38"/>
  <c r="CG38" i="38"/>
  <c r="CD38" i="38"/>
  <c r="CA38" i="38"/>
  <c r="BX38" i="38"/>
  <c r="BU38" i="38"/>
  <c r="BR38" i="38"/>
  <c r="BO38" i="38"/>
  <c r="BL38" i="38"/>
  <c r="BI38" i="38"/>
  <c r="BF38" i="38"/>
  <c r="BC38" i="38"/>
  <c r="AZ38" i="38"/>
  <c r="AW38" i="38"/>
  <c r="AT38" i="38"/>
  <c r="AQ38" i="38"/>
  <c r="AN38" i="38"/>
  <c r="AK38" i="38"/>
  <c r="AI38" i="38"/>
  <c r="EB38" i="38" s="1"/>
  <c r="AB38" i="38"/>
  <c r="Y38" i="38"/>
  <c r="V38" i="38"/>
  <c r="S38" i="38"/>
  <c r="S42" i="38" s="1"/>
  <c r="P38" i="38"/>
  <c r="M38" i="38"/>
  <c r="J38" i="38"/>
  <c r="G38" i="38"/>
  <c r="D38" i="38"/>
  <c r="EL37" i="38"/>
  <c r="EG37" i="38"/>
  <c r="EI37" i="38" s="1"/>
  <c r="DW37" i="38"/>
  <c r="DT37" i="38"/>
  <c r="DQ37" i="38"/>
  <c r="DN37" i="38"/>
  <c r="DK37" i="38"/>
  <c r="DH37" i="38"/>
  <c r="DE37" i="38"/>
  <c r="EM37" i="38" s="1"/>
  <c r="DB37" i="38"/>
  <c r="CY37" i="38"/>
  <c r="CV37" i="38"/>
  <c r="CS37" i="38"/>
  <c r="CP37" i="38"/>
  <c r="CM37" i="38"/>
  <c r="CJ37" i="38"/>
  <c r="CG37" i="38"/>
  <c r="CD37" i="38"/>
  <c r="CA37" i="38"/>
  <c r="BX37" i="38"/>
  <c r="BU37" i="38"/>
  <c r="BR37" i="38"/>
  <c r="BO37" i="38"/>
  <c r="BL37" i="38"/>
  <c r="BI37" i="38"/>
  <c r="BF37" i="38"/>
  <c r="BC37" i="38"/>
  <c r="AZ37" i="38"/>
  <c r="AW37" i="38"/>
  <c r="AT37" i="38"/>
  <c r="AQ37" i="38"/>
  <c r="AN37" i="38"/>
  <c r="AK37" i="38"/>
  <c r="AI37" i="38"/>
  <c r="EB37" i="38" s="1"/>
  <c r="AB37" i="38"/>
  <c r="Y37" i="38"/>
  <c r="V37" i="38"/>
  <c r="S37" i="38"/>
  <c r="EH37" i="38" s="1"/>
  <c r="P37" i="38"/>
  <c r="ED37" i="38" s="1"/>
  <c r="M37" i="38"/>
  <c r="J37" i="38"/>
  <c r="G37" i="38"/>
  <c r="D37" i="38"/>
  <c r="EL36" i="38"/>
  <c r="EG36" i="38"/>
  <c r="EI36" i="38" s="1"/>
  <c r="DW36" i="38"/>
  <c r="DT36" i="38"/>
  <c r="DQ36" i="38"/>
  <c r="DN36" i="38"/>
  <c r="DK36" i="38"/>
  <c r="DH36" i="38"/>
  <c r="DE36" i="38"/>
  <c r="DB36" i="38"/>
  <c r="CY36" i="38"/>
  <c r="CV36" i="38"/>
  <c r="CS36" i="38"/>
  <c r="CP36" i="38"/>
  <c r="CM36" i="38"/>
  <c r="CJ36" i="38"/>
  <c r="CG36" i="38"/>
  <c r="CD36" i="38"/>
  <c r="CA36" i="38"/>
  <c r="BX36" i="38"/>
  <c r="BU36" i="38"/>
  <c r="BR36" i="38"/>
  <c r="BO36" i="38"/>
  <c r="BL36" i="38"/>
  <c r="BI36" i="38"/>
  <c r="BF36" i="38"/>
  <c r="BC36" i="38"/>
  <c r="AZ36" i="38"/>
  <c r="AW36" i="38"/>
  <c r="AT36" i="38"/>
  <c r="AQ36" i="38"/>
  <c r="AN36" i="38"/>
  <c r="AI36" i="38"/>
  <c r="EK36" i="38" s="1"/>
  <c r="AB36" i="38"/>
  <c r="Y36" i="38"/>
  <c r="V36" i="38"/>
  <c r="S36" i="38"/>
  <c r="EH36" i="38" s="1"/>
  <c r="P36" i="38"/>
  <c r="M36" i="38"/>
  <c r="J36" i="38"/>
  <c r="G36" i="38"/>
  <c r="D36" i="38"/>
  <c r="EL35" i="38"/>
  <c r="EK35" i="38"/>
  <c r="EI35" i="38"/>
  <c r="EG35" i="38"/>
  <c r="DW35" i="38"/>
  <c r="DT35" i="38"/>
  <c r="DQ35" i="38"/>
  <c r="DN35" i="38"/>
  <c r="DK35" i="38"/>
  <c r="DH35" i="38"/>
  <c r="DE35" i="38"/>
  <c r="DB35" i="38"/>
  <c r="CY35" i="38"/>
  <c r="CV35" i="38"/>
  <c r="CS35" i="38"/>
  <c r="CP35" i="38"/>
  <c r="CM35" i="38"/>
  <c r="CJ35" i="38"/>
  <c r="CG35" i="38"/>
  <c r="CD35" i="38"/>
  <c r="CA35" i="38"/>
  <c r="BX35" i="38"/>
  <c r="BU35" i="38"/>
  <c r="BR35" i="38"/>
  <c r="BO35" i="38"/>
  <c r="BL35" i="38"/>
  <c r="BI35" i="38"/>
  <c r="BF35" i="38"/>
  <c r="BC35" i="38"/>
  <c r="AZ35" i="38"/>
  <c r="AW35" i="38"/>
  <c r="AT35" i="38"/>
  <c r="AQ35" i="38"/>
  <c r="AN35" i="38"/>
  <c r="AI35" i="38"/>
  <c r="EB35" i="38" s="1"/>
  <c r="AB35" i="38"/>
  <c r="Y35" i="38"/>
  <c r="V35" i="38"/>
  <c r="S35" i="38"/>
  <c r="EH35" i="38" s="1"/>
  <c r="P35" i="38"/>
  <c r="M35" i="38"/>
  <c r="J35" i="38"/>
  <c r="G35" i="38"/>
  <c r="D35" i="38"/>
  <c r="EL34" i="38"/>
  <c r="EK34" i="38"/>
  <c r="EI34" i="38"/>
  <c r="EG34" i="38"/>
  <c r="DW34" i="38"/>
  <c r="DT34" i="38"/>
  <c r="DQ34" i="38"/>
  <c r="DN34" i="38"/>
  <c r="DK34" i="38"/>
  <c r="DH34" i="38"/>
  <c r="DE34" i="38"/>
  <c r="DB34" i="38"/>
  <c r="CY34" i="38"/>
  <c r="CV34" i="38"/>
  <c r="CS34" i="38"/>
  <c r="CP34" i="38"/>
  <c r="CM34" i="38"/>
  <c r="CJ34" i="38"/>
  <c r="CG34" i="38"/>
  <c r="CD34" i="38"/>
  <c r="CA34" i="38"/>
  <c r="BX34" i="38"/>
  <c r="BU34" i="38"/>
  <c r="BR34" i="38"/>
  <c r="BO34" i="38"/>
  <c r="BL34" i="38"/>
  <c r="BI34" i="38"/>
  <c r="BF34" i="38"/>
  <c r="BC34" i="38"/>
  <c r="AZ34" i="38"/>
  <c r="AW34" i="38"/>
  <c r="AT34" i="38"/>
  <c r="AQ34" i="38"/>
  <c r="AN34" i="38"/>
  <c r="AI34" i="38"/>
  <c r="AK34" i="38" s="1"/>
  <c r="AB34" i="38"/>
  <c r="Y34" i="38"/>
  <c r="V34" i="38"/>
  <c r="S34" i="38"/>
  <c r="EH34" i="38" s="1"/>
  <c r="P34" i="38"/>
  <c r="M34" i="38"/>
  <c r="J34" i="38"/>
  <c r="G34" i="38"/>
  <c r="D34" i="38"/>
  <c r="EL33" i="38"/>
  <c r="EK33" i="38"/>
  <c r="EI33" i="38"/>
  <c r="EG33" i="38"/>
  <c r="DW33" i="38"/>
  <c r="DT33" i="38"/>
  <c r="EM33" i="38" s="1"/>
  <c r="DQ33" i="38"/>
  <c r="DN33" i="38"/>
  <c r="DK33" i="38"/>
  <c r="DH33" i="38"/>
  <c r="DE33" i="38"/>
  <c r="DB33" i="38"/>
  <c r="CY33" i="38"/>
  <c r="CV33" i="38"/>
  <c r="CS33" i="38"/>
  <c r="CP33" i="38"/>
  <c r="CM33" i="38"/>
  <c r="CJ33" i="38"/>
  <c r="CG33" i="38"/>
  <c r="CD33" i="38"/>
  <c r="CA33" i="38"/>
  <c r="BX33" i="38"/>
  <c r="BU33" i="38"/>
  <c r="BR33" i="38"/>
  <c r="BO33" i="38"/>
  <c r="BL33" i="38"/>
  <c r="BI33" i="38"/>
  <c r="BF33" i="38"/>
  <c r="BC33" i="38"/>
  <c r="AZ33" i="38"/>
  <c r="AW33" i="38"/>
  <c r="AT33" i="38"/>
  <c r="AQ33" i="38"/>
  <c r="AN33" i="38"/>
  <c r="AK33" i="38"/>
  <c r="AI33" i="38"/>
  <c r="EB33" i="38" s="1"/>
  <c r="AB33" i="38"/>
  <c r="EH33" i="38" s="1"/>
  <c r="Y33" i="38"/>
  <c r="V33" i="38"/>
  <c r="S33" i="38"/>
  <c r="P33" i="38"/>
  <c r="M33" i="38"/>
  <c r="J33" i="38"/>
  <c r="G33" i="38"/>
  <c r="D33" i="38"/>
  <c r="ED33" i="38" s="1"/>
  <c r="EL32" i="38"/>
  <c r="EK32" i="38"/>
  <c r="EG32" i="38"/>
  <c r="EI32" i="38" s="1"/>
  <c r="EB32" i="38"/>
  <c r="DW32" i="38"/>
  <c r="DT32" i="38"/>
  <c r="EM32" i="38" s="1"/>
  <c r="DQ32" i="38"/>
  <c r="DN32" i="38"/>
  <c r="DK32" i="38"/>
  <c r="DH32" i="38"/>
  <c r="DE32" i="38"/>
  <c r="DB32" i="38"/>
  <c r="CY32" i="38"/>
  <c r="CV32" i="38"/>
  <c r="CS32" i="38"/>
  <c r="CP32" i="38"/>
  <c r="CM32" i="38"/>
  <c r="CJ32" i="38"/>
  <c r="CG32" i="38"/>
  <c r="CD32" i="38"/>
  <c r="CA32" i="38"/>
  <c r="BX32" i="38"/>
  <c r="BU32" i="38"/>
  <c r="BR32" i="38"/>
  <c r="BO32" i="38"/>
  <c r="BL32" i="38"/>
  <c r="BI32" i="38"/>
  <c r="BF32" i="38"/>
  <c r="BC32" i="38"/>
  <c r="AZ32" i="38"/>
  <c r="AW32" i="38"/>
  <c r="AT32" i="38"/>
  <c r="AQ32" i="38"/>
  <c r="AN32" i="38"/>
  <c r="AK32" i="38"/>
  <c r="AB32" i="38"/>
  <c r="Y32" i="38"/>
  <c r="V32" i="38"/>
  <c r="EH32" i="38" s="1"/>
  <c r="S32" i="38"/>
  <c r="P32" i="38"/>
  <c r="M32" i="38"/>
  <c r="J32" i="38"/>
  <c r="G32" i="38"/>
  <c r="D32" i="38"/>
  <c r="ED32" i="38" s="1"/>
  <c r="EN31" i="38"/>
  <c r="EL31" i="38"/>
  <c r="EK31" i="38"/>
  <c r="EI31" i="38"/>
  <c r="EG31" i="38"/>
  <c r="EE31" i="38"/>
  <c r="EB31" i="38"/>
  <c r="EC31" i="38" s="1"/>
  <c r="DW31" i="38"/>
  <c r="DT31" i="38"/>
  <c r="EM31" i="38" s="1"/>
  <c r="DQ31" i="38"/>
  <c r="DN31" i="38"/>
  <c r="DK31" i="38"/>
  <c r="DH31" i="38"/>
  <c r="DE31" i="38"/>
  <c r="DB31" i="38"/>
  <c r="CY31" i="38"/>
  <c r="CV31" i="38"/>
  <c r="CS31" i="38"/>
  <c r="CP31" i="38"/>
  <c r="CM31" i="38"/>
  <c r="CJ31" i="38"/>
  <c r="CG31" i="38"/>
  <c r="CD31" i="38"/>
  <c r="CA31" i="38"/>
  <c r="BX31" i="38"/>
  <c r="BU31" i="38"/>
  <c r="BR31" i="38"/>
  <c r="BO31" i="38"/>
  <c r="BL31" i="38"/>
  <c r="BI31" i="38"/>
  <c r="BF31" i="38"/>
  <c r="BC31" i="38"/>
  <c r="AZ31" i="38"/>
  <c r="AW31" i="38"/>
  <c r="AT31" i="38"/>
  <c r="AQ31" i="38"/>
  <c r="AN31" i="38"/>
  <c r="AK31" i="38"/>
  <c r="AB31" i="38"/>
  <c r="Y31" i="38"/>
  <c r="V31" i="38"/>
  <c r="S31" i="38"/>
  <c r="EH31" i="38" s="1"/>
  <c r="P31" i="38"/>
  <c r="ED31" i="38" s="1"/>
  <c r="M31" i="38"/>
  <c r="J31" i="38"/>
  <c r="G31" i="38"/>
  <c r="D31" i="38"/>
  <c r="EN30" i="38"/>
  <c r="EL30" i="38"/>
  <c r="EK30" i="38"/>
  <c r="EG30" i="38"/>
  <c r="EI30" i="38" s="1"/>
  <c r="EB30" i="38"/>
  <c r="EE30" i="38" s="1"/>
  <c r="DW30" i="38"/>
  <c r="DT30" i="38"/>
  <c r="DQ30" i="38"/>
  <c r="DN30" i="38"/>
  <c r="DK30" i="38"/>
  <c r="DH30" i="38"/>
  <c r="DE30" i="38"/>
  <c r="DB30" i="38"/>
  <c r="EM30" i="38" s="1"/>
  <c r="CY30" i="38"/>
  <c r="CV30" i="38"/>
  <c r="CS30" i="38"/>
  <c r="CP30" i="38"/>
  <c r="CM30" i="38"/>
  <c r="CJ30" i="38"/>
  <c r="CG30" i="38"/>
  <c r="CD30" i="38"/>
  <c r="CA30" i="38"/>
  <c r="BX30" i="38"/>
  <c r="BU30" i="38"/>
  <c r="BR30" i="38"/>
  <c r="BO30" i="38"/>
  <c r="BL30" i="38"/>
  <c r="BI30" i="38"/>
  <c r="BF30" i="38"/>
  <c r="BC30" i="38"/>
  <c r="AZ30" i="38"/>
  <c r="AW30" i="38"/>
  <c r="AT30" i="38"/>
  <c r="AQ30" i="38"/>
  <c r="AN30" i="38"/>
  <c r="AK30" i="38"/>
  <c r="AB30" i="38"/>
  <c r="Y30" i="38"/>
  <c r="V30" i="38"/>
  <c r="S30" i="38"/>
  <c r="EH30" i="38" s="1"/>
  <c r="P30" i="38"/>
  <c r="M30" i="38"/>
  <c r="J30" i="38"/>
  <c r="ED30" i="38" s="1"/>
  <c r="G30" i="38"/>
  <c r="D30" i="38"/>
  <c r="EL29" i="38"/>
  <c r="EK29" i="38"/>
  <c r="EN29" i="38" s="1"/>
  <c r="EI29" i="38"/>
  <c r="EG29" i="38"/>
  <c r="EB29" i="38"/>
  <c r="EE29" i="38" s="1"/>
  <c r="DW29" i="38"/>
  <c r="DT29" i="38"/>
  <c r="EM29" i="38" s="1"/>
  <c r="DQ29" i="38"/>
  <c r="DN29" i="38"/>
  <c r="DK29" i="38"/>
  <c r="DH29" i="38"/>
  <c r="DE29" i="38"/>
  <c r="DB29" i="38"/>
  <c r="CY29" i="38"/>
  <c r="CV29" i="38"/>
  <c r="CS29" i="38"/>
  <c r="CP29" i="38"/>
  <c r="CM29" i="38"/>
  <c r="CJ29" i="38"/>
  <c r="CG29" i="38"/>
  <c r="CD29" i="38"/>
  <c r="CA29" i="38"/>
  <c r="BX29" i="38"/>
  <c r="BU29" i="38"/>
  <c r="BR29" i="38"/>
  <c r="BO29" i="38"/>
  <c r="BL29" i="38"/>
  <c r="BI29" i="38"/>
  <c r="BF29" i="38"/>
  <c r="BC29" i="38"/>
  <c r="AZ29" i="38"/>
  <c r="AW29" i="38"/>
  <c r="AT29" i="38"/>
  <c r="AQ29" i="38"/>
  <c r="AN29" i="38"/>
  <c r="AK29" i="38"/>
  <c r="AB29" i="38"/>
  <c r="Y29" i="38"/>
  <c r="V29" i="38"/>
  <c r="S29" i="38"/>
  <c r="EH29" i="38" s="1"/>
  <c r="P29" i="38"/>
  <c r="M29" i="38"/>
  <c r="J29" i="38"/>
  <c r="G29" i="38"/>
  <c r="D29" i="38"/>
  <c r="ED29" i="38" s="1"/>
  <c r="EL28" i="38"/>
  <c r="EK28" i="38"/>
  <c r="EN28" i="38" s="1"/>
  <c r="EG28" i="38"/>
  <c r="EI28" i="38" s="1"/>
  <c r="EB28" i="38"/>
  <c r="EE28" i="38" s="1"/>
  <c r="DW28" i="38"/>
  <c r="DT28" i="38"/>
  <c r="EM28" i="38" s="1"/>
  <c r="DQ28" i="38"/>
  <c r="DN28" i="38"/>
  <c r="DK28" i="38"/>
  <c r="DH28" i="38"/>
  <c r="DE28" i="38"/>
  <c r="DB28" i="38"/>
  <c r="CY28" i="38"/>
  <c r="CV28" i="38"/>
  <c r="CS28" i="38"/>
  <c r="CP28" i="38"/>
  <c r="CM28" i="38"/>
  <c r="CJ28" i="38"/>
  <c r="CG28" i="38"/>
  <c r="CD28" i="38"/>
  <c r="CA28" i="38"/>
  <c r="BX28" i="38"/>
  <c r="BU28" i="38"/>
  <c r="BR28" i="38"/>
  <c r="BO28" i="38"/>
  <c r="BL28" i="38"/>
  <c r="BI28" i="38"/>
  <c r="BF28" i="38"/>
  <c r="BC28" i="38"/>
  <c r="AZ28" i="38"/>
  <c r="AW28" i="38"/>
  <c r="AT28" i="38"/>
  <c r="AQ28" i="38"/>
  <c r="AN28" i="38"/>
  <c r="AK28" i="38"/>
  <c r="AB28" i="38"/>
  <c r="Y28" i="38"/>
  <c r="V28" i="38"/>
  <c r="EH28" i="38" s="1"/>
  <c r="S28" i="38"/>
  <c r="P28" i="38"/>
  <c r="M28" i="38"/>
  <c r="J28" i="38"/>
  <c r="G28" i="38"/>
  <c r="D28" i="38"/>
  <c r="ED28" i="38" s="1"/>
  <c r="EN27" i="38"/>
  <c r="EL27" i="38"/>
  <c r="EK27" i="38"/>
  <c r="EI27" i="38"/>
  <c r="EG27" i="38"/>
  <c r="EE27" i="38"/>
  <c r="EB27" i="38"/>
  <c r="EC27" i="38" s="1"/>
  <c r="DW27" i="38"/>
  <c r="DT27" i="38"/>
  <c r="EM27" i="38" s="1"/>
  <c r="DQ27" i="38"/>
  <c r="DN27" i="38"/>
  <c r="DK27" i="38"/>
  <c r="DH27" i="38"/>
  <c r="DE27" i="38"/>
  <c r="DB27" i="38"/>
  <c r="CY27" i="38"/>
  <c r="CV27" i="38"/>
  <c r="CS27" i="38"/>
  <c r="CP27" i="38"/>
  <c r="CM27" i="38"/>
  <c r="CJ27" i="38"/>
  <c r="CG27" i="38"/>
  <c r="CD27" i="38"/>
  <c r="CA27" i="38"/>
  <c r="BX27" i="38"/>
  <c r="BU27" i="38"/>
  <c r="BR27" i="38"/>
  <c r="BO27" i="38"/>
  <c r="BL27" i="38"/>
  <c r="BI27" i="38"/>
  <c r="BF27" i="38"/>
  <c r="BC27" i="38"/>
  <c r="AZ27" i="38"/>
  <c r="AW27" i="38"/>
  <c r="AT27" i="38"/>
  <c r="AQ27" i="38"/>
  <c r="AN27" i="38"/>
  <c r="AK27" i="38"/>
  <c r="AB27" i="38"/>
  <c r="Y27" i="38"/>
  <c r="V27" i="38"/>
  <c r="S27" i="38"/>
  <c r="EH27" i="38" s="1"/>
  <c r="P27" i="38"/>
  <c r="ED27" i="38" s="1"/>
  <c r="M27" i="38"/>
  <c r="J27" i="38"/>
  <c r="G27" i="38"/>
  <c r="D27" i="38"/>
  <c r="EN26" i="38"/>
  <c r="EL26" i="38"/>
  <c r="EK26" i="38"/>
  <c r="EG26" i="38"/>
  <c r="EI26" i="38" s="1"/>
  <c r="EB26" i="38"/>
  <c r="EC26" i="38" s="1"/>
  <c r="DW26" i="38"/>
  <c r="DT26" i="38"/>
  <c r="DQ26" i="38"/>
  <c r="DN26" i="38"/>
  <c r="DK26" i="38"/>
  <c r="DH26" i="38"/>
  <c r="DE26" i="38"/>
  <c r="EM26" i="38" s="1"/>
  <c r="DB26" i="38"/>
  <c r="CY26" i="38"/>
  <c r="CV26" i="38"/>
  <c r="CS26" i="38"/>
  <c r="CP26" i="38"/>
  <c r="CM26" i="38"/>
  <c r="CJ26" i="38"/>
  <c r="CG26" i="38"/>
  <c r="CD26" i="38"/>
  <c r="CA26" i="38"/>
  <c r="BX26" i="38"/>
  <c r="BU26" i="38"/>
  <c r="BR26" i="38"/>
  <c r="BO26" i="38"/>
  <c r="BL26" i="38"/>
  <c r="BI26" i="38"/>
  <c r="BF26" i="38"/>
  <c r="BC26" i="38"/>
  <c r="AZ26" i="38"/>
  <c r="AW26" i="38"/>
  <c r="AT26" i="38"/>
  <c r="AQ26" i="38"/>
  <c r="AN26" i="38"/>
  <c r="AK26" i="38"/>
  <c r="AB26" i="38"/>
  <c r="Y26" i="38"/>
  <c r="V26" i="38"/>
  <c r="S26" i="38"/>
  <c r="EH26" i="38" s="1"/>
  <c r="P26" i="38"/>
  <c r="M26" i="38"/>
  <c r="J26" i="38"/>
  <c r="ED26" i="38" s="1"/>
  <c r="G26" i="38"/>
  <c r="D26" i="38"/>
  <c r="EL25" i="38"/>
  <c r="EK25" i="38"/>
  <c r="EN25" i="38" s="1"/>
  <c r="EI25" i="38"/>
  <c r="EG25" i="38"/>
  <c r="EB25" i="38"/>
  <c r="EE25" i="38" s="1"/>
  <c r="DW25" i="38"/>
  <c r="DT25" i="38"/>
  <c r="EM25" i="38" s="1"/>
  <c r="DQ25" i="38"/>
  <c r="DN25" i="38"/>
  <c r="DK25" i="38"/>
  <c r="DH25" i="38"/>
  <c r="DE25" i="38"/>
  <c r="DB25" i="38"/>
  <c r="CY25" i="38"/>
  <c r="CV25" i="38"/>
  <c r="CS25" i="38"/>
  <c r="CP25" i="38"/>
  <c r="CM25" i="38"/>
  <c r="CJ25" i="38"/>
  <c r="CG25" i="38"/>
  <c r="CD25" i="38"/>
  <c r="CA25" i="38"/>
  <c r="BX25" i="38"/>
  <c r="BU25" i="38"/>
  <c r="BR25" i="38"/>
  <c r="BO25" i="38"/>
  <c r="BL25" i="38"/>
  <c r="BI25" i="38"/>
  <c r="BF25" i="38"/>
  <c r="BC25" i="38"/>
  <c r="AZ25" i="38"/>
  <c r="AW25" i="38"/>
  <c r="AT25" i="38"/>
  <c r="AQ25" i="38"/>
  <c r="AN25" i="38"/>
  <c r="AK25" i="38"/>
  <c r="AB25" i="38"/>
  <c r="Y25" i="38"/>
  <c r="V25" i="38"/>
  <c r="S25" i="38"/>
  <c r="EH25" i="38" s="1"/>
  <c r="P25" i="38"/>
  <c r="M25" i="38"/>
  <c r="J25" i="38"/>
  <c r="G25" i="38"/>
  <c r="D25" i="38"/>
  <c r="ED25" i="38" s="1"/>
  <c r="EL24" i="38"/>
  <c r="EK24" i="38"/>
  <c r="EN24" i="38" s="1"/>
  <c r="EG24" i="38"/>
  <c r="EI24" i="38" s="1"/>
  <c r="EB24" i="38"/>
  <c r="EE24" i="38" s="1"/>
  <c r="DW24" i="38"/>
  <c r="DT24" i="38"/>
  <c r="EM24" i="38" s="1"/>
  <c r="DQ24" i="38"/>
  <c r="DN24" i="38"/>
  <c r="DK24" i="38"/>
  <c r="DH24" i="38"/>
  <c r="DE24" i="38"/>
  <c r="DB24" i="38"/>
  <c r="CY24" i="38"/>
  <c r="CV24" i="38"/>
  <c r="CS24" i="38"/>
  <c r="CP24" i="38"/>
  <c r="CM24" i="38"/>
  <c r="CJ24" i="38"/>
  <c r="CG24" i="38"/>
  <c r="CD24" i="38"/>
  <c r="CA24" i="38"/>
  <c r="BX24" i="38"/>
  <c r="BU24" i="38"/>
  <c r="BR24" i="38"/>
  <c r="BO24" i="38"/>
  <c r="BL24" i="38"/>
  <c r="BI24" i="38"/>
  <c r="BF24" i="38"/>
  <c r="BC24" i="38"/>
  <c r="AZ24" i="38"/>
  <c r="AW24" i="38"/>
  <c r="AT24" i="38"/>
  <c r="AQ24" i="38"/>
  <c r="AN24" i="38"/>
  <c r="AK24" i="38"/>
  <c r="AB24" i="38"/>
  <c r="Y24" i="38"/>
  <c r="V24" i="38"/>
  <c r="EH24" i="38" s="1"/>
  <c r="S24" i="38"/>
  <c r="P24" i="38"/>
  <c r="M24" i="38"/>
  <c r="J24" i="38"/>
  <c r="G24" i="38"/>
  <c r="D24" i="38"/>
  <c r="ED24" i="38" s="1"/>
  <c r="EN23" i="38"/>
  <c r="EL23" i="38"/>
  <c r="EK23" i="38"/>
  <c r="EI23" i="38"/>
  <c r="EG23" i="38"/>
  <c r="EE23" i="38"/>
  <c r="EB23" i="38"/>
  <c r="EC23" i="38" s="1"/>
  <c r="DW23" i="38"/>
  <c r="DT23" i="38"/>
  <c r="EM23" i="38" s="1"/>
  <c r="DQ23" i="38"/>
  <c r="DN23" i="38"/>
  <c r="DK23" i="38"/>
  <c r="DH23" i="38"/>
  <c r="DE23" i="38"/>
  <c r="DB23" i="38"/>
  <c r="CY23" i="38"/>
  <c r="CV23" i="38"/>
  <c r="CS23" i="38"/>
  <c r="CP23" i="38"/>
  <c r="CM23" i="38"/>
  <c r="CJ23" i="38"/>
  <c r="CG23" i="38"/>
  <c r="CD23" i="38"/>
  <c r="CA23" i="38"/>
  <c r="BX23" i="38"/>
  <c r="BU23" i="38"/>
  <c r="BR23" i="38"/>
  <c r="BO23" i="38"/>
  <c r="BL23" i="38"/>
  <c r="BI23" i="38"/>
  <c r="BF23" i="38"/>
  <c r="BC23" i="38"/>
  <c r="AZ23" i="38"/>
  <c r="AW23" i="38"/>
  <c r="AT23" i="38"/>
  <c r="AQ23" i="38"/>
  <c r="AN23" i="38"/>
  <c r="AK23" i="38"/>
  <c r="AB23" i="38"/>
  <c r="Y23" i="38"/>
  <c r="V23" i="38"/>
  <c r="S23" i="38"/>
  <c r="EH23" i="38" s="1"/>
  <c r="P23" i="38"/>
  <c r="ED23" i="38" s="1"/>
  <c r="M23" i="38"/>
  <c r="J23" i="38"/>
  <c r="G23" i="38"/>
  <c r="D23" i="38"/>
  <c r="EN22" i="38"/>
  <c r="EL22" i="38"/>
  <c r="EK22" i="38"/>
  <c r="EG22" i="38"/>
  <c r="EI22" i="38" s="1"/>
  <c r="EB22" i="38"/>
  <c r="EC22" i="38" s="1"/>
  <c r="DW22" i="38"/>
  <c r="DT22" i="38"/>
  <c r="DQ22" i="38"/>
  <c r="DN22" i="38"/>
  <c r="DK22" i="38"/>
  <c r="DH22" i="38"/>
  <c r="DE22" i="38"/>
  <c r="EM22" i="38" s="1"/>
  <c r="DB22" i="38"/>
  <c r="CY22" i="38"/>
  <c r="CV22" i="38"/>
  <c r="CS22" i="38"/>
  <c r="CP22" i="38"/>
  <c r="CM22" i="38"/>
  <c r="CJ22" i="38"/>
  <c r="CG22" i="38"/>
  <c r="CD22" i="38"/>
  <c r="CA22" i="38"/>
  <c r="BX22" i="38"/>
  <c r="BU22" i="38"/>
  <c r="BR22" i="38"/>
  <c r="BO22" i="38"/>
  <c r="BL22" i="38"/>
  <c r="BI22" i="38"/>
  <c r="BF22" i="38"/>
  <c r="BC22" i="38"/>
  <c r="AZ22" i="38"/>
  <c r="AW22" i="38"/>
  <c r="AT22" i="38"/>
  <c r="AQ22" i="38"/>
  <c r="AN22" i="38"/>
  <c r="AK22" i="38"/>
  <c r="AB22" i="38"/>
  <c r="Y22" i="38"/>
  <c r="V22" i="38"/>
  <c r="S22" i="38"/>
  <c r="EH22" i="38" s="1"/>
  <c r="P22" i="38"/>
  <c r="M22" i="38"/>
  <c r="J22" i="38"/>
  <c r="ED22" i="38" s="1"/>
  <c r="G22" i="38"/>
  <c r="D22" i="38"/>
  <c r="EL21" i="38"/>
  <c r="EK21" i="38"/>
  <c r="EN21" i="38" s="1"/>
  <c r="EI21" i="38"/>
  <c r="EG21" i="38"/>
  <c r="EB21" i="38"/>
  <c r="EE21" i="38" s="1"/>
  <c r="DW21" i="38"/>
  <c r="DT21" i="38"/>
  <c r="EM21" i="38" s="1"/>
  <c r="DQ21" i="38"/>
  <c r="DN21" i="38"/>
  <c r="DK21" i="38"/>
  <c r="DH21" i="38"/>
  <c r="DE21" i="38"/>
  <c r="DB21" i="38"/>
  <c r="CY21" i="38"/>
  <c r="CV21" i="38"/>
  <c r="CS21" i="38"/>
  <c r="CP21" i="38"/>
  <c r="CM21" i="38"/>
  <c r="CJ21" i="38"/>
  <c r="CG21" i="38"/>
  <c r="CD21" i="38"/>
  <c r="CA21" i="38"/>
  <c r="BX21" i="38"/>
  <c r="BU21" i="38"/>
  <c r="BR21" i="38"/>
  <c r="BO21" i="38"/>
  <c r="BL21" i="38"/>
  <c r="BI21" i="38"/>
  <c r="BF21" i="38"/>
  <c r="BC21" i="38"/>
  <c r="AZ21" i="38"/>
  <c r="AW21" i="38"/>
  <c r="AT21" i="38"/>
  <c r="AQ21" i="38"/>
  <c r="AN21" i="38"/>
  <c r="AK21" i="38"/>
  <c r="AB21" i="38"/>
  <c r="Y21" i="38"/>
  <c r="V21" i="38"/>
  <c r="S21" i="38"/>
  <c r="EH21" i="38" s="1"/>
  <c r="P21" i="38"/>
  <c r="M21" i="38"/>
  <c r="J21" i="38"/>
  <c r="G21" i="38"/>
  <c r="D21" i="38"/>
  <c r="ED21" i="38" s="1"/>
  <c r="EL20" i="38"/>
  <c r="EK20" i="38"/>
  <c r="EN20" i="38" s="1"/>
  <c r="EG20" i="38"/>
  <c r="EI20" i="38" s="1"/>
  <c r="EB20" i="38"/>
  <c r="EE20" i="38" s="1"/>
  <c r="DW20" i="38"/>
  <c r="DT20" i="38"/>
  <c r="EM20" i="38" s="1"/>
  <c r="DQ20" i="38"/>
  <c r="DN20" i="38"/>
  <c r="DK20" i="38"/>
  <c r="DH20" i="38"/>
  <c r="DE20" i="38"/>
  <c r="DB20" i="38"/>
  <c r="CY20" i="38"/>
  <c r="CV20" i="38"/>
  <c r="CS20" i="38"/>
  <c r="CP20" i="38"/>
  <c r="CM20" i="38"/>
  <c r="CJ20" i="38"/>
  <c r="CG20" i="38"/>
  <c r="CD20" i="38"/>
  <c r="CA20" i="38"/>
  <c r="BX20" i="38"/>
  <c r="BU20" i="38"/>
  <c r="BR20" i="38"/>
  <c r="BO20" i="38"/>
  <c r="BL20" i="38"/>
  <c r="BI20" i="38"/>
  <c r="BF20" i="38"/>
  <c r="BC20" i="38"/>
  <c r="AZ20" i="38"/>
  <c r="AW20" i="38"/>
  <c r="AT20" i="38"/>
  <c r="AQ20" i="38"/>
  <c r="AN20" i="38"/>
  <c r="AK20" i="38"/>
  <c r="AB20" i="38"/>
  <c r="Y20" i="38"/>
  <c r="V20" i="38"/>
  <c r="EH20" i="38" s="1"/>
  <c r="S20" i="38"/>
  <c r="P20" i="38"/>
  <c r="M20" i="38"/>
  <c r="J20" i="38"/>
  <c r="G20" i="38"/>
  <c r="D20" i="38"/>
  <c r="ED20" i="38" s="1"/>
  <c r="EN19" i="38"/>
  <c r="EL19" i="38"/>
  <c r="EK19" i="38"/>
  <c r="EI19" i="38"/>
  <c r="EG19" i="38"/>
  <c r="EE19" i="38"/>
  <c r="EB19" i="38"/>
  <c r="EC19" i="38" s="1"/>
  <c r="DW19" i="38"/>
  <c r="DT19" i="38"/>
  <c r="EM19" i="38" s="1"/>
  <c r="DQ19" i="38"/>
  <c r="DN19" i="38"/>
  <c r="DK19" i="38"/>
  <c r="DH19" i="38"/>
  <c r="DE19" i="38"/>
  <c r="DB19" i="38"/>
  <c r="CY19" i="38"/>
  <c r="CV19" i="38"/>
  <c r="CS19" i="38"/>
  <c r="CP19" i="38"/>
  <c r="CM19" i="38"/>
  <c r="CJ19" i="38"/>
  <c r="CG19" i="38"/>
  <c r="CD19" i="38"/>
  <c r="CA19" i="38"/>
  <c r="BX19" i="38"/>
  <c r="BU19" i="38"/>
  <c r="BR19" i="38"/>
  <c r="BO19" i="38"/>
  <c r="BL19" i="38"/>
  <c r="BI19" i="38"/>
  <c r="BF19" i="38"/>
  <c r="BC19" i="38"/>
  <c r="AZ19" i="38"/>
  <c r="AW19" i="38"/>
  <c r="AT19" i="38"/>
  <c r="AQ19" i="38"/>
  <c r="AN19" i="38"/>
  <c r="AK19" i="38"/>
  <c r="AB19" i="38"/>
  <c r="Y19" i="38"/>
  <c r="V19" i="38"/>
  <c r="S19" i="38"/>
  <c r="EH19" i="38" s="1"/>
  <c r="P19" i="38"/>
  <c r="ED19" i="38" s="1"/>
  <c r="M19" i="38"/>
  <c r="J19" i="38"/>
  <c r="G19" i="38"/>
  <c r="D19" i="38"/>
  <c r="EN18" i="38"/>
  <c r="EL18" i="38"/>
  <c r="EK18" i="38"/>
  <c r="EG18" i="38"/>
  <c r="EI18" i="38" s="1"/>
  <c r="EB18" i="38"/>
  <c r="EC18" i="38" s="1"/>
  <c r="DW18" i="38"/>
  <c r="DT18" i="38"/>
  <c r="DQ18" i="38"/>
  <c r="DN18" i="38"/>
  <c r="DK18" i="38"/>
  <c r="DH18" i="38"/>
  <c r="DE18" i="38"/>
  <c r="DB18" i="38"/>
  <c r="EM18" i="38" s="1"/>
  <c r="CY18" i="38"/>
  <c r="CV18" i="38"/>
  <c r="CS18" i="38"/>
  <c r="CP18" i="38"/>
  <c r="CM18" i="38"/>
  <c r="CJ18" i="38"/>
  <c r="CG18" i="38"/>
  <c r="CD18" i="38"/>
  <c r="CA18" i="38"/>
  <c r="BX18" i="38"/>
  <c r="BU18" i="38"/>
  <c r="BR18" i="38"/>
  <c r="BO18" i="38"/>
  <c r="BL18" i="38"/>
  <c r="BI18" i="38"/>
  <c r="BF18" i="38"/>
  <c r="BC18" i="38"/>
  <c r="AZ18" i="38"/>
  <c r="AW18" i="38"/>
  <c r="AT18" i="38"/>
  <c r="AQ18" i="38"/>
  <c r="AN18" i="38"/>
  <c r="AK18" i="38"/>
  <c r="AB18" i="38"/>
  <c r="Y18" i="38"/>
  <c r="V18" i="38"/>
  <c r="S18" i="38"/>
  <c r="EH18" i="38" s="1"/>
  <c r="P18" i="38"/>
  <c r="M18" i="38"/>
  <c r="J18" i="38"/>
  <c r="ED18" i="38" s="1"/>
  <c r="G18" i="38"/>
  <c r="D18" i="38"/>
  <c r="EL17" i="38"/>
  <c r="EK17" i="38"/>
  <c r="EN17" i="38" s="1"/>
  <c r="EI17" i="38"/>
  <c r="EG17" i="38"/>
  <c r="EB17" i="38"/>
  <c r="EE17" i="38" s="1"/>
  <c r="DW17" i="38"/>
  <c r="DT17" i="38"/>
  <c r="EM17" i="38" s="1"/>
  <c r="DQ17" i="38"/>
  <c r="DN17" i="38"/>
  <c r="DK17" i="38"/>
  <c r="DH17" i="38"/>
  <c r="DE17" i="38"/>
  <c r="DB17" i="38"/>
  <c r="CY17" i="38"/>
  <c r="CV17" i="38"/>
  <c r="CS17" i="38"/>
  <c r="CP17" i="38"/>
  <c r="CM17" i="38"/>
  <c r="CJ17" i="38"/>
  <c r="CG17" i="38"/>
  <c r="CD17" i="38"/>
  <c r="CA17" i="38"/>
  <c r="BX17" i="38"/>
  <c r="BU17" i="38"/>
  <c r="BR17" i="38"/>
  <c r="BO17" i="38"/>
  <c r="BL17" i="38"/>
  <c r="BI17" i="38"/>
  <c r="BF17" i="38"/>
  <c r="BC17" i="38"/>
  <c r="AZ17" i="38"/>
  <c r="AW17" i="38"/>
  <c r="AT17" i="38"/>
  <c r="AQ17" i="38"/>
  <c r="AN17" i="38"/>
  <c r="AK17" i="38"/>
  <c r="AB17" i="38"/>
  <c r="Y17" i="38"/>
  <c r="V17" i="38"/>
  <c r="S17" i="38"/>
  <c r="EH17" i="38" s="1"/>
  <c r="P17" i="38"/>
  <c r="M17" i="38"/>
  <c r="J17" i="38"/>
  <c r="G17" i="38"/>
  <c r="D17" i="38"/>
  <c r="ED17" i="38" s="1"/>
  <c r="EL16" i="38"/>
  <c r="EK16" i="38"/>
  <c r="EN16" i="38" s="1"/>
  <c r="EG16" i="38"/>
  <c r="EI16" i="38" s="1"/>
  <c r="EB16" i="38"/>
  <c r="EE16" i="38" s="1"/>
  <c r="DW16" i="38"/>
  <c r="DT16" i="38"/>
  <c r="EM16" i="38" s="1"/>
  <c r="DQ16" i="38"/>
  <c r="DN16" i="38"/>
  <c r="DK16" i="38"/>
  <c r="DH16" i="38"/>
  <c r="DE16" i="38"/>
  <c r="DB16" i="38"/>
  <c r="CY16" i="38"/>
  <c r="CV16" i="38"/>
  <c r="CS16" i="38"/>
  <c r="CP16" i="38"/>
  <c r="CM16" i="38"/>
  <c r="CJ16" i="38"/>
  <c r="CG16" i="38"/>
  <c r="CD16" i="38"/>
  <c r="CA16" i="38"/>
  <c r="BX16" i="38"/>
  <c r="BU16" i="38"/>
  <c r="BR16" i="38"/>
  <c r="BO16" i="38"/>
  <c r="BL16" i="38"/>
  <c r="BI16" i="38"/>
  <c r="BF16" i="38"/>
  <c r="BC16" i="38"/>
  <c r="AZ16" i="38"/>
  <c r="AW16" i="38"/>
  <c r="AT16" i="38"/>
  <c r="AQ16" i="38"/>
  <c r="AN16" i="38"/>
  <c r="AK16" i="38"/>
  <c r="AB16" i="38"/>
  <c r="Y16" i="38"/>
  <c r="V16" i="38"/>
  <c r="EH16" i="38" s="1"/>
  <c r="S16" i="38"/>
  <c r="P16" i="38"/>
  <c r="M16" i="38"/>
  <c r="J16" i="38"/>
  <c r="G16" i="38"/>
  <c r="D16" i="38"/>
  <c r="ED16" i="38" s="1"/>
  <c r="EN15" i="38"/>
  <c r="EL15" i="38"/>
  <c r="EK15" i="38"/>
  <c r="EI15" i="38"/>
  <c r="EG15" i="38"/>
  <c r="EE15" i="38"/>
  <c r="EB15" i="38"/>
  <c r="EC15" i="38" s="1"/>
  <c r="DW15" i="38"/>
  <c r="DT15" i="38"/>
  <c r="EM15" i="38" s="1"/>
  <c r="DQ15" i="38"/>
  <c r="DN15" i="38"/>
  <c r="DK15" i="38"/>
  <c r="DH15" i="38"/>
  <c r="DE15" i="38"/>
  <c r="DB15" i="38"/>
  <c r="CY15" i="38"/>
  <c r="CV15" i="38"/>
  <c r="CS15" i="38"/>
  <c r="CP15" i="38"/>
  <c r="CM15" i="38"/>
  <c r="CJ15" i="38"/>
  <c r="CG15" i="38"/>
  <c r="CD15" i="38"/>
  <c r="CA15" i="38"/>
  <c r="BX15" i="38"/>
  <c r="BU15" i="38"/>
  <c r="BR15" i="38"/>
  <c r="BO15" i="38"/>
  <c r="BL15" i="38"/>
  <c r="BI15" i="38"/>
  <c r="BF15" i="38"/>
  <c r="BC15" i="38"/>
  <c r="AZ15" i="38"/>
  <c r="AW15" i="38"/>
  <c r="AT15" i="38"/>
  <c r="AQ15" i="38"/>
  <c r="AN15" i="38"/>
  <c r="AK15" i="38"/>
  <c r="AB15" i="38"/>
  <c r="Y15" i="38"/>
  <c r="V15" i="38"/>
  <c r="S15" i="38"/>
  <c r="EH15" i="38" s="1"/>
  <c r="P15" i="38"/>
  <c r="ED15" i="38" s="1"/>
  <c r="M15" i="38"/>
  <c r="J15" i="38"/>
  <c r="G15" i="38"/>
  <c r="D15" i="38"/>
  <c r="EN14" i="38"/>
  <c r="EL14" i="38"/>
  <c r="EK14" i="38"/>
  <c r="EG14" i="38"/>
  <c r="EI14" i="38" s="1"/>
  <c r="EB14" i="38"/>
  <c r="EE14" i="38" s="1"/>
  <c r="DW14" i="38"/>
  <c r="DT14" i="38"/>
  <c r="DQ14" i="38"/>
  <c r="DN14" i="38"/>
  <c r="DK14" i="38"/>
  <c r="DH14" i="38"/>
  <c r="DE14" i="38"/>
  <c r="EM14" i="38" s="1"/>
  <c r="DB14" i="38"/>
  <c r="CY14" i="38"/>
  <c r="CV14" i="38"/>
  <c r="CS14" i="38"/>
  <c r="CP14" i="38"/>
  <c r="CM14" i="38"/>
  <c r="CJ14" i="38"/>
  <c r="CG14" i="38"/>
  <c r="CD14" i="38"/>
  <c r="CA14" i="38"/>
  <c r="BX14" i="38"/>
  <c r="BU14" i="38"/>
  <c r="BR14" i="38"/>
  <c r="BO14" i="38"/>
  <c r="BL14" i="38"/>
  <c r="BI14" i="38"/>
  <c r="BF14" i="38"/>
  <c r="BC14" i="38"/>
  <c r="AZ14" i="38"/>
  <c r="AW14" i="38"/>
  <c r="AT14" i="38"/>
  <c r="AQ14" i="38"/>
  <c r="AN14" i="38"/>
  <c r="AK14" i="38"/>
  <c r="AB14" i="38"/>
  <c r="Y14" i="38"/>
  <c r="V14" i="38"/>
  <c r="S14" i="38"/>
  <c r="EH14" i="38" s="1"/>
  <c r="P14" i="38"/>
  <c r="M14" i="38"/>
  <c r="J14" i="38"/>
  <c r="ED14" i="38" s="1"/>
  <c r="G14" i="38"/>
  <c r="D14" i="38"/>
  <c r="EL13" i="38"/>
  <c r="EK13" i="38"/>
  <c r="EN13" i="38" s="1"/>
  <c r="EI13" i="38"/>
  <c r="EG13" i="38"/>
  <c r="EB13" i="38"/>
  <c r="EE13" i="38" s="1"/>
  <c r="DW13" i="38"/>
  <c r="DT13" i="38"/>
  <c r="EM13" i="38" s="1"/>
  <c r="DQ13" i="38"/>
  <c r="DN13" i="38"/>
  <c r="DK13" i="38"/>
  <c r="DH13" i="38"/>
  <c r="DE13" i="38"/>
  <c r="DB13" i="38"/>
  <c r="CY13" i="38"/>
  <c r="CV13" i="38"/>
  <c r="CS13" i="38"/>
  <c r="CP13" i="38"/>
  <c r="CM13" i="38"/>
  <c r="CJ13" i="38"/>
  <c r="CG13" i="38"/>
  <c r="CD13" i="38"/>
  <c r="CA13" i="38"/>
  <c r="BX13" i="38"/>
  <c r="BU13" i="38"/>
  <c r="BR13" i="38"/>
  <c r="BO13" i="38"/>
  <c r="BL13" i="38"/>
  <c r="BI13" i="38"/>
  <c r="BF13" i="38"/>
  <c r="BC13" i="38"/>
  <c r="AZ13" i="38"/>
  <c r="AW13" i="38"/>
  <c r="AT13" i="38"/>
  <c r="AQ13" i="38"/>
  <c r="AN13" i="38"/>
  <c r="AK13" i="38"/>
  <c r="AB13" i="38"/>
  <c r="Y13" i="38"/>
  <c r="V13" i="38"/>
  <c r="S13" i="38"/>
  <c r="EH13" i="38" s="1"/>
  <c r="P13" i="38"/>
  <c r="M13" i="38"/>
  <c r="J13" i="38"/>
  <c r="G13" i="38"/>
  <c r="D13" i="38"/>
  <c r="ED13" i="38" s="1"/>
  <c r="EL12" i="38"/>
  <c r="EK12" i="38"/>
  <c r="EN12" i="38" s="1"/>
  <c r="EG12" i="38"/>
  <c r="EI12" i="38" s="1"/>
  <c r="EB12" i="38"/>
  <c r="EE12" i="38" s="1"/>
  <c r="DW12" i="38"/>
  <c r="DT12" i="38"/>
  <c r="EM12" i="38" s="1"/>
  <c r="DQ12" i="38"/>
  <c r="DN12" i="38"/>
  <c r="DN42" i="38" s="1"/>
  <c r="DK12" i="38"/>
  <c r="DH12" i="38"/>
  <c r="DE12" i="38"/>
  <c r="DB12" i="38"/>
  <c r="CY12" i="38"/>
  <c r="CV12" i="38"/>
  <c r="CS12" i="38"/>
  <c r="CP12" i="38"/>
  <c r="CP42" i="38" s="1"/>
  <c r="CM12" i="38"/>
  <c r="CJ12" i="38"/>
  <c r="CG12" i="38"/>
  <c r="CD12" i="38"/>
  <c r="CA12" i="38"/>
  <c r="BX12" i="38"/>
  <c r="BU12" i="38"/>
  <c r="BR12" i="38"/>
  <c r="BR42" i="38" s="1"/>
  <c r="BO12" i="38"/>
  <c r="BL12" i="38"/>
  <c r="BI12" i="38"/>
  <c r="BF12" i="38"/>
  <c r="BC12" i="38"/>
  <c r="AZ12" i="38"/>
  <c r="AW12" i="38"/>
  <c r="AT12" i="38"/>
  <c r="AT42" i="38" s="1"/>
  <c r="AQ12" i="38"/>
  <c r="AN12" i="38"/>
  <c r="AK12" i="38"/>
  <c r="AB12" i="38"/>
  <c r="Y12" i="38"/>
  <c r="V12" i="38"/>
  <c r="EH12" i="38" s="1"/>
  <c r="S12" i="38"/>
  <c r="P12" i="38"/>
  <c r="M12" i="38"/>
  <c r="J12" i="38"/>
  <c r="G12" i="38"/>
  <c r="D12" i="38"/>
  <c r="ED12" i="38" s="1"/>
  <c r="A12" i="38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N11" i="38"/>
  <c r="EL11" i="38"/>
  <c r="EK11" i="38"/>
  <c r="EI11" i="38"/>
  <c r="EG11" i="38"/>
  <c r="EE11" i="38"/>
  <c r="EB11" i="38"/>
  <c r="EC11" i="38" s="1"/>
  <c r="DW11" i="38"/>
  <c r="DW42" i="38" s="1"/>
  <c r="DT11" i="38"/>
  <c r="EM11" i="38" s="1"/>
  <c r="DQ11" i="38"/>
  <c r="DQ42" i="38" s="1"/>
  <c r="DN11" i="38"/>
  <c r="DK11" i="38"/>
  <c r="DH11" i="38"/>
  <c r="DH42" i="38" s="1"/>
  <c r="DE11" i="38"/>
  <c r="DE42" i="38" s="1"/>
  <c r="DB11" i="38"/>
  <c r="DB42" i="38" s="1"/>
  <c r="CY11" i="38"/>
  <c r="CY42" i="38" s="1"/>
  <c r="CV11" i="38"/>
  <c r="CV42" i="38" s="1"/>
  <c r="CS11" i="38"/>
  <c r="CS42" i="38" s="1"/>
  <c r="CP11" i="38"/>
  <c r="CM11" i="38"/>
  <c r="CJ11" i="38"/>
  <c r="CJ42" i="38" s="1"/>
  <c r="CG11" i="38"/>
  <c r="CG42" i="38" s="1"/>
  <c r="CD11" i="38"/>
  <c r="CD42" i="38" s="1"/>
  <c r="CA11" i="38"/>
  <c r="CA42" i="38" s="1"/>
  <c r="BX11" i="38"/>
  <c r="BX42" i="38" s="1"/>
  <c r="BU11" i="38"/>
  <c r="BU42" i="38" s="1"/>
  <c r="BR11" i="38"/>
  <c r="BO11" i="38"/>
  <c r="BL11" i="38"/>
  <c r="BL42" i="38" s="1"/>
  <c r="BI11" i="38"/>
  <c r="BI42" i="38" s="1"/>
  <c r="BF11" i="38"/>
  <c r="BF42" i="38" s="1"/>
  <c r="BC11" i="38"/>
  <c r="BC42" i="38" s="1"/>
  <c r="AZ11" i="38"/>
  <c r="AZ42" i="38" s="1"/>
  <c r="AW11" i="38"/>
  <c r="AW42" i="38" s="1"/>
  <c r="AT11" i="38"/>
  <c r="AQ11" i="38"/>
  <c r="AN11" i="38"/>
  <c r="AN42" i="38" s="1"/>
  <c r="AK11" i="38"/>
  <c r="AH42" i="38"/>
  <c r="AE42" i="38"/>
  <c r="AB11" i="38"/>
  <c r="AB42" i="38" s="1"/>
  <c r="Y11" i="38"/>
  <c r="Y42" i="38" s="1"/>
  <c r="V11" i="38"/>
  <c r="S11" i="38"/>
  <c r="EH11" i="38" s="1"/>
  <c r="P11" i="38"/>
  <c r="P42" i="38" s="1"/>
  <c r="M11" i="38"/>
  <c r="M42" i="38" s="1"/>
  <c r="J11" i="38"/>
  <c r="J42" i="38" s="1"/>
  <c r="G11" i="38"/>
  <c r="G42" i="38" s="1"/>
  <c r="D11" i="38"/>
  <c r="D42" i="38" s="1"/>
  <c r="EI5" i="38"/>
  <c r="EI3" i="38"/>
  <c r="EI4" i="38" s="1"/>
  <c r="EN2" i="38"/>
  <c r="EP2" i="38" s="1"/>
  <c r="EI2" i="38"/>
  <c r="EM35" i="38" l="1"/>
  <c r="EE37" i="38"/>
  <c r="EE33" i="38"/>
  <c r="EC33" i="38"/>
  <c r="EN33" i="38"/>
  <c r="ED35" i="38"/>
  <c r="EE35" i="38" s="1"/>
  <c r="EN32" i="38"/>
  <c r="AK42" i="38"/>
  <c r="EM34" i="38"/>
  <c r="EE32" i="38"/>
  <c r="ED34" i="38"/>
  <c r="EC35" i="38"/>
  <c r="EE2" i="38"/>
  <c r="EQ2" i="38" s="1"/>
  <c r="G4" i="38" s="1"/>
  <c r="EB34" i="38"/>
  <c r="EE5" i="38" s="1"/>
  <c r="G7" i="38" s="1"/>
  <c r="AK35" i="38"/>
  <c r="EC14" i="38"/>
  <c r="EC30" i="38"/>
  <c r="AK36" i="38"/>
  <c r="ED36" i="38" s="1"/>
  <c r="EC41" i="38"/>
  <c r="V42" i="38"/>
  <c r="EC13" i="38"/>
  <c r="EC17" i="38"/>
  <c r="EE18" i="38"/>
  <c r="EC21" i="38"/>
  <c r="EE22" i="38"/>
  <c r="EC25" i="38"/>
  <c r="EE26" i="38"/>
  <c r="EC29" i="38"/>
  <c r="EN35" i="38"/>
  <c r="EH38" i="38"/>
  <c r="EH42" i="38" s="1"/>
  <c r="EC40" i="38"/>
  <c r="DT42" i="38"/>
  <c r="EB36" i="38"/>
  <c r="ED38" i="38"/>
  <c r="EE38" i="38" s="1"/>
  <c r="EC12" i="38"/>
  <c r="EC16" i="38"/>
  <c r="EC20" i="38"/>
  <c r="EC24" i="38"/>
  <c r="EC28" i="38"/>
  <c r="EC32" i="38"/>
  <c r="EK38" i="38"/>
  <c r="EN38" i="38" s="1"/>
  <c r="EC39" i="38"/>
  <c r="ED11" i="38"/>
  <c r="EK37" i="38"/>
  <c r="EN37" i="38" s="1"/>
  <c r="EE3" i="38"/>
  <c r="ED42" i="38" l="1"/>
  <c r="EN3" i="38"/>
  <c r="EN4" i="38" s="1"/>
  <c r="EN34" i="38"/>
  <c r="EM36" i="38"/>
  <c r="EN36" i="38" s="1"/>
  <c r="EE36" i="38"/>
  <c r="EC36" i="38"/>
  <c r="EN5" i="38"/>
  <c r="EC37" i="38"/>
  <c r="G5" i="38"/>
  <c r="EE4" i="38"/>
  <c r="G6" i="38" s="1"/>
  <c r="EE34" i="38"/>
  <c r="EC34" i="38"/>
  <c r="EC38" i="38"/>
  <c r="EM42" i="38" l="1"/>
  <c r="EL41" i="36" l="1"/>
  <c r="EK41" i="36"/>
  <c r="EI41" i="36"/>
  <c r="EG41" i="36"/>
  <c r="EB41" i="36"/>
  <c r="DW41" i="36"/>
  <c r="DT41" i="36"/>
  <c r="EM41" i="36" s="1"/>
  <c r="DQ41" i="36"/>
  <c r="DN41" i="36"/>
  <c r="DK41" i="36"/>
  <c r="DH41" i="36"/>
  <c r="DE41" i="36"/>
  <c r="DB41" i="36"/>
  <c r="CY41" i="36"/>
  <c r="CV41" i="36"/>
  <c r="CS41" i="36"/>
  <c r="CP41" i="36"/>
  <c r="CM41" i="36"/>
  <c r="CJ41" i="36"/>
  <c r="CG41" i="36"/>
  <c r="CD41" i="36"/>
  <c r="CA41" i="36"/>
  <c r="BX41" i="36"/>
  <c r="BU41" i="36"/>
  <c r="BR41" i="36"/>
  <c r="BO41" i="36"/>
  <c r="BL41" i="36"/>
  <c r="BI41" i="36"/>
  <c r="BF41" i="36"/>
  <c r="BC41" i="36"/>
  <c r="AZ41" i="36"/>
  <c r="AW41" i="36"/>
  <c r="AT41" i="36"/>
  <c r="AQ41" i="36"/>
  <c r="AN41" i="36"/>
  <c r="AK41" i="36"/>
  <c r="AB41" i="36"/>
  <c r="Y41" i="36"/>
  <c r="V41" i="36"/>
  <c r="S41" i="36"/>
  <c r="P41" i="36"/>
  <c r="M41" i="36"/>
  <c r="J41" i="36"/>
  <c r="G41" i="36"/>
  <c r="D41" i="36"/>
  <c r="ED41" i="36" s="1"/>
  <c r="EL40" i="36"/>
  <c r="EK40" i="36"/>
  <c r="EN40" i="36" s="1"/>
  <c r="EG40" i="36"/>
  <c r="EI2" i="36" s="1"/>
  <c r="EB40" i="36"/>
  <c r="EE40" i="36" s="1"/>
  <c r="DW40" i="36"/>
  <c r="DT40" i="36"/>
  <c r="DQ40" i="36"/>
  <c r="DN40" i="36"/>
  <c r="DK40" i="36"/>
  <c r="DH40" i="36"/>
  <c r="DE40" i="36"/>
  <c r="DB40" i="36"/>
  <c r="CY40" i="36"/>
  <c r="CV40" i="36"/>
  <c r="CS40" i="36"/>
  <c r="CP40" i="36"/>
  <c r="CM40" i="36"/>
  <c r="CJ40" i="36"/>
  <c r="CG40" i="36"/>
  <c r="CD40" i="36"/>
  <c r="CA40" i="36"/>
  <c r="BX40" i="36"/>
  <c r="BU40" i="36"/>
  <c r="BR40" i="36"/>
  <c r="BO40" i="36"/>
  <c r="BL40" i="36"/>
  <c r="BI40" i="36"/>
  <c r="BF40" i="36"/>
  <c r="BC40" i="36"/>
  <c r="AZ40" i="36"/>
  <c r="AW40" i="36"/>
  <c r="AT40" i="36"/>
  <c r="AQ40" i="36"/>
  <c r="AN40" i="36"/>
  <c r="AK40" i="36"/>
  <c r="AB40" i="36"/>
  <c r="Y40" i="36"/>
  <c r="V40" i="36"/>
  <c r="EH40" i="36" s="1"/>
  <c r="S40" i="36"/>
  <c r="P40" i="36"/>
  <c r="M40" i="36"/>
  <c r="J40" i="36"/>
  <c r="G40" i="36"/>
  <c r="D40" i="36"/>
  <c r="EN39" i="36"/>
  <c r="EL39" i="36"/>
  <c r="EK39" i="36"/>
  <c r="EG39" i="36"/>
  <c r="EI39" i="36" s="1"/>
  <c r="EE39" i="36"/>
  <c r="ED39" i="36"/>
  <c r="EB39" i="36"/>
  <c r="EC39" i="36" s="1"/>
  <c r="DW39" i="36"/>
  <c r="DT39" i="36"/>
  <c r="DQ39" i="36"/>
  <c r="DN39" i="36"/>
  <c r="DK39" i="36"/>
  <c r="DH39" i="36"/>
  <c r="DE39" i="36"/>
  <c r="DB39" i="36"/>
  <c r="CY39" i="36"/>
  <c r="CV39" i="36"/>
  <c r="CS39" i="36"/>
  <c r="CP39" i="36"/>
  <c r="CM39" i="36"/>
  <c r="CJ39" i="36"/>
  <c r="CG39" i="36"/>
  <c r="CD39" i="36"/>
  <c r="CA39" i="36"/>
  <c r="BX39" i="36"/>
  <c r="BU39" i="36"/>
  <c r="BR39" i="36"/>
  <c r="BO39" i="36"/>
  <c r="BL39" i="36"/>
  <c r="BI39" i="36"/>
  <c r="BF39" i="36"/>
  <c r="BC39" i="36"/>
  <c r="AZ39" i="36"/>
  <c r="AW39" i="36"/>
  <c r="AT39" i="36"/>
  <c r="AQ39" i="36"/>
  <c r="AN39" i="36"/>
  <c r="AK39" i="36"/>
  <c r="AB39" i="36"/>
  <c r="Y39" i="36"/>
  <c r="V39" i="36"/>
  <c r="S39" i="36"/>
  <c r="EH39" i="36" s="1"/>
  <c r="P39" i="36"/>
  <c r="M39" i="36"/>
  <c r="J39" i="36"/>
  <c r="G39" i="36"/>
  <c r="D39" i="36"/>
  <c r="EN38" i="36"/>
  <c r="EL38" i="36"/>
  <c r="EK38" i="36"/>
  <c r="EG38" i="36"/>
  <c r="EI38" i="36" s="1"/>
  <c r="EB38" i="36"/>
  <c r="EE38" i="36" s="1"/>
  <c r="DW38" i="36"/>
  <c r="DT38" i="36"/>
  <c r="DQ38" i="36"/>
  <c r="DN38" i="36"/>
  <c r="DK38" i="36"/>
  <c r="EM38" i="36" s="1"/>
  <c r="DH38" i="36"/>
  <c r="DE38" i="36"/>
  <c r="DB38" i="36"/>
  <c r="CY38" i="36"/>
  <c r="CV38" i="36"/>
  <c r="CS38" i="36"/>
  <c r="CP38" i="36"/>
  <c r="CM38" i="36"/>
  <c r="CJ38" i="36"/>
  <c r="CG38" i="36"/>
  <c r="CD38" i="36"/>
  <c r="CA38" i="36"/>
  <c r="BX38" i="36"/>
  <c r="BU38" i="36"/>
  <c r="BR38" i="36"/>
  <c r="BO38" i="36"/>
  <c r="BL38" i="36"/>
  <c r="BI38" i="36"/>
  <c r="BF38" i="36"/>
  <c r="BC38" i="36"/>
  <c r="AZ38" i="36"/>
  <c r="AW38" i="36"/>
  <c r="AT38" i="36"/>
  <c r="AQ38" i="36"/>
  <c r="AN38" i="36"/>
  <c r="AK38" i="36"/>
  <c r="AB38" i="36"/>
  <c r="Y38" i="36"/>
  <c r="V38" i="36"/>
  <c r="S38" i="36"/>
  <c r="P38" i="36"/>
  <c r="M38" i="36"/>
  <c r="J38" i="36"/>
  <c r="ED38" i="36" s="1"/>
  <c r="G38" i="36"/>
  <c r="D38" i="36"/>
  <c r="EL37" i="36"/>
  <c r="EK37" i="36"/>
  <c r="EN37" i="36" s="1"/>
  <c r="EI37" i="36"/>
  <c r="EG37" i="36"/>
  <c r="EB37" i="36"/>
  <c r="EE37" i="36" s="1"/>
  <c r="DW37" i="36"/>
  <c r="DT37" i="36"/>
  <c r="EM37" i="36" s="1"/>
  <c r="DQ37" i="36"/>
  <c r="DN37" i="36"/>
  <c r="DK37" i="36"/>
  <c r="DH37" i="36"/>
  <c r="DE37" i="36"/>
  <c r="DB37" i="36"/>
  <c r="CY37" i="36"/>
  <c r="CV37" i="36"/>
  <c r="CS37" i="36"/>
  <c r="CP37" i="36"/>
  <c r="CM37" i="36"/>
  <c r="CJ37" i="36"/>
  <c r="CG37" i="36"/>
  <c r="CD37" i="36"/>
  <c r="CA37" i="36"/>
  <c r="BX37" i="36"/>
  <c r="BU37" i="36"/>
  <c r="BR37" i="36"/>
  <c r="BO37" i="36"/>
  <c r="BL37" i="36"/>
  <c r="BI37" i="36"/>
  <c r="BF37" i="36"/>
  <c r="BC37" i="36"/>
  <c r="AZ37" i="36"/>
  <c r="AW37" i="36"/>
  <c r="AT37" i="36"/>
  <c r="AQ37" i="36"/>
  <c r="AN37" i="36"/>
  <c r="AK37" i="36"/>
  <c r="AB37" i="36"/>
  <c r="Y37" i="36"/>
  <c r="V37" i="36"/>
  <c r="S37" i="36"/>
  <c r="P37" i="36"/>
  <c r="M37" i="36"/>
  <c r="J37" i="36"/>
  <c r="G37" i="36"/>
  <c r="D37" i="36"/>
  <c r="ED37" i="36" s="1"/>
  <c r="EL36" i="36"/>
  <c r="EK36" i="36"/>
  <c r="EN36" i="36" s="1"/>
  <c r="EG36" i="36"/>
  <c r="EI36" i="36" s="1"/>
  <c r="EB36" i="36"/>
  <c r="EE36" i="36" s="1"/>
  <c r="DW36" i="36"/>
  <c r="DT36" i="36"/>
  <c r="DQ36" i="36"/>
  <c r="DN36" i="36"/>
  <c r="DK36" i="36"/>
  <c r="DH36" i="36"/>
  <c r="DE36" i="36"/>
  <c r="DB36" i="36"/>
  <c r="CY36" i="36"/>
  <c r="CV36" i="36"/>
  <c r="CS36" i="36"/>
  <c r="CP36" i="36"/>
  <c r="CM36" i="36"/>
  <c r="CJ36" i="36"/>
  <c r="CG36" i="36"/>
  <c r="CD36" i="36"/>
  <c r="CA36" i="36"/>
  <c r="BX36" i="36"/>
  <c r="BU36" i="36"/>
  <c r="BR36" i="36"/>
  <c r="BO36" i="36"/>
  <c r="BL36" i="36"/>
  <c r="BI36" i="36"/>
  <c r="BF36" i="36"/>
  <c r="BC36" i="36"/>
  <c r="AZ36" i="36"/>
  <c r="AW36" i="36"/>
  <c r="AT36" i="36"/>
  <c r="AQ36" i="36"/>
  <c r="AN36" i="36"/>
  <c r="AK36" i="36"/>
  <c r="AB36" i="36"/>
  <c r="Y36" i="36"/>
  <c r="V36" i="36"/>
  <c r="EH36" i="36" s="1"/>
  <c r="S36" i="36"/>
  <c r="P36" i="36"/>
  <c r="M36" i="36"/>
  <c r="J36" i="36"/>
  <c r="G36" i="36"/>
  <c r="D36" i="36"/>
  <c r="EN35" i="36"/>
  <c r="EL35" i="36"/>
  <c r="EK35" i="36"/>
  <c r="EG35" i="36"/>
  <c r="EI35" i="36" s="1"/>
  <c r="EE35" i="36"/>
  <c r="ED35" i="36"/>
  <c r="EB35" i="36"/>
  <c r="EC35" i="36" s="1"/>
  <c r="DW35" i="36"/>
  <c r="DT35" i="36"/>
  <c r="DQ35" i="36"/>
  <c r="DN35" i="36"/>
  <c r="DK35" i="36"/>
  <c r="DH35" i="36"/>
  <c r="DE35" i="36"/>
  <c r="DB35" i="36"/>
  <c r="CY35" i="36"/>
  <c r="CV35" i="36"/>
  <c r="CS35" i="36"/>
  <c r="CP35" i="36"/>
  <c r="CM35" i="36"/>
  <c r="CJ35" i="36"/>
  <c r="CG35" i="36"/>
  <c r="CD35" i="36"/>
  <c r="CA35" i="36"/>
  <c r="BX35" i="36"/>
  <c r="BU35" i="36"/>
  <c r="BR35" i="36"/>
  <c r="BO35" i="36"/>
  <c r="BL35" i="36"/>
  <c r="BI35" i="36"/>
  <c r="BF35" i="36"/>
  <c r="BC35" i="36"/>
  <c r="AZ35" i="36"/>
  <c r="AW35" i="36"/>
  <c r="AT35" i="36"/>
  <c r="AQ35" i="36"/>
  <c r="AN35" i="36"/>
  <c r="AK35" i="36"/>
  <c r="AB35" i="36"/>
  <c r="Y35" i="36"/>
  <c r="V35" i="36"/>
  <c r="S35" i="36"/>
  <c r="EH35" i="36" s="1"/>
  <c r="P35" i="36"/>
  <c r="M35" i="36"/>
  <c r="J35" i="36"/>
  <c r="G35" i="36"/>
  <c r="D35" i="36"/>
  <c r="EN34" i="36"/>
  <c r="EL34" i="36"/>
  <c r="EK34" i="36"/>
  <c r="EG34" i="36"/>
  <c r="EI34" i="36" s="1"/>
  <c r="EB34" i="36"/>
  <c r="EE34" i="36" s="1"/>
  <c r="DW34" i="36"/>
  <c r="DT34" i="36"/>
  <c r="DQ34" i="36"/>
  <c r="DN34" i="36"/>
  <c r="DK34" i="36"/>
  <c r="EM34" i="36" s="1"/>
  <c r="DH34" i="36"/>
  <c r="DE34" i="36"/>
  <c r="DB34" i="36"/>
  <c r="CY34" i="36"/>
  <c r="CV34" i="36"/>
  <c r="CS34" i="36"/>
  <c r="CP34" i="36"/>
  <c r="CM34" i="36"/>
  <c r="CJ34" i="36"/>
  <c r="CG34" i="36"/>
  <c r="CD34" i="36"/>
  <c r="CA34" i="36"/>
  <c r="BX34" i="36"/>
  <c r="BU34" i="36"/>
  <c r="BR34" i="36"/>
  <c r="BO34" i="36"/>
  <c r="BL34" i="36"/>
  <c r="BI34" i="36"/>
  <c r="BF34" i="36"/>
  <c r="BC34" i="36"/>
  <c r="AZ34" i="36"/>
  <c r="AW34" i="36"/>
  <c r="AT34" i="36"/>
  <c r="AQ34" i="36"/>
  <c r="AN34" i="36"/>
  <c r="AK34" i="36"/>
  <c r="AB34" i="36"/>
  <c r="Y34" i="36"/>
  <c r="V34" i="36"/>
  <c r="S34" i="36"/>
  <c r="P34" i="36"/>
  <c r="M34" i="36"/>
  <c r="J34" i="36"/>
  <c r="ED34" i="36" s="1"/>
  <c r="G34" i="36"/>
  <c r="D34" i="36"/>
  <c r="EL33" i="36"/>
  <c r="EK33" i="36"/>
  <c r="EN33" i="36" s="1"/>
  <c r="EI33" i="36"/>
  <c r="EG33" i="36"/>
  <c r="EB33" i="36"/>
  <c r="EE33" i="36" s="1"/>
  <c r="DW33" i="36"/>
  <c r="DT33" i="36"/>
  <c r="EM33" i="36" s="1"/>
  <c r="DQ33" i="36"/>
  <c r="DN33" i="36"/>
  <c r="DK33" i="36"/>
  <c r="DH33" i="36"/>
  <c r="DE33" i="36"/>
  <c r="DB33" i="36"/>
  <c r="CY33" i="36"/>
  <c r="CV33" i="36"/>
  <c r="CS33" i="36"/>
  <c r="CP33" i="36"/>
  <c r="CM33" i="36"/>
  <c r="CJ33" i="36"/>
  <c r="CG33" i="36"/>
  <c r="CD33" i="36"/>
  <c r="CA33" i="36"/>
  <c r="BX33" i="36"/>
  <c r="BU33" i="36"/>
  <c r="BR33" i="36"/>
  <c r="BO33" i="36"/>
  <c r="BL33" i="36"/>
  <c r="BI33" i="36"/>
  <c r="BF33" i="36"/>
  <c r="BC33" i="36"/>
  <c r="AZ33" i="36"/>
  <c r="AW33" i="36"/>
  <c r="AT33" i="36"/>
  <c r="AQ33" i="36"/>
  <c r="AN33" i="36"/>
  <c r="AK33" i="36"/>
  <c r="AB33" i="36"/>
  <c r="Y33" i="36"/>
  <c r="V33" i="36"/>
  <c r="S33" i="36"/>
  <c r="P33" i="36"/>
  <c r="M33" i="36"/>
  <c r="J33" i="36"/>
  <c r="G33" i="36"/>
  <c r="D33" i="36"/>
  <c r="ED33" i="36" s="1"/>
  <c r="EL32" i="36"/>
  <c r="EK32" i="36"/>
  <c r="EN32" i="36" s="1"/>
  <c r="EG32" i="36"/>
  <c r="EI32" i="36" s="1"/>
  <c r="EB32" i="36"/>
  <c r="EE32" i="36" s="1"/>
  <c r="DW32" i="36"/>
  <c r="DT32" i="36"/>
  <c r="DQ32" i="36"/>
  <c r="DN32" i="36"/>
  <c r="DK32" i="36"/>
  <c r="DH32" i="36"/>
  <c r="DE32" i="36"/>
  <c r="DB32" i="36"/>
  <c r="CY32" i="36"/>
  <c r="CV32" i="36"/>
  <c r="CS32" i="36"/>
  <c r="CP32" i="36"/>
  <c r="CM32" i="36"/>
  <c r="CJ32" i="36"/>
  <c r="CG32" i="36"/>
  <c r="CD32" i="36"/>
  <c r="CA32" i="36"/>
  <c r="BX32" i="36"/>
  <c r="BU32" i="36"/>
  <c r="BR32" i="36"/>
  <c r="BO32" i="36"/>
  <c r="BL32" i="36"/>
  <c r="BI32" i="36"/>
  <c r="BF32" i="36"/>
  <c r="BC32" i="36"/>
  <c r="AZ32" i="36"/>
  <c r="AW32" i="36"/>
  <c r="AT32" i="36"/>
  <c r="AQ32" i="36"/>
  <c r="AN32" i="36"/>
  <c r="AK32" i="36"/>
  <c r="AB32" i="36"/>
  <c r="Y32" i="36"/>
  <c r="V32" i="36"/>
  <c r="EH32" i="36" s="1"/>
  <c r="S32" i="36"/>
  <c r="P32" i="36"/>
  <c r="M32" i="36"/>
  <c r="J32" i="36"/>
  <c r="G32" i="36"/>
  <c r="D32" i="36"/>
  <c r="EN31" i="36"/>
  <c r="EL31" i="36"/>
  <c r="EK31" i="36"/>
  <c r="EG31" i="36"/>
  <c r="EI31" i="36" s="1"/>
  <c r="EE31" i="36"/>
  <c r="ED31" i="36"/>
  <c r="EB31" i="36"/>
  <c r="EC31" i="36" s="1"/>
  <c r="DW31" i="36"/>
  <c r="DT31" i="36"/>
  <c r="DQ31" i="36"/>
  <c r="DN31" i="36"/>
  <c r="DK31" i="36"/>
  <c r="DH31" i="36"/>
  <c r="DE31" i="36"/>
  <c r="DB31" i="36"/>
  <c r="CY31" i="36"/>
  <c r="CV31" i="36"/>
  <c r="CS31" i="36"/>
  <c r="CP31" i="36"/>
  <c r="CM31" i="36"/>
  <c r="CJ31" i="36"/>
  <c r="CG31" i="36"/>
  <c r="CD31" i="36"/>
  <c r="CA31" i="36"/>
  <c r="BX31" i="36"/>
  <c r="BU31" i="36"/>
  <c r="BR31" i="36"/>
  <c r="BO31" i="36"/>
  <c r="BL31" i="36"/>
  <c r="BI31" i="36"/>
  <c r="BF31" i="36"/>
  <c r="BC31" i="36"/>
  <c r="AZ31" i="36"/>
  <c r="AW31" i="36"/>
  <c r="AT31" i="36"/>
  <c r="AQ31" i="36"/>
  <c r="AN31" i="36"/>
  <c r="AK31" i="36"/>
  <c r="AB31" i="36"/>
  <c r="Y31" i="36"/>
  <c r="V31" i="36"/>
  <c r="EH31" i="36" s="1"/>
  <c r="S31" i="36"/>
  <c r="P31" i="36"/>
  <c r="M31" i="36"/>
  <c r="J31" i="36"/>
  <c r="G31" i="36"/>
  <c r="D31" i="36"/>
  <c r="EN30" i="36"/>
  <c r="EL30" i="36"/>
  <c r="EK30" i="36"/>
  <c r="EG30" i="36"/>
  <c r="EI30" i="36" s="1"/>
  <c r="EB30" i="36"/>
  <c r="EE30" i="36" s="1"/>
  <c r="DW30" i="36"/>
  <c r="DT30" i="36"/>
  <c r="DQ30" i="36"/>
  <c r="DN30" i="36"/>
  <c r="DK30" i="36"/>
  <c r="EM30" i="36" s="1"/>
  <c r="DH30" i="36"/>
  <c r="DE30" i="36"/>
  <c r="DB30" i="36"/>
  <c r="CY30" i="36"/>
  <c r="CV30" i="36"/>
  <c r="CS30" i="36"/>
  <c r="CP30" i="36"/>
  <c r="CM30" i="36"/>
  <c r="CJ30" i="36"/>
  <c r="CG30" i="36"/>
  <c r="CD30" i="36"/>
  <c r="CA30" i="36"/>
  <c r="BX30" i="36"/>
  <c r="BU30" i="36"/>
  <c r="BR30" i="36"/>
  <c r="BO30" i="36"/>
  <c r="BL30" i="36"/>
  <c r="BI30" i="36"/>
  <c r="BF30" i="36"/>
  <c r="BC30" i="36"/>
  <c r="AZ30" i="36"/>
  <c r="AW30" i="36"/>
  <c r="AT30" i="36"/>
  <c r="AQ30" i="36"/>
  <c r="AN30" i="36"/>
  <c r="AK30" i="36"/>
  <c r="AB30" i="36"/>
  <c r="Y30" i="36"/>
  <c r="V30" i="36"/>
  <c r="S30" i="36"/>
  <c r="P30" i="36"/>
  <c r="M30" i="36"/>
  <c r="J30" i="36"/>
  <c r="ED30" i="36" s="1"/>
  <c r="G30" i="36"/>
  <c r="D30" i="36"/>
  <c r="EL29" i="36"/>
  <c r="EK29" i="36"/>
  <c r="EN29" i="36" s="1"/>
  <c r="EI29" i="36"/>
  <c r="EG29" i="36"/>
  <c r="EB29" i="36"/>
  <c r="EE29" i="36" s="1"/>
  <c r="DW29" i="36"/>
  <c r="DT29" i="36"/>
  <c r="EM29" i="36" s="1"/>
  <c r="DQ29" i="36"/>
  <c r="DN29" i="36"/>
  <c r="DK29" i="36"/>
  <c r="DH29" i="36"/>
  <c r="DE29" i="36"/>
  <c r="DB29" i="36"/>
  <c r="CY29" i="36"/>
  <c r="CV29" i="36"/>
  <c r="CS29" i="36"/>
  <c r="CP29" i="36"/>
  <c r="CM29" i="36"/>
  <c r="CJ29" i="36"/>
  <c r="CG29" i="36"/>
  <c r="CD29" i="36"/>
  <c r="CA29" i="36"/>
  <c r="BX29" i="36"/>
  <c r="BU29" i="36"/>
  <c r="BR29" i="36"/>
  <c r="BO29" i="36"/>
  <c r="BL29" i="36"/>
  <c r="BI29" i="36"/>
  <c r="BF29" i="36"/>
  <c r="BC29" i="36"/>
  <c r="AZ29" i="36"/>
  <c r="AW29" i="36"/>
  <c r="AT29" i="36"/>
  <c r="AQ29" i="36"/>
  <c r="AN29" i="36"/>
  <c r="AK29" i="36"/>
  <c r="AB29" i="36"/>
  <c r="Y29" i="36"/>
  <c r="V29" i="36"/>
  <c r="S29" i="36"/>
  <c r="P29" i="36"/>
  <c r="M29" i="36"/>
  <c r="J29" i="36"/>
  <c r="G29" i="36"/>
  <c r="D29" i="36"/>
  <c r="ED29" i="36" s="1"/>
  <c r="EL28" i="36"/>
  <c r="EK28" i="36"/>
  <c r="EN28" i="36" s="1"/>
  <c r="EG28" i="36"/>
  <c r="EI28" i="36" s="1"/>
  <c r="EB28" i="36"/>
  <c r="EE28" i="36" s="1"/>
  <c r="DW28" i="36"/>
  <c r="DT28" i="36"/>
  <c r="DQ28" i="36"/>
  <c r="DN28" i="36"/>
  <c r="DK28" i="36"/>
  <c r="DH28" i="36"/>
  <c r="DE28" i="36"/>
  <c r="DB28" i="36"/>
  <c r="CY28" i="36"/>
  <c r="CV28" i="36"/>
  <c r="CS28" i="36"/>
  <c r="CP28" i="36"/>
  <c r="CM28" i="36"/>
  <c r="CJ28" i="36"/>
  <c r="CG28" i="36"/>
  <c r="CD28" i="36"/>
  <c r="CA28" i="36"/>
  <c r="BX28" i="36"/>
  <c r="BU28" i="36"/>
  <c r="BR28" i="36"/>
  <c r="BO28" i="36"/>
  <c r="BL28" i="36"/>
  <c r="BI28" i="36"/>
  <c r="BF28" i="36"/>
  <c r="BC28" i="36"/>
  <c r="AZ28" i="36"/>
  <c r="AW28" i="36"/>
  <c r="AT28" i="36"/>
  <c r="AQ28" i="36"/>
  <c r="AN28" i="36"/>
  <c r="AK28" i="36"/>
  <c r="AB28" i="36"/>
  <c r="Y28" i="36"/>
  <c r="V28" i="36"/>
  <c r="EH28" i="36" s="1"/>
  <c r="S28" i="36"/>
  <c r="P28" i="36"/>
  <c r="M28" i="36"/>
  <c r="J28" i="36"/>
  <c r="G28" i="36"/>
  <c r="D28" i="36"/>
  <c r="EN27" i="36"/>
  <c r="EL27" i="36"/>
  <c r="EK27" i="36"/>
  <c r="EG27" i="36"/>
  <c r="EI27" i="36" s="1"/>
  <c r="EE27" i="36"/>
  <c r="ED27" i="36"/>
  <c r="EB27" i="36"/>
  <c r="EC27" i="36" s="1"/>
  <c r="DW27" i="36"/>
  <c r="DT27" i="36"/>
  <c r="DQ27" i="36"/>
  <c r="DN27" i="36"/>
  <c r="DK27" i="36"/>
  <c r="DH27" i="36"/>
  <c r="DE27" i="36"/>
  <c r="DB27" i="36"/>
  <c r="CY27" i="36"/>
  <c r="CV27" i="36"/>
  <c r="CS27" i="36"/>
  <c r="CP27" i="36"/>
  <c r="CM27" i="36"/>
  <c r="CJ27" i="36"/>
  <c r="CG27" i="36"/>
  <c r="CD27" i="36"/>
  <c r="CA27" i="36"/>
  <c r="BX27" i="36"/>
  <c r="BU27" i="36"/>
  <c r="BR27" i="36"/>
  <c r="BO27" i="36"/>
  <c r="BL27" i="36"/>
  <c r="BI27" i="36"/>
  <c r="BF27" i="36"/>
  <c r="BC27" i="36"/>
  <c r="AZ27" i="36"/>
  <c r="AW27" i="36"/>
  <c r="AT27" i="36"/>
  <c r="AQ27" i="36"/>
  <c r="AN27" i="36"/>
  <c r="AK27" i="36"/>
  <c r="AB27" i="36"/>
  <c r="Y27" i="36"/>
  <c r="V27" i="36"/>
  <c r="EH27" i="36" s="1"/>
  <c r="S27" i="36"/>
  <c r="P27" i="36"/>
  <c r="M27" i="36"/>
  <c r="J27" i="36"/>
  <c r="G27" i="36"/>
  <c r="D27" i="36"/>
  <c r="EN26" i="36"/>
  <c r="EL26" i="36"/>
  <c r="EK26" i="36"/>
  <c r="EG26" i="36"/>
  <c r="EI26" i="36" s="1"/>
  <c r="EB26" i="36"/>
  <c r="EE26" i="36" s="1"/>
  <c r="DW26" i="36"/>
  <c r="DT26" i="36"/>
  <c r="DQ26" i="36"/>
  <c r="DN26" i="36"/>
  <c r="DK26" i="36"/>
  <c r="EM26" i="36" s="1"/>
  <c r="DH26" i="36"/>
  <c r="DE26" i="36"/>
  <c r="DB26" i="36"/>
  <c r="CY26" i="36"/>
  <c r="CV26" i="36"/>
  <c r="CS26" i="36"/>
  <c r="CP26" i="36"/>
  <c r="CM26" i="36"/>
  <c r="CJ26" i="36"/>
  <c r="CG26" i="36"/>
  <c r="CD26" i="36"/>
  <c r="CA26" i="36"/>
  <c r="BX26" i="36"/>
  <c r="BU26" i="36"/>
  <c r="BR26" i="36"/>
  <c r="BO26" i="36"/>
  <c r="BL26" i="36"/>
  <c r="BI26" i="36"/>
  <c r="BF26" i="36"/>
  <c r="BC26" i="36"/>
  <c r="AZ26" i="36"/>
  <c r="AW26" i="36"/>
  <c r="AT26" i="36"/>
  <c r="AQ26" i="36"/>
  <c r="AN26" i="36"/>
  <c r="AK26" i="36"/>
  <c r="AB26" i="36"/>
  <c r="Y26" i="36"/>
  <c r="V26" i="36"/>
  <c r="S26" i="36"/>
  <c r="EH26" i="36" s="1"/>
  <c r="P26" i="36"/>
  <c r="M26" i="36"/>
  <c r="J26" i="36"/>
  <c r="ED26" i="36" s="1"/>
  <c r="G26" i="36"/>
  <c r="D26" i="36"/>
  <c r="EL25" i="36"/>
  <c r="EK25" i="36"/>
  <c r="EN25" i="36" s="1"/>
  <c r="EI25" i="36"/>
  <c r="EG25" i="36"/>
  <c r="EB25" i="36"/>
  <c r="EE25" i="36" s="1"/>
  <c r="DW25" i="36"/>
  <c r="DT25" i="36"/>
  <c r="EM25" i="36" s="1"/>
  <c r="DQ25" i="36"/>
  <c r="DN25" i="36"/>
  <c r="DK25" i="36"/>
  <c r="DH25" i="36"/>
  <c r="DE25" i="36"/>
  <c r="DB25" i="36"/>
  <c r="CY25" i="36"/>
  <c r="CV25" i="36"/>
  <c r="CS25" i="36"/>
  <c r="CP25" i="36"/>
  <c r="CM25" i="36"/>
  <c r="CJ25" i="36"/>
  <c r="CG25" i="36"/>
  <c r="CD25" i="36"/>
  <c r="CA25" i="36"/>
  <c r="BX25" i="36"/>
  <c r="BU25" i="36"/>
  <c r="BR25" i="36"/>
  <c r="BO25" i="36"/>
  <c r="BL25" i="36"/>
  <c r="BI25" i="36"/>
  <c r="BF25" i="36"/>
  <c r="BC25" i="36"/>
  <c r="AZ25" i="36"/>
  <c r="AW25" i="36"/>
  <c r="AT25" i="36"/>
  <c r="AQ25" i="36"/>
  <c r="AN25" i="36"/>
  <c r="AK25" i="36"/>
  <c r="AB25" i="36"/>
  <c r="Y25" i="36"/>
  <c r="V25" i="36"/>
  <c r="S25" i="36"/>
  <c r="P25" i="36"/>
  <c r="M25" i="36"/>
  <c r="J25" i="36"/>
  <c r="G25" i="36"/>
  <c r="D25" i="36"/>
  <c r="ED25" i="36" s="1"/>
  <c r="EL24" i="36"/>
  <c r="EK24" i="36"/>
  <c r="EN24" i="36" s="1"/>
  <c r="EG24" i="36"/>
  <c r="EI24" i="36" s="1"/>
  <c r="EB24" i="36"/>
  <c r="EE24" i="36" s="1"/>
  <c r="DW24" i="36"/>
  <c r="DT24" i="36"/>
  <c r="DQ24" i="36"/>
  <c r="DN24" i="36"/>
  <c r="DK24" i="36"/>
  <c r="DH24" i="36"/>
  <c r="DE24" i="36"/>
  <c r="DB24" i="36"/>
  <c r="CY24" i="36"/>
  <c r="CV24" i="36"/>
  <c r="CS24" i="36"/>
  <c r="CP24" i="36"/>
  <c r="CM24" i="36"/>
  <c r="CJ24" i="36"/>
  <c r="CG24" i="36"/>
  <c r="CD24" i="36"/>
  <c r="CA24" i="36"/>
  <c r="BX24" i="36"/>
  <c r="BU24" i="36"/>
  <c r="BR24" i="36"/>
  <c r="BO24" i="36"/>
  <c r="BL24" i="36"/>
  <c r="BI24" i="36"/>
  <c r="BF24" i="36"/>
  <c r="BC24" i="36"/>
  <c r="AZ24" i="36"/>
  <c r="AW24" i="36"/>
  <c r="AT24" i="36"/>
  <c r="AQ24" i="36"/>
  <c r="AN24" i="36"/>
  <c r="AK24" i="36"/>
  <c r="AB24" i="36"/>
  <c r="Y24" i="36"/>
  <c r="V24" i="36"/>
  <c r="EH24" i="36" s="1"/>
  <c r="S24" i="36"/>
  <c r="P24" i="36"/>
  <c r="M24" i="36"/>
  <c r="J24" i="36"/>
  <c r="G24" i="36"/>
  <c r="D24" i="36"/>
  <c r="EN23" i="36"/>
  <c r="EL23" i="36"/>
  <c r="EK23" i="36"/>
  <c r="EG23" i="36"/>
  <c r="EI23" i="36" s="1"/>
  <c r="EE23" i="36"/>
  <c r="ED23" i="36"/>
  <c r="EB23" i="36"/>
  <c r="EC23" i="36" s="1"/>
  <c r="DW23" i="36"/>
  <c r="DT23" i="36"/>
  <c r="DQ23" i="36"/>
  <c r="DN23" i="36"/>
  <c r="DK23" i="36"/>
  <c r="DH23" i="36"/>
  <c r="DE23" i="36"/>
  <c r="DB23" i="36"/>
  <c r="CY23" i="36"/>
  <c r="CV23" i="36"/>
  <c r="CS23" i="36"/>
  <c r="CP23" i="36"/>
  <c r="CM23" i="36"/>
  <c r="CJ23" i="36"/>
  <c r="CG23" i="36"/>
  <c r="CD23" i="36"/>
  <c r="CA23" i="36"/>
  <c r="BX23" i="36"/>
  <c r="BU23" i="36"/>
  <c r="BR23" i="36"/>
  <c r="BO23" i="36"/>
  <c r="BL23" i="36"/>
  <c r="BI23" i="36"/>
  <c r="BF23" i="36"/>
  <c r="BC23" i="36"/>
  <c r="AZ23" i="36"/>
  <c r="AW23" i="36"/>
  <c r="AT23" i="36"/>
  <c r="AQ23" i="36"/>
  <c r="AN23" i="36"/>
  <c r="AK23" i="36"/>
  <c r="AB23" i="36"/>
  <c r="Y23" i="36"/>
  <c r="V23" i="36"/>
  <c r="EH23" i="36" s="1"/>
  <c r="S23" i="36"/>
  <c r="P23" i="36"/>
  <c r="M23" i="36"/>
  <c r="J23" i="36"/>
  <c r="G23" i="36"/>
  <c r="D23" i="36"/>
  <c r="EN22" i="36"/>
  <c r="EL22" i="36"/>
  <c r="EK22" i="36"/>
  <c r="EG22" i="36"/>
  <c r="EI22" i="36" s="1"/>
  <c r="EE22" i="36"/>
  <c r="EB22" i="36"/>
  <c r="EC22" i="36" s="1"/>
  <c r="DW22" i="36"/>
  <c r="DT22" i="36"/>
  <c r="DQ22" i="36"/>
  <c r="DN22" i="36"/>
  <c r="DK22" i="36"/>
  <c r="EM22" i="36" s="1"/>
  <c r="DH22" i="36"/>
  <c r="DE22" i="36"/>
  <c r="DB22" i="36"/>
  <c r="CY22" i="36"/>
  <c r="CV22" i="36"/>
  <c r="CS22" i="36"/>
  <c r="CP22" i="36"/>
  <c r="CM22" i="36"/>
  <c r="CJ22" i="36"/>
  <c r="CG22" i="36"/>
  <c r="CD22" i="36"/>
  <c r="CA22" i="36"/>
  <c r="BX22" i="36"/>
  <c r="BU22" i="36"/>
  <c r="BR22" i="36"/>
  <c r="BO22" i="36"/>
  <c r="BL22" i="36"/>
  <c r="BI22" i="36"/>
  <c r="BF22" i="36"/>
  <c r="BC22" i="36"/>
  <c r="AZ22" i="36"/>
  <c r="AW22" i="36"/>
  <c r="AT22" i="36"/>
  <c r="AQ22" i="36"/>
  <c r="AN22" i="36"/>
  <c r="AK22" i="36"/>
  <c r="AB22" i="36"/>
  <c r="Y22" i="36"/>
  <c r="V22" i="36"/>
  <c r="S22" i="36"/>
  <c r="EH22" i="36" s="1"/>
  <c r="P22" i="36"/>
  <c r="M22" i="36"/>
  <c r="J22" i="36"/>
  <c r="ED22" i="36" s="1"/>
  <c r="G22" i="36"/>
  <c r="D22" i="36"/>
  <c r="EL21" i="36"/>
  <c r="EK21" i="36"/>
  <c r="EN21" i="36" s="1"/>
  <c r="EI21" i="36"/>
  <c r="EG21" i="36"/>
  <c r="EB21" i="36"/>
  <c r="EE21" i="36" s="1"/>
  <c r="DW21" i="36"/>
  <c r="DT21" i="36"/>
  <c r="EM21" i="36" s="1"/>
  <c r="DQ21" i="36"/>
  <c r="DN21" i="36"/>
  <c r="DK21" i="36"/>
  <c r="DH21" i="36"/>
  <c r="DE21" i="36"/>
  <c r="DB21" i="36"/>
  <c r="CY21" i="36"/>
  <c r="CV21" i="36"/>
  <c r="CS21" i="36"/>
  <c r="CP21" i="36"/>
  <c r="CM21" i="36"/>
  <c r="CJ21" i="36"/>
  <c r="CG21" i="36"/>
  <c r="CD21" i="36"/>
  <c r="CA21" i="36"/>
  <c r="BX21" i="36"/>
  <c r="BU21" i="36"/>
  <c r="BR21" i="36"/>
  <c r="BO21" i="36"/>
  <c r="BL21" i="36"/>
  <c r="BI21" i="36"/>
  <c r="BF21" i="36"/>
  <c r="BC21" i="36"/>
  <c r="AZ21" i="36"/>
  <c r="AW21" i="36"/>
  <c r="AT21" i="36"/>
  <c r="AQ21" i="36"/>
  <c r="AN21" i="36"/>
  <c r="AK21" i="36"/>
  <c r="AB21" i="36"/>
  <c r="Y21" i="36"/>
  <c r="V21" i="36"/>
  <c r="S21" i="36"/>
  <c r="P21" i="36"/>
  <c r="M21" i="36"/>
  <c r="J21" i="36"/>
  <c r="G21" i="36"/>
  <c r="D21" i="36"/>
  <c r="ED21" i="36" s="1"/>
  <c r="EL20" i="36"/>
  <c r="EK20" i="36"/>
  <c r="EN20" i="36" s="1"/>
  <c r="EG20" i="36"/>
  <c r="EI20" i="36" s="1"/>
  <c r="EB20" i="36"/>
  <c r="EE20" i="36" s="1"/>
  <c r="DW20" i="36"/>
  <c r="DT20" i="36"/>
  <c r="DQ20" i="36"/>
  <c r="DN20" i="36"/>
  <c r="DK20" i="36"/>
  <c r="DH20" i="36"/>
  <c r="DE20" i="36"/>
  <c r="DB20" i="36"/>
  <c r="CY20" i="36"/>
  <c r="CV20" i="36"/>
  <c r="CS20" i="36"/>
  <c r="CP20" i="36"/>
  <c r="CM20" i="36"/>
  <c r="CJ20" i="36"/>
  <c r="CG20" i="36"/>
  <c r="CD20" i="36"/>
  <c r="CA20" i="36"/>
  <c r="BX20" i="36"/>
  <c r="BU20" i="36"/>
  <c r="BR20" i="36"/>
  <c r="BO20" i="36"/>
  <c r="BL20" i="36"/>
  <c r="BI20" i="36"/>
  <c r="BF20" i="36"/>
  <c r="BC20" i="36"/>
  <c r="AZ20" i="36"/>
  <c r="AW20" i="36"/>
  <c r="AT20" i="36"/>
  <c r="AQ20" i="36"/>
  <c r="AN20" i="36"/>
  <c r="AK20" i="36"/>
  <c r="AB20" i="36"/>
  <c r="Y20" i="36"/>
  <c r="V20" i="36"/>
  <c r="EH20" i="36" s="1"/>
  <c r="S20" i="36"/>
  <c r="P20" i="36"/>
  <c r="M20" i="36"/>
  <c r="J20" i="36"/>
  <c r="G20" i="36"/>
  <c r="D20" i="36"/>
  <c r="EN19" i="36"/>
  <c r="EL19" i="36"/>
  <c r="EK19" i="36"/>
  <c r="EG19" i="36"/>
  <c r="EI19" i="36" s="1"/>
  <c r="EE19" i="36"/>
  <c r="ED19" i="36"/>
  <c r="EB19" i="36"/>
  <c r="EC19" i="36" s="1"/>
  <c r="DW19" i="36"/>
  <c r="DT19" i="36"/>
  <c r="DQ19" i="36"/>
  <c r="DN19" i="36"/>
  <c r="DK19" i="36"/>
  <c r="DH19" i="36"/>
  <c r="DE19" i="36"/>
  <c r="DB19" i="36"/>
  <c r="CY19" i="36"/>
  <c r="CV19" i="36"/>
  <c r="CS19" i="36"/>
  <c r="CP19" i="36"/>
  <c r="CM19" i="36"/>
  <c r="CJ19" i="36"/>
  <c r="CG19" i="36"/>
  <c r="CD19" i="36"/>
  <c r="CA19" i="36"/>
  <c r="BX19" i="36"/>
  <c r="BU19" i="36"/>
  <c r="BR19" i="36"/>
  <c r="BO19" i="36"/>
  <c r="BL19" i="36"/>
  <c r="BI19" i="36"/>
  <c r="BF19" i="36"/>
  <c r="BC19" i="36"/>
  <c r="AZ19" i="36"/>
  <c r="AW19" i="36"/>
  <c r="AT19" i="36"/>
  <c r="AQ19" i="36"/>
  <c r="AN19" i="36"/>
  <c r="AK19" i="36"/>
  <c r="AB19" i="36"/>
  <c r="Y19" i="36"/>
  <c r="V19" i="36"/>
  <c r="EH19" i="36" s="1"/>
  <c r="S19" i="36"/>
  <c r="P19" i="36"/>
  <c r="M19" i="36"/>
  <c r="J19" i="36"/>
  <c r="G19" i="36"/>
  <c r="D19" i="36"/>
  <c r="EN18" i="36"/>
  <c r="EL18" i="36"/>
  <c r="EK18" i="36"/>
  <c r="EG18" i="36"/>
  <c r="EI18" i="36" s="1"/>
  <c r="EE18" i="36"/>
  <c r="EB18" i="36"/>
  <c r="EC18" i="36" s="1"/>
  <c r="DW18" i="36"/>
  <c r="DT18" i="36"/>
  <c r="DQ18" i="36"/>
  <c r="DN18" i="36"/>
  <c r="DK18" i="36"/>
  <c r="EM18" i="36" s="1"/>
  <c r="DH18" i="36"/>
  <c r="DE18" i="36"/>
  <c r="DB18" i="36"/>
  <c r="CY18" i="36"/>
  <c r="CV18" i="36"/>
  <c r="CS18" i="36"/>
  <c r="CP18" i="36"/>
  <c r="CM18" i="36"/>
  <c r="CJ18" i="36"/>
  <c r="CG18" i="36"/>
  <c r="CD18" i="36"/>
  <c r="CA18" i="36"/>
  <c r="BX18" i="36"/>
  <c r="BU18" i="36"/>
  <c r="BR18" i="36"/>
  <c r="BO18" i="36"/>
  <c r="BL18" i="36"/>
  <c r="BI18" i="36"/>
  <c r="BF18" i="36"/>
  <c r="BC18" i="36"/>
  <c r="AZ18" i="36"/>
  <c r="AW18" i="36"/>
  <c r="AT18" i="36"/>
  <c r="AQ18" i="36"/>
  <c r="AN18" i="36"/>
  <c r="AK18" i="36"/>
  <c r="AB18" i="36"/>
  <c r="Y18" i="36"/>
  <c r="V18" i="36"/>
  <c r="S18" i="36"/>
  <c r="EH18" i="36" s="1"/>
  <c r="P18" i="36"/>
  <c r="M18" i="36"/>
  <c r="J18" i="36"/>
  <c r="ED18" i="36" s="1"/>
  <c r="G18" i="36"/>
  <c r="D18" i="36"/>
  <c r="EL17" i="36"/>
  <c r="EK17" i="36"/>
  <c r="EN17" i="36" s="1"/>
  <c r="EI17" i="36"/>
  <c r="EG17" i="36"/>
  <c r="EB17" i="36"/>
  <c r="EE17" i="36" s="1"/>
  <c r="DW17" i="36"/>
  <c r="DT17" i="36"/>
  <c r="EM17" i="36" s="1"/>
  <c r="DQ17" i="36"/>
  <c r="DN17" i="36"/>
  <c r="DK17" i="36"/>
  <c r="DH17" i="36"/>
  <c r="DE17" i="36"/>
  <c r="DB17" i="36"/>
  <c r="CY17" i="36"/>
  <c r="CV17" i="36"/>
  <c r="CS17" i="36"/>
  <c r="CP17" i="36"/>
  <c r="CM17" i="36"/>
  <c r="CJ17" i="36"/>
  <c r="CG17" i="36"/>
  <c r="CD17" i="36"/>
  <c r="CA17" i="36"/>
  <c r="BX17" i="36"/>
  <c r="BU17" i="36"/>
  <c r="BR17" i="36"/>
  <c r="BO17" i="36"/>
  <c r="BL17" i="36"/>
  <c r="BI17" i="36"/>
  <c r="BF17" i="36"/>
  <c r="BC17" i="36"/>
  <c r="AZ17" i="36"/>
  <c r="AW17" i="36"/>
  <c r="AT17" i="36"/>
  <c r="AQ17" i="36"/>
  <c r="AN17" i="36"/>
  <c r="AK17" i="36"/>
  <c r="AB17" i="36"/>
  <c r="Y17" i="36"/>
  <c r="V17" i="36"/>
  <c r="S17" i="36"/>
  <c r="P17" i="36"/>
  <c r="M17" i="36"/>
  <c r="J17" i="36"/>
  <c r="G17" i="36"/>
  <c r="D17" i="36"/>
  <c r="ED17" i="36" s="1"/>
  <c r="EL16" i="36"/>
  <c r="EK16" i="36"/>
  <c r="EN16" i="36" s="1"/>
  <c r="EG16" i="36"/>
  <c r="EI16" i="36" s="1"/>
  <c r="EB16" i="36"/>
  <c r="DW16" i="36"/>
  <c r="DT16" i="36"/>
  <c r="DQ16" i="36"/>
  <c r="DN16" i="36"/>
  <c r="DK16" i="36"/>
  <c r="DH16" i="36"/>
  <c r="DE16" i="36"/>
  <c r="DB16" i="36"/>
  <c r="CY16" i="36"/>
  <c r="CV16" i="36"/>
  <c r="CS16" i="36"/>
  <c r="CP16" i="36"/>
  <c r="CM16" i="36"/>
  <c r="CJ16" i="36"/>
  <c r="CG16" i="36"/>
  <c r="CD16" i="36"/>
  <c r="CA16" i="36"/>
  <c r="BX16" i="36"/>
  <c r="BU16" i="36"/>
  <c r="BR16" i="36"/>
  <c r="BO16" i="36"/>
  <c r="BL16" i="36"/>
  <c r="BI16" i="36"/>
  <c r="BF16" i="36"/>
  <c r="BC16" i="36"/>
  <c r="AZ16" i="36"/>
  <c r="AW16" i="36"/>
  <c r="AT16" i="36"/>
  <c r="AQ16" i="36"/>
  <c r="AN16" i="36"/>
  <c r="AK16" i="36"/>
  <c r="AB16" i="36"/>
  <c r="Y16" i="36"/>
  <c r="V16" i="36"/>
  <c r="EH16" i="36" s="1"/>
  <c r="S16" i="36"/>
  <c r="P16" i="36"/>
  <c r="M16" i="36"/>
  <c r="J16" i="36"/>
  <c r="G16" i="36"/>
  <c r="D16" i="36"/>
  <c r="EL15" i="36"/>
  <c r="EK15" i="36"/>
  <c r="EI15" i="36"/>
  <c r="EG15" i="36"/>
  <c r="ED15" i="36"/>
  <c r="DW15" i="36"/>
  <c r="DT15" i="36"/>
  <c r="DQ15" i="36"/>
  <c r="DN15" i="36"/>
  <c r="DK15" i="36"/>
  <c r="DH15" i="36"/>
  <c r="DE15" i="36"/>
  <c r="DB15" i="36"/>
  <c r="CY15" i="36"/>
  <c r="CV15" i="36"/>
  <c r="CS15" i="36"/>
  <c r="CP15" i="36"/>
  <c r="CM15" i="36"/>
  <c r="CJ15" i="36"/>
  <c r="CG15" i="36"/>
  <c r="CD15" i="36"/>
  <c r="CA15" i="36"/>
  <c r="BX15" i="36"/>
  <c r="BU15" i="36"/>
  <c r="BR15" i="36"/>
  <c r="BO15" i="36"/>
  <c r="BL15" i="36"/>
  <c r="BI15" i="36"/>
  <c r="BF15" i="36"/>
  <c r="BC15" i="36"/>
  <c r="AZ15" i="36"/>
  <c r="AW15" i="36"/>
  <c r="AT15" i="36"/>
  <c r="AQ15" i="36"/>
  <c r="AN15" i="36"/>
  <c r="AK15" i="36"/>
  <c r="AI15" i="36"/>
  <c r="EB15" i="36" s="1"/>
  <c r="EC15" i="36" s="1"/>
  <c r="AB15" i="36"/>
  <c r="Y15" i="36"/>
  <c r="V15" i="36"/>
  <c r="EH15" i="36" s="1"/>
  <c r="S15" i="36"/>
  <c r="P15" i="36"/>
  <c r="M15" i="36"/>
  <c r="J15" i="36"/>
  <c r="G15" i="36"/>
  <c r="D15" i="36"/>
  <c r="EL14" i="36"/>
  <c r="EG14" i="36"/>
  <c r="EI14" i="36" s="1"/>
  <c r="DW14" i="36"/>
  <c r="DT14" i="36"/>
  <c r="DQ14" i="36"/>
  <c r="EM14" i="36" s="1"/>
  <c r="DN14" i="36"/>
  <c r="DK14" i="36"/>
  <c r="DH14" i="36"/>
  <c r="DE14" i="36"/>
  <c r="DB14" i="36"/>
  <c r="CY14" i="36"/>
  <c r="CV14" i="36"/>
  <c r="CS14" i="36"/>
  <c r="CP14" i="36"/>
  <c r="CM14" i="36"/>
  <c r="CM42" i="36" s="1"/>
  <c r="CJ14" i="36"/>
  <c r="CG14" i="36"/>
  <c r="CD14" i="36"/>
  <c r="CA14" i="36"/>
  <c r="BX14" i="36"/>
  <c r="BU14" i="36"/>
  <c r="BR14" i="36"/>
  <c r="BO14" i="36"/>
  <c r="BL14" i="36"/>
  <c r="BI14" i="36"/>
  <c r="BF14" i="36"/>
  <c r="BC14" i="36"/>
  <c r="AZ14" i="36"/>
  <c r="AW14" i="36"/>
  <c r="AT14" i="36"/>
  <c r="AQ14" i="36"/>
  <c r="AQ42" i="36" s="1"/>
  <c r="AN14" i="36"/>
  <c r="AK14" i="36"/>
  <c r="AI14" i="36"/>
  <c r="EB14" i="36" s="1"/>
  <c r="EE14" i="36" s="1"/>
  <c r="AB14" i="36"/>
  <c r="Y14" i="36"/>
  <c r="V14" i="36"/>
  <c r="EH14" i="36" s="1"/>
  <c r="S14" i="36"/>
  <c r="P14" i="36"/>
  <c r="M14" i="36"/>
  <c r="J14" i="36"/>
  <c r="G14" i="36"/>
  <c r="D14" i="36"/>
  <c r="ED14" i="36" s="1"/>
  <c r="A14" i="36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EL13" i="36"/>
  <c r="EG13" i="36"/>
  <c r="EI13" i="36" s="1"/>
  <c r="EB13" i="36"/>
  <c r="DW13" i="36"/>
  <c r="DT13" i="36"/>
  <c r="DQ13" i="36"/>
  <c r="DN13" i="36"/>
  <c r="DK13" i="36"/>
  <c r="DH13" i="36"/>
  <c r="DE13" i="36"/>
  <c r="DB13" i="36"/>
  <c r="CY13" i="36"/>
  <c r="CV13" i="36"/>
  <c r="CS13" i="36"/>
  <c r="CP13" i="36"/>
  <c r="CP42" i="36" s="1"/>
  <c r="CM13" i="36"/>
  <c r="CJ13" i="36"/>
  <c r="CG13" i="36"/>
  <c r="CD13" i="36"/>
  <c r="CA13" i="36"/>
  <c r="BX13" i="36"/>
  <c r="BU13" i="36"/>
  <c r="BR13" i="36"/>
  <c r="BR42" i="36" s="1"/>
  <c r="BO13" i="36"/>
  <c r="BL13" i="36"/>
  <c r="BI13" i="36"/>
  <c r="BF13" i="36"/>
  <c r="BC13" i="36"/>
  <c r="AZ13" i="36"/>
  <c r="AW13" i="36"/>
  <c r="AT13" i="36"/>
  <c r="AT42" i="36" s="1"/>
  <c r="AQ13" i="36"/>
  <c r="AN13" i="36"/>
  <c r="AI13" i="36"/>
  <c r="EK13" i="36" s="1"/>
  <c r="AB13" i="36"/>
  <c r="Y13" i="36"/>
  <c r="V13" i="36"/>
  <c r="S13" i="36"/>
  <c r="P13" i="36"/>
  <c r="M13" i="36"/>
  <c r="J13" i="36"/>
  <c r="G13" i="36"/>
  <c r="D13" i="36"/>
  <c r="A13" i="36"/>
  <c r="EL12" i="36"/>
  <c r="EK12" i="36"/>
  <c r="EG12" i="36"/>
  <c r="EI12" i="36" s="1"/>
  <c r="DW12" i="36"/>
  <c r="DT12" i="36"/>
  <c r="DQ12" i="36"/>
  <c r="DN12" i="36"/>
  <c r="DK12" i="36"/>
  <c r="DK42" i="36" s="1"/>
  <c r="DH12" i="36"/>
  <c r="DE12" i="36"/>
  <c r="DB12" i="36"/>
  <c r="CY12" i="36"/>
  <c r="CV12" i="36"/>
  <c r="CS12" i="36"/>
  <c r="CP12" i="36"/>
  <c r="CM12" i="36"/>
  <c r="CJ12" i="36"/>
  <c r="CG12" i="36"/>
  <c r="CD12" i="36"/>
  <c r="CA12" i="36"/>
  <c r="BX12" i="36"/>
  <c r="BU12" i="36"/>
  <c r="BR12" i="36"/>
  <c r="BO12" i="36"/>
  <c r="BO42" i="36" s="1"/>
  <c r="BL12" i="36"/>
  <c r="BI12" i="36"/>
  <c r="BF12" i="36"/>
  <c r="BC12" i="36"/>
  <c r="AZ12" i="36"/>
  <c r="AW12" i="36"/>
  <c r="AT12" i="36"/>
  <c r="AQ12" i="36"/>
  <c r="AN12" i="36"/>
  <c r="AI12" i="36"/>
  <c r="AK12" i="36" s="1"/>
  <c r="AB12" i="36"/>
  <c r="Y12" i="36"/>
  <c r="V12" i="36"/>
  <c r="V42" i="36" s="1"/>
  <c r="S12" i="36"/>
  <c r="P12" i="36"/>
  <c r="M12" i="36"/>
  <c r="J12" i="36"/>
  <c r="ED12" i="36" s="1"/>
  <c r="G12" i="36"/>
  <c r="D12" i="36"/>
  <c r="A12" i="36"/>
  <c r="EL11" i="36"/>
  <c r="EK11" i="36"/>
  <c r="EI11" i="36"/>
  <c r="EG11" i="36"/>
  <c r="DW11" i="36"/>
  <c r="DT11" i="36"/>
  <c r="DQ11" i="36"/>
  <c r="DN11" i="36"/>
  <c r="DK11" i="36"/>
  <c r="DH11" i="36"/>
  <c r="DH42" i="36" s="1"/>
  <c r="DE11" i="36"/>
  <c r="DE42" i="36" s="1"/>
  <c r="DB11" i="36"/>
  <c r="CY11" i="36"/>
  <c r="CV11" i="36"/>
  <c r="CS11" i="36"/>
  <c r="CP11" i="36"/>
  <c r="CM11" i="36"/>
  <c r="CJ11" i="36"/>
  <c r="CJ42" i="36" s="1"/>
  <c r="CG11" i="36"/>
  <c r="CG42" i="36" s="1"/>
  <c r="CD11" i="36"/>
  <c r="CA11" i="36"/>
  <c r="BX11" i="36"/>
  <c r="BU11" i="36"/>
  <c r="BR11" i="36"/>
  <c r="BO11" i="36"/>
  <c r="BL11" i="36"/>
  <c r="BL42" i="36" s="1"/>
  <c r="BI11" i="36"/>
  <c r="BI42" i="36" s="1"/>
  <c r="BF11" i="36"/>
  <c r="BC11" i="36"/>
  <c r="AZ11" i="36"/>
  <c r="AW11" i="36"/>
  <c r="AT11" i="36"/>
  <c r="AQ11" i="36"/>
  <c r="AN11" i="36"/>
  <c r="AN42" i="36" s="1"/>
  <c r="AK11" i="36"/>
  <c r="AI11" i="36"/>
  <c r="EB11" i="36" s="1"/>
  <c r="AE42" i="36"/>
  <c r="AB11" i="36"/>
  <c r="Y11" i="36"/>
  <c r="V11" i="36"/>
  <c r="S11" i="36"/>
  <c r="EH11" i="36" s="1"/>
  <c r="P11" i="36"/>
  <c r="ED11" i="36" s="1"/>
  <c r="M11" i="36"/>
  <c r="M42" i="36" s="1"/>
  <c r="J11" i="36"/>
  <c r="G11" i="36"/>
  <c r="G42" i="36" s="1"/>
  <c r="D11" i="36"/>
  <c r="EE11" i="36" l="1"/>
  <c r="EC11" i="36"/>
  <c r="EE3" i="36"/>
  <c r="EE5" i="36"/>
  <c r="G7" i="36" s="1"/>
  <c r="EM12" i="36"/>
  <c r="EN12" i="36"/>
  <c r="ED20" i="36"/>
  <c r="EM20" i="36"/>
  <c r="ED24" i="36"/>
  <c r="EM24" i="36"/>
  <c r="ED28" i="36"/>
  <c r="ED32" i="36"/>
  <c r="EM32" i="36"/>
  <c r="ED36" i="36"/>
  <c r="EM36" i="36"/>
  <c r="ED40" i="36"/>
  <c r="EM40" i="36"/>
  <c r="EM28" i="36"/>
  <c r="EH13" i="36"/>
  <c r="EI5" i="36"/>
  <c r="AK13" i="36"/>
  <c r="ED13" i="36" s="1"/>
  <c r="EC13" i="36"/>
  <c r="BU42" i="36"/>
  <c r="EB12" i="36"/>
  <c r="EE16" i="36"/>
  <c r="EC16" i="36"/>
  <c r="EE41" i="36"/>
  <c r="EE2" i="36"/>
  <c r="EQ2" i="36" s="1"/>
  <c r="G4" i="36" s="1"/>
  <c r="P42" i="36"/>
  <c r="AW42" i="36"/>
  <c r="ED16" i="36"/>
  <c r="EM16" i="36"/>
  <c r="DT42" i="36"/>
  <c r="Y42" i="36"/>
  <c r="EC29" i="36"/>
  <c r="EC33" i="36"/>
  <c r="EC37" i="36"/>
  <c r="EC41" i="36"/>
  <c r="S42" i="36"/>
  <c r="CS42" i="36"/>
  <c r="EI3" i="36"/>
  <c r="EI4" i="36" s="1"/>
  <c r="AZ42" i="36"/>
  <c r="CV42" i="36"/>
  <c r="EC21" i="36"/>
  <c r="J42" i="36"/>
  <c r="CA42" i="36"/>
  <c r="DW42" i="36"/>
  <c r="EM11" i="36"/>
  <c r="EN11" i="36" s="1"/>
  <c r="AB42" i="36"/>
  <c r="EC26" i="36"/>
  <c r="EC30" i="36"/>
  <c r="EC34" i="36"/>
  <c r="EC38" i="36"/>
  <c r="DN42" i="36"/>
  <c r="DQ42" i="36"/>
  <c r="EE15" i="36"/>
  <c r="BX42" i="36"/>
  <c r="EC17" i="36"/>
  <c r="EC25" i="36"/>
  <c r="AH42" i="36"/>
  <c r="BC42" i="36"/>
  <c r="CY42" i="36"/>
  <c r="EH12" i="36"/>
  <c r="EH42" i="36" s="1"/>
  <c r="D42" i="36"/>
  <c r="BF42" i="36"/>
  <c r="CD42" i="36"/>
  <c r="DB42" i="36"/>
  <c r="EM15" i="36"/>
  <c r="EN15" i="36" s="1"/>
  <c r="EH17" i="36"/>
  <c r="EM19" i="36"/>
  <c r="EH21" i="36"/>
  <c r="EM23" i="36"/>
  <c r="EH25" i="36"/>
  <c r="EM27" i="36"/>
  <c r="EH29" i="36"/>
  <c r="EM31" i="36"/>
  <c r="EH33" i="36"/>
  <c r="EM35" i="36"/>
  <c r="EH37" i="36"/>
  <c r="EM39" i="36"/>
  <c r="EI40" i="36"/>
  <c r="EH41" i="36"/>
  <c r="EH30" i="36"/>
  <c r="EH34" i="36"/>
  <c r="EH38" i="36"/>
  <c r="EN2" i="36"/>
  <c r="EP2" i="36" s="1"/>
  <c r="EN41" i="36"/>
  <c r="EC20" i="36"/>
  <c r="EC24" i="36"/>
  <c r="EC28" i="36"/>
  <c r="EC32" i="36"/>
  <c r="EC36" i="36"/>
  <c r="EC40" i="36"/>
  <c r="EK14" i="36"/>
  <c r="EN14" i="36" s="1"/>
  <c r="EE13" i="36" l="1"/>
  <c r="ED42" i="36"/>
  <c r="EE4" i="36"/>
  <c r="G6" i="36" s="1"/>
  <c r="G5" i="36"/>
  <c r="EN3" i="36"/>
  <c r="EM13" i="36"/>
  <c r="EN13" i="36" s="1"/>
  <c r="AK42" i="36"/>
  <c r="EC14" i="36"/>
  <c r="EN5" i="36"/>
  <c r="EE12" i="36"/>
  <c r="EC12" i="36"/>
  <c r="EN4" i="36" l="1"/>
  <c r="EM42" i="36"/>
  <c r="DK41" i="35" l="1"/>
  <c r="CM41" i="35"/>
  <c r="BO41" i="35"/>
  <c r="AQ41" i="35"/>
  <c r="S41" i="35"/>
  <c r="EL40" i="35"/>
  <c r="EK40" i="35"/>
  <c r="EN40" i="35" s="1"/>
  <c r="EG40" i="35"/>
  <c r="EI40" i="35" s="1"/>
  <c r="EB40" i="35"/>
  <c r="EE40" i="35" s="1"/>
  <c r="DW40" i="35"/>
  <c r="DT40" i="35"/>
  <c r="EM40" i="35" s="1"/>
  <c r="DQ40" i="35"/>
  <c r="DN40" i="35"/>
  <c r="DK40" i="35"/>
  <c r="DH40" i="35"/>
  <c r="DE40" i="35"/>
  <c r="DB40" i="35"/>
  <c r="CY40" i="35"/>
  <c r="CV40" i="35"/>
  <c r="CS40" i="35"/>
  <c r="CP40" i="35"/>
  <c r="CM40" i="35"/>
  <c r="CJ40" i="35"/>
  <c r="CG40" i="35"/>
  <c r="CD40" i="35"/>
  <c r="CA40" i="35"/>
  <c r="BX40" i="35"/>
  <c r="BU40" i="35"/>
  <c r="BR40" i="35"/>
  <c r="BO40" i="35"/>
  <c r="BL40" i="35"/>
  <c r="BI40" i="35"/>
  <c r="BF40" i="35"/>
  <c r="BC40" i="35"/>
  <c r="AZ40" i="35"/>
  <c r="AW40" i="35"/>
  <c r="AT40" i="35"/>
  <c r="AQ40" i="35"/>
  <c r="AN40" i="35"/>
  <c r="AK40" i="35"/>
  <c r="AB40" i="35"/>
  <c r="Y40" i="35"/>
  <c r="V40" i="35"/>
  <c r="S40" i="35"/>
  <c r="EH40" i="35" s="1"/>
  <c r="P40" i="35"/>
  <c r="M40" i="35"/>
  <c r="J40" i="35"/>
  <c r="G40" i="35"/>
  <c r="D40" i="35"/>
  <c r="ED40" i="35" s="1"/>
  <c r="EN39" i="35"/>
  <c r="EL39" i="35"/>
  <c r="EK39" i="35"/>
  <c r="EI39" i="35"/>
  <c r="EG39" i="35"/>
  <c r="EC39" i="35"/>
  <c r="EB39" i="35"/>
  <c r="EE39" i="35" s="1"/>
  <c r="DW39" i="35"/>
  <c r="DT39" i="35"/>
  <c r="EM39" i="35" s="1"/>
  <c r="DQ39" i="35"/>
  <c r="DN39" i="35"/>
  <c r="DK39" i="35"/>
  <c r="DH39" i="35"/>
  <c r="DE39" i="35"/>
  <c r="DB39" i="35"/>
  <c r="CY39" i="35"/>
  <c r="CV39" i="35"/>
  <c r="CS39" i="35"/>
  <c r="CP39" i="35"/>
  <c r="CM39" i="35"/>
  <c r="CJ39" i="35"/>
  <c r="CG39" i="35"/>
  <c r="CD39" i="35"/>
  <c r="CA39" i="35"/>
  <c r="BX39" i="35"/>
  <c r="BU39" i="35"/>
  <c r="BR39" i="35"/>
  <c r="BO39" i="35"/>
  <c r="BL39" i="35"/>
  <c r="BI39" i="35"/>
  <c r="BF39" i="35"/>
  <c r="BC39" i="35"/>
  <c r="AZ39" i="35"/>
  <c r="AW39" i="35"/>
  <c r="AT39" i="35"/>
  <c r="AQ39" i="35"/>
  <c r="AN39" i="35"/>
  <c r="AK39" i="35"/>
  <c r="AB39" i="35"/>
  <c r="Y39" i="35"/>
  <c r="V39" i="35"/>
  <c r="EH39" i="35" s="1"/>
  <c r="S39" i="35"/>
  <c r="P39" i="35"/>
  <c r="M39" i="35"/>
  <c r="J39" i="35"/>
  <c r="G39" i="35"/>
  <c r="D39" i="35"/>
  <c r="ED39" i="35" s="1"/>
  <c r="EN38" i="35"/>
  <c r="EL38" i="35"/>
  <c r="EK38" i="35"/>
  <c r="EG38" i="35"/>
  <c r="EI38" i="35" s="1"/>
  <c r="EB38" i="35"/>
  <c r="DW38" i="35"/>
  <c r="DT38" i="35"/>
  <c r="EM38" i="35" s="1"/>
  <c r="DQ38" i="35"/>
  <c r="DN38" i="35"/>
  <c r="DK38" i="35"/>
  <c r="DH38" i="35"/>
  <c r="DE38" i="35"/>
  <c r="DB38" i="35"/>
  <c r="CY38" i="35"/>
  <c r="CV38" i="35"/>
  <c r="CS38" i="35"/>
  <c r="CP38" i="35"/>
  <c r="CM38" i="35"/>
  <c r="CJ38" i="35"/>
  <c r="CG38" i="35"/>
  <c r="CD38" i="35"/>
  <c r="CA38" i="35"/>
  <c r="BX38" i="35"/>
  <c r="BU38" i="35"/>
  <c r="BR38" i="35"/>
  <c r="BO38" i="35"/>
  <c r="BL38" i="35"/>
  <c r="BI38" i="35"/>
  <c r="BF38" i="35"/>
  <c r="BC38" i="35"/>
  <c r="AZ38" i="35"/>
  <c r="AW38" i="35"/>
  <c r="AT38" i="35"/>
  <c r="AQ38" i="35"/>
  <c r="AN38" i="35"/>
  <c r="AK38" i="35"/>
  <c r="AB38" i="35"/>
  <c r="Y38" i="35"/>
  <c r="V38" i="35"/>
  <c r="S38" i="35"/>
  <c r="EH38" i="35" s="1"/>
  <c r="P38" i="35"/>
  <c r="M38" i="35"/>
  <c r="J38" i="35"/>
  <c r="ED38" i="35" s="1"/>
  <c r="G38" i="35"/>
  <c r="D38" i="35"/>
  <c r="EN37" i="35"/>
  <c r="EL37" i="35"/>
  <c r="EK37" i="35"/>
  <c r="EI37" i="35"/>
  <c r="EG37" i="35"/>
  <c r="EB37" i="35"/>
  <c r="EC37" i="35" s="1"/>
  <c r="DW37" i="35"/>
  <c r="DT37" i="35"/>
  <c r="EM37" i="35" s="1"/>
  <c r="DQ37" i="35"/>
  <c r="DN37" i="35"/>
  <c r="DK37" i="35"/>
  <c r="DH37" i="35"/>
  <c r="DE37" i="35"/>
  <c r="DB37" i="35"/>
  <c r="CY37" i="35"/>
  <c r="CV37" i="35"/>
  <c r="CS37" i="35"/>
  <c r="CP37" i="35"/>
  <c r="CM37" i="35"/>
  <c r="CJ37" i="35"/>
  <c r="CG37" i="35"/>
  <c r="CD37" i="35"/>
  <c r="CA37" i="35"/>
  <c r="BX37" i="35"/>
  <c r="BU37" i="35"/>
  <c r="BR37" i="35"/>
  <c r="BO37" i="35"/>
  <c r="BL37" i="35"/>
  <c r="BI37" i="35"/>
  <c r="BF37" i="35"/>
  <c r="BC37" i="35"/>
  <c r="AZ37" i="35"/>
  <c r="AW37" i="35"/>
  <c r="AT37" i="35"/>
  <c r="AQ37" i="35"/>
  <c r="AN37" i="35"/>
  <c r="AK37" i="35"/>
  <c r="AB37" i="35"/>
  <c r="Y37" i="35"/>
  <c r="EH37" i="35" s="1"/>
  <c r="V37" i="35"/>
  <c r="S37" i="35"/>
  <c r="P37" i="35"/>
  <c r="ED37" i="35" s="1"/>
  <c r="M37" i="35"/>
  <c r="J37" i="35"/>
  <c r="G37" i="35"/>
  <c r="D37" i="35"/>
  <c r="EL36" i="35"/>
  <c r="EK36" i="35"/>
  <c r="EN36" i="35" s="1"/>
  <c r="EG36" i="35"/>
  <c r="EI36" i="35" s="1"/>
  <c r="EB36" i="35"/>
  <c r="EE36" i="35" s="1"/>
  <c r="DW36" i="35"/>
  <c r="DT36" i="35"/>
  <c r="EM36" i="35" s="1"/>
  <c r="DQ36" i="35"/>
  <c r="DN36" i="35"/>
  <c r="DK36" i="35"/>
  <c r="DH36" i="35"/>
  <c r="DE36" i="35"/>
  <c r="DB36" i="35"/>
  <c r="CY36" i="35"/>
  <c r="CV36" i="35"/>
  <c r="CS36" i="35"/>
  <c r="CP36" i="35"/>
  <c r="CM36" i="35"/>
  <c r="CJ36" i="35"/>
  <c r="CG36" i="35"/>
  <c r="CD36" i="35"/>
  <c r="CA36" i="35"/>
  <c r="BX36" i="35"/>
  <c r="BU36" i="35"/>
  <c r="BR36" i="35"/>
  <c r="BO36" i="35"/>
  <c r="BL36" i="35"/>
  <c r="BI36" i="35"/>
  <c r="BF36" i="35"/>
  <c r="BC36" i="35"/>
  <c r="AZ36" i="35"/>
  <c r="AW36" i="35"/>
  <c r="AT36" i="35"/>
  <c r="AQ36" i="35"/>
  <c r="AN36" i="35"/>
  <c r="AK36" i="35"/>
  <c r="AB36" i="35"/>
  <c r="Y36" i="35"/>
  <c r="V36" i="35"/>
  <c r="S36" i="35"/>
  <c r="EH36" i="35" s="1"/>
  <c r="P36" i="35"/>
  <c r="M36" i="35"/>
  <c r="J36" i="35"/>
  <c r="G36" i="35"/>
  <c r="D36" i="35"/>
  <c r="ED36" i="35" s="1"/>
  <c r="EN35" i="35"/>
  <c r="EL35" i="35"/>
  <c r="EK35" i="35"/>
  <c r="EI35" i="35"/>
  <c r="EG35" i="35"/>
  <c r="EC35" i="35"/>
  <c r="EB35" i="35"/>
  <c r="EE35" i="35" s="1"/>
  <c r="DW35" i="35"/>
  <c r="DT35" i="35"/>
  <c r="EM35" i="35" s="1"/>
  <c r="DQ35" i="35"/>
  <c r="DN35" i="35"/>
  <c r="DK35" i="35"/>
  <c r="DH35" i="35"/>
  <c r="DE35" i="35"/>
  <c r="DB35" i="35"/>
  <c r="CY35" i="35"/>
  <c r="CV35" i="35"/>
  <c r="CS35" i="35"/>
  <c r="CP35" i="35"/>
  <c r="CM35" i="35"/>
  <c r="CJ35" i="35"/>
  <c r="CG35" i="35"/>
  <c r="CD35" i="35"/>
  <c r="CA35" i="35"/>
  <c r="BX35" i="35"/>
  <c r="BU35" i="35"/>
  <c r="BR35" i="35"/>
  <c r="BO35" i="35"/>
  <c r="BL35" i="35"/>
  <c r="BI35" i="35"/>
  <c r="BF35" i="35"/>
  <c r="BC35" i="35"/>
  <c r="AZ35" i="35"/>
  <c r="AW35" i="35"/>
  <c r="AT35" i="35"/>
  <c r="AQ35" i="35"/>
  <c r="AN35" i="35"/>
  <c r="AK35" i="35"/>
  <c r="AB35" i="35"/>
  <c r="Y35" i="35"/>
  <c r="V35" i="35"/>
  <c r="EH35" i="35" s="1"/>
  <c r="S35" i="35"/>
  <c r="P35" i="35"/>
  <c r="M35" i="35"/>
  <c r="J35" i="35"/>
  <c r="G35" i="35"/>
  <c r="D35" i="35"/>
  <c r="ED35" i="35" s="1"/>
  <c r="EN34" i="35"/>
  <c r="EL34" i="35"/>
  <c r="EK34" i="35"/>
  <c r="EG34" i="35"/>
  <c r="EI34" i="35" s="1"/>
  <c r="EB34" i="35"/>
  <c r="EE34" i="35" s="1"/>
  <c r="DW34" i="35"/>
  <c r="DT34" i="35"/>
  <c r="EM34" i="35" s="1"/>
  <c r="DQ34" i="35"/>
  <c r="DN34" i="35"/>
  <c r="DK34" i="35"/>
  <c r="DH34" i="35"/>
  <c r="DE34" i="35"/>
  <c r="DB34" i="35"/>
  <c r="CY34" i="35"/>
  <c r="CV34" i="35"/>
  <c r="CS34" i="35"/>
  <c r="CP34" i="35"/>
  <c r="CM34" i="35"/>
  <c r="CJ34" i="35"/>
  <c r="CG34" i="35"/>
  <c r="CD34" i="35"/>
  <c r="CA34" i="35"/>
  <c r="BX34" i="35"/>
  <c r="BU34" i="35"/>
  <c r="BR34" i="35"/>
  <c r="BO34" i="35"/>
  <c r="BL34" i="35"/>
  <c r="BI34" i="35"/>
  <c r="BF34" i="35"/>
  <c r="BC34" i="35"/>
  <c r="AZ34" i="35"/>
  <c r="AW34" i="35"/>
  <c r="AT34" i="35"/>
  <c r="AQ34" i="35"/>
  <c r="AN34" i="35"/>
  <c r="AK34" i="35"/>
  <c r="AB34" i="35"/>
  <c r="Y34" i="35"/>
  <c r="V34" i="35"/>
  <c r="S34" i="35"/>
  <c r="EH34" i="35" s="1"/>
  <c r="P34" i="35"/>
  <c r="M34" i="35"/>
  <c r="J34" i="35"/>
  <c r="ED34" i="35" s="1"/>
  <c r="G34" i="35"/>
  <c r="D34" i="35"/>
  <c r="EN33" i="35"/>
  <c r="EL33" i="35"/>
  <c r="EK33" i="35"/>
  <c r="EI33" i="35"/>
  <c r="EG33" i="35"/>
  <c r="EB33" i="35"/>
  <c r="EC33" i="35" s="1"/>
  <c r="DW33" i="35"/>
  <c r="DT33" i="35"/>
  <c r="EM33" i="35" s="1"/>
  <c r="DQ33" i="35"/>
  <c r="DN33" i="35"/>
  <c r="DK33" i="35"/>
  <c r="DH33" i="35"/>
  <c r="DE33" i="35"/>
  <c r="DB33" i="35"/>
  <c r="CY33" i="35"/>
  <c r="CV33" i="35"/>
  <c r="CS33" i="35"/>
  <c r="CP33" i="35"/>
  <c r="CM33" i="35"/>
  <c r="CJ33" i="35"/>
  <c r="CG33" i="35"/>
  <c r="CD33" i="35"/>
  <c r="CA33" i="35"/>
  <c r="BX33" i="35"/>
  <c r="BU33" i="35"/>
  <c r="BR33" i="35"/>
  <c r="BO33" i="35"/>
  <c r="BL33" i="35"/>
  <c r="BI33" i="35"/>
  <c r="BF33" i="35"/>
  <c r="BC33" i="35"/>
  <c r="AZ33" i="35"/>
  <c r="AW33" i="35"/>
  <c r="AT33" i="35"/>
  <c r="AQ33" i="35"/>
  <c r="AN33" i="35"/>
  <c r="AK33" i="35"/>
  <c r="AB33" i="35"/>
  <c r="Y33" i="35"/>
  <c r="EH33" i="35" s="1"/>
  <c r="V33" i="35"/>
  <c r="S33" i="35"/>
  <c r="P33" i="35"/>
  <c r="ED33" i="35" s="1"/>
  <c r="M33" i="35"/>
  <c r="J33" i="35"/>
  <c r="G33" i="35"/>
  <c r="D33" i="35"/>
  <c r="EL32" i="35"/>
  <c r="EK32" i="35"/>
  <c r="EN32" i="35" s="1"/>
  <c r="EG32" i="35"/>
  <c r="EI32" i="35" s="1"/>
  <c r="EB32" i="35"/>
  <c r="DW32" i="35"/>
  <c r="DT32" i="35"/>
  <c r="EM32" i="35" s="1"/>
  <c r="DQ32" i="35"/>
  <c r="DN32" i="35"/>
  <c r="DK32" i="35"/>
  <c r="DH32" i="35"/>
  <c r="DE32" i="35"/>
  <c r="DB32" i="35"/>
  <c r="CY32" i="35"/>
  <c r="CV32" i="35"/>
  <c r="CS32" i="35"/>
  <c r="CP32" i="35"/>
  <c r="CM32" i="35"/>
  <c r="CJ32" i="35"/>
  <c r="CG32" i="35"/>
  <c r="CD32" i="35"/>
  <c r="CA32" i="35"/>
  <c r="BX32" i="35"/>
  <c r="BU32" i="35"/>
  <c r="BR32" i="35"/>
  <c r="BO32" i="35"/>
  <c r="BL32" i="35"/>
  <c r="BI32" i="35"/>
  <c r="BF32" i="35"/>
  <c r="BC32" i="35"/>
  <c r="AZ32" i="35"/>
  <c r="AW32" i="35"/>
  <c r="AT32" i="35"/>
  <c r="AQ32" i="35"/>
  <c r="AN32" i="35"/>
  <c r="AK32" i="35"/>
  <c r="AB32" i="35"/>
  <c r="Y32" i="35"/>
  <c r="V32" i="35"/>
  <c r="S32" i="35"/>
  <c r="EH32" i="35" s="1"/>
  <c r="P32" i="35"/>
  <c r="M32" i="35"/>
  <c r="J32" i="35"/>
  <c r="G32" i="35"/>
  <c r="D32" i="35"/>
  <c r="ED32" i="35" s="1"/>
  <c r="EN31" i="35"/>
  <c r="EL31" i="35"/>
  <c r="EK31" i="35"/>
  <c r="EI31" i="35"/>
  <c r="EG31" i="35"/>
  <c r="EC31" i="35"/>
  <c r="EB31" i="35"/>
  <c r="DW31" i="35"/>
  <c r="DT31" i="35"/>
  <c r="EM31" i="35" s="1"/>
  <c r="DQ31" i="35"/>
  <c r="DN31" i="35"/>
  <c r="DK31" i="35"/>
  <c r="DH31" i="35"/>
  <c r="DE31" i="35"/>
  <c r="DB31" i="35"/>
  <c r="CY31" i="35"/>
  <c r="CV31" i="35"/>
  <c r="CS31" i="35"/>
  <c r="CP31" i="35"/>
  <c r="CM31" i="35"/>
  <c r="CJ31" i="35"/>
  <c r="CG31" i="35"/>
  <c r="CD31" i="35"/>
  <c r="CA31" i="35"/>
  <c r="BX31" i="35"/>
  <c r="BU31" i="35"/>
  <c r="BR31" i="35"/>
  <c r="BO31" i="35"/>
  <c r="BL31" i="35"/>
  <c r="BI31" i="35"/>
  <c r="BF31" i="35"/>
  <c r="BC31" i="35"/>
  <c r="AZ31" i="35"/>
  <c r="AW31" i="35"/>
  <c r="AT31" i="35"/>
  <c r="AQ31" i="35"/>
  <c r="AN31" i="35"/>
  <c r="AK31" i="35"/>
  <c r="AB31" i="35"/>
  <c r="Y31" i="35"/>
  <c r="V31" i="35"/>
  <c r="EH31" i="35" s="1"/>
  <c r="S31" i="35"/>
  <c r="P31" i="35"/>
  <c r="M31" i="35"/>
  <c r="J31" i="35"/>
  <c r="G31" i="35"/>
  <c r="D31" i="35"/>
  <c r="ED31" i="35" s="1"/>
  <c r="EN30" i="35"/>
  <c r="EL30" i="35"/>
  <c r="EK30" i="35"/>
  <c r="EG30" i="35"/>
  <c r="EI30" i="35" s="1"/>
  <c r="EB30" i="35"/>
  <c r="DW30" i="35"/>
  <c r="DT30" i="35"/>
  <c r="EM30" i="35" s="1"/>
  <c r="DQ30" i="35"/>
  <c r="DN30" i="35"/>
  <c r="DK30" i="35"/>
  <c r="DH30" i="35"/>
  <c r="DE30" i="35"/>
  <c r="DB30" i="35"/>
  <c r="CY30" i="35"/>
  <c r="CV30" i="35"/>
  <c r="CS30" i="35"/>
  <c r="CP30" i="35"/>
  <c r="CM30" i="35"/>
  <c r="CJ30" i="35"/>
  <c r="CG30" i="35"/>
  <c r="CD30" i="35"/>
  <c r="CA30" i="35"/>
  <c r="BX30" i="35"/>
  <c r="BU30" i="35"/>
  <c r="BR30" i="35"/>
  <c r="BO30" i="35"/>
  <c r="BL30" i="35"/>
  <c r="BI30" i="35"/>
  <c r="BF30" i="35"/>
  <c r="BC30" i="35"/>
  <c r="AZ30" i="35"/>
  <c r="AW30" i="35"/>
  <c r="AT30" i="35"/>
  <c r="AQ30" i="35"/>
  <c r="AN30" i="35"/>
  <c r="AK30" i="35"/>
  <c r="AB30" i="35"/>
  <c r="Y30" i="35"/>
  <c r="V30" i="35"/>
  <c r="S30" i="35"/>
  <c r="EH30" i="35" s="1"/>
  <c r="P30" i="35"/>
  <c r="M30" i="35"/>
  <c r="J30" i="35"/>
  <c r="ED30" i="35" s="1"/>
  <c r="G30" i="35"/>
  <c r="D30" i="35"/>
  <c r="EN29" i="35"/>
  <c r="EL29" i="35"/>
  <c r="EK29" i="35"/>
  <c r="EI29" i="35"/>
  <c r="EG29" i="35"/>
  <c r="EB29" i="35"/>
  <c r="EC29" i="35" s="1"/>
  <c r="DW29" i="35"/>
  <c r="DT29" i="35"/>
  <c r="EM29" i="35" s="1"/>
  <c r="DQ29" i="35"/>
  <c r="DN29" i="35"/>
  <c r="DK29" i="35"/>
  <c r="DH29" i="35"/>
  <c r="DE29" i="35"/>
  <c r="DB29" i="35"/>
  <c r="CY29" i="35"/>
  <c r="CV29" i="35"/>
  <c r="CS29" i="35"/>
  <c r="CP29" i="35"/>
  <c r="CM29" i="35"/>
  <c r="CJ29" i="35"/>
  <c r="CG29" i="35"/>
  <c r="CD29" i="35"/>
  <c r="CA29" i="35"/>
  <c r="BX29" i="35"/>
  <c r="BU29" i="35"/>
  <c r="BR29" i="35"/>
  <c r="BO29" i="35"/>
  <c r="BL29" i="35"/>
  <c r="BI29" i="35"/>
  <c r="BF29" i="35"/>
  <c r="BC29" i="35"/>
  <c r="AZ29" i="35"/>
  <c r="AW29" i="35"/>
  <c r="AT29" i="35"/>
  <c r="AQ29" i="35"/>
  <c r="AN29" i="35"/>
  <c r="AK29" i="35"/>
  <c r="AB29" i="35"/>
  <c r="Y29" i="35"/>
  <c r="EH29" i="35" s="1"/>
  <c r="V29" i="35"/>
  <c r="S29" i="35"/>
  <c r="P29" i="35"/>
  <c r="ED29" i="35" s="1"/>
  <c r="M29" i="35"/>
  <c r="J29" i="35"/>
  <c r="G29" i="35"/>
  <c r="D29" i="35"/>
  <c r="EL28" i="35"/>
  <c r="EK28" i="35"/>
  <c r="EN28" i="35" s="1"/>
  <c r="EG28" i="35"/>
  <c r="EI28" i="35" s="1"/>
  <c r="EB28" i="35"/>
  <c r="DW28" i="35"/>
  <c r="DT28" i="35"/>
  <c r="EM28" i="35" s="1"/>
  <c r="DQ28" i="35"/>
  <c r="DN28" i="35"/>
  <c r="DK28" i="35"/>
  <c r="DH28" i="35"/>
  <c r="DE28" i="35"/>
  <c r="DB28" i="35"/>
  <c r="CY28" i="35"/>
  <c r="CV28" i="35"/>
  <c r="CS28" i="35"/>
  <c r="CP28" i="35"/>
  <c r="CM28" i="35"/>
  <c r="CJ28" i="35"/>
  <c r="CG28" i="35"/>
  <c r="CD28" i="35"/>
  <c r="CA28" i="35"/>
  <c r="BX28" i="35"/>
  <c r="BU28" i="35"/>
  <c r="BR28" i="35"/>
  <c r="BO28" i="35"/>
  <c r="BL28" i="35"/>
  <c r="BI28" i="35"/>
  <c r="BF28" i="35"/>
  <c r="BC28" i="35"/>
  <c r="AZ28" i="35"/>
  <c r="AW28" i="35"/>
  <c r="AT28" i="35"/>
  <c r="AQ28" i="35"/>
  <c r="AN28" i="35"/>
  <c r="AK28" i="35"/>
  <c r="AB28" i="35"/>
  <c r="Y28" i="35"/>
  <c r="V28" i="35"/>
  <c r="S28" i="35"/>
  <c r="EH28" i="35" s="1"/>
  <c r="P28" i="35"/>
  <c r="M28" i="35"/>
  <c r="J28" i="35"/>
  <c r="G28" i="35"/>
  <c r="D28" i="35"/>
  <c r="ED28" i="35" s="1"/>
  <c r="EN27" i="35"/>
  <c r="EL27" i="35"/>
  <c r="EK27" i="35"/>
  <c r="EI27" i="35"/>
  <c r="EG27" i="35"/>
  <c r="EC27" i="35"/>
  <c r="EB27" i="35"/>
  <c r="DW27" i="35"/>
  <c r="DT27" i="35"/>
  <c r="EM27" i="35" s="1"/>
  <c r="DQ27" i="35"/>
  <c r="DN27" i="35"/>
  <c r="DK27" i="35"/>
  <c r="DH27" i="35"/>
  <c r="DE27" i="35"/>
  <c r="DB27" i="35"/>
  <c r="CY27" i="35"/>
  <c r="CV27" i="35"/>
  <c r="CS27" i="35"/>
  <c r="CP27" i="35"/>
  <c r="CM27" i="35"/>
  <c r="CJ27" i="35"/>
  <c r="CG27" i="35"/>
  <c r="CD27" i="35"/>
  <c r="CA27" i="35"/>
  <c r="BX27" i="35"/>
  <c r="BU27" i="35"/>
  <c r="BR27" i="35"/>
  <c r="BO27" i="35"/>
  <c r="BL27" i="35"/>
  <c r="BI27" i="35"/>
  <c r="BF27" i="35"/>
  <c r="BC27" i="35"/>
  <c r="AZ27" i="35"/>
  <c r="AW27" i="35"/>
  <c r="AT27" i="35"/>
  <c r="AQ27" i="35"/>
  <c r="AN27" i="35"/>
  <c r="AK27" i="35"/>
  <c r="AB27" i="35"/>
  <c r="Y27" i="35"/>
  <c r="V27" i="35"/>
  <c r="EH27" i="35" s="1"/>
  <c r="S27" i="35"/>
  <c r="P27" i="35"/>
  <c r="M27" i="35"/>
  <c r="J27" i="35"/>
  <c r="G27" i="35"/>
  <c r="D27" i="35"/>
  <c r="ED27" i="35" s="1"/>
  <c r="EN26" i="35"/>
  <c r="EL26" i="35"/>
  <c r="EK26" i="35"/>
  <c r="EG26" i="35"/>
  <c r="EI26" i="35" s="1"/>
  <c r="EB26" i="35"/>
  <c r="DW26" i="35"/>
  <c r="DT26" i="35"/>
  <c r="EM26" i="35" s="1"/>
  <c r="DQ26" i="35"/>
  <c r="DN26" i="35"/>
  <c r="DK26" i="35"/>
  <c r="DH26" i="35"/>
  <c r="DE26" i="35"/>
  <c r="DB26" i="35"/>
  <c r="CY26" i="35"/>
  <c r="CV26" i="35"/>
  <c r="CS26" i="35"/>
  <c r="CP26" i="35"/>
  <c r="CM26" i="35"/>
  <c r="CJ26" i="35"/>
  <c r="CG26" i="35"/>
  <c r="CD26" i="35"/>
  <c r="CA26" i="35"/>
  <c r="BX26" i="35"/>
  <c r="BU26" i="35"/>
  <c r="BR26" i="35"/>
  <c r="BO26" i="35"/>
  <c r="BL26" i="35"/>
  <c r="BI26" i="35"/>
  <c r="BF26" i="35"/>
  <c r="BC26" i="35"/>
  <c r="AZ26" i="35"/>
  <c r="AW26" i="35"/>
  <c r="AT26" i="35"/>
  <c r="AQ26" i="35"/>
  <c r="AN26" i="35"/>
  <c r="AK26" i="35"/>
  <c r="AB26" i="35"/>
  <c r="Y26" i="35"/>
  <c r="V26" i="35"/>
  <c r="S26" i="35"/>
  <c r="EH26" i="35" s="1"/>
  <c r="P26" i="35"/>
  <c r="M26" i="35"/>
  <c r="J26" i="35"/>
  <c r="ED26" i="35" s="1"/>
  <c r="G26" i="35"/>
  <c r="D26" i="35"/>
  <c r="EL25" i="35"/>
  <c r="EK25" i="35"/>
  <c r="EI25" i="35"/>
  <c r="EG25" i="35"/>
  <c r="EB25" i="35"/>
  <c r="EC25" i="35" s="1"/>
  <c r="DW25" i="35"/>
  <c r="DT25" i="35"/>
  <c r="EM25" i="35" s="1"/>
  <c r="EN25" i="35" s="1"/>
  <c r="DQ25" i="35"/>
  <c r="DN25" i="35"/>
  <c r="DK25" i="35"/>
  <c r="DH25" i="35"/>
  <c r="DE25" i="35"/>
  <c r="DB25" i="35"/>
  <c r="CY25" i="35"/>
  <c r="CV25" i="35"/>
  <c r="CS25" i="35"/>
  <c r="CP25" i="35"/>
  <c r="CM25" i="35"/>
  <c r="CJ25" i="35"/>
  <c r="CG25" i="35"/>
  <c r="CD25" i="35"/>
  <c r="CA25" i="35"/>
  <c r="BX25" i="35"/>
  <c r="BU25" i="35"/>
  <c r="BR25" i="35"/>
  <c r="BO25" i="35"/>
  <c r="BL25" i="35"/>
  <c r="BI25" i="35"/>
  <c r="BF25" i="35"/>
  <c r="BC25" i="35"/>
  <c r="AZ25" i="35"/>
  <c r="AW25" i="35"/>
  <c r="AT25" i="35"/>
  <c r="AQ25" i="35"/>
  <c r="AN25" i="35"/>
  <c r="AK25" i="35"/>
  <c r="AB25" i="35"/>
  <c r="Y25" i="35"/>
  <c r="EH25" i="35" s="1"/>
  <c r="V25" i="35"/>
  <c r="S25" i="35"/>
  <c r="P25" i="35"/>
  <c r="ED25" i="35" s="1"/>
  <c r="M25" i="35"/>
  <c r="J25" i="35"/>
  <c r="G25" i="35"/>
  <c r="D25" i="35"/>
  <c r="EL24" i="35"/>
  <c r="EK24" i="35"/>
  <c r="EN24" i="35" s="1"/>
  <c r="EG24" i="35"/>
  <c r="EI24" i="35" s="1"/>
  <c r="EB24" i="35"/>
  <c r="EE24" i="35" s="1"/>
  <c r="DW24" i="35"/>
  <c r="DT24" i="35"/>
  <c r="EM24" i="35" s="1"/>
  <c r="DQ24" i="35"/>
  <c r="DN24" i="35"/>
  <c r="DK24" i="35"/>
  <c r="DH24" i="35"/>
  <c r="DE24" i="35"/>
  <c r="DB24" i="35"/>
  <c r="CY24" i="35"/>
  <c r="CV24" i="35"/>
  <c r="CS24" i="35"/>
  <c r="CP24" i="35"/>
  <c r="CM24" i="35"/>
  <c r="CJ24" i="35"/>
  <c r="CG24" i="35"/>
  <c r="CD24" i="35"/>
  <c r="CA24" i="35"/>
  <c r="BX24" i="35"/>
  <c r="BU24" i="35"/>
  <c r="BR24" i="35"/>
  <c r="BO24" i="35"/>
  <c r="BL24" i="35"/>
  <c r="BI24" i="35"/>
  <c r="BF24" i="35"/>
  <c r="BC24" i="35"/>
  <c r="AZ24" i="35"/>
  <c r="AW24" i="35"/>
  <c r="AT24" i="35"/>
  <c r="AQ24" i="35"/>
  <c r="AN24" i="35"/>
  <c r="AK24" i="35"/>
  <c r="AB24" i="35"/>
  <c r="Y24" i="35"/>
  <c r="V24" i="35"/>
  <c r="S24" i="35"/>
  <c r="EH24" i="35" s="1"/>
  <c r="P24" i="35"/>
  <c r="M24" i="35"/>
  <c r="J24" i="35"/>
  <c r="G24" i="35"/>
  <c r="D24" i="35"/>
  <c r="ED24" i="35" s="1"/>
  <c r="EN23" i="35"/>
  <c r="EL23" i="35"/>
  <c r="EK23" i="35"/>
  <c r="EI23" i="35"/>
  <c r="EG23" i="35"/>
  <c r="EC23" i="35"/>
  <c r="EB23" i="35"/>
  <c r="EE23" i="35" s="1"/>
  <c r="DW23" i="35"/>
  <c r="DT23" i="35"/>
  <c r="EM23" i="35" s="1"/>
  <c r="DQ23" i="35"/>
  <c r="DN23" i="35"/>
  <c r="DK23" i="35"/>
  <c r="DH23" i="35"/>
  <c r="DE23" i="35"/>
  <c r="DB23" i="35"/>
  <c r="CY23" i="35"/>
  <c r="CV23" i="35"/>
  <c r="CS23" i="35"/>
  <c r="CP23" i="35"/>
  <c r="CM23" i="35"/>
  <c r="CJ23" i="35"/>
  <c r="CG23" i="35"/>
  <c r="CD23" i="35"/>
  <c r="CA23" i="35"/>
  <c r="BX23" i="35"/>
  <c r="BU23" i="35"/>
  <c r="BR23" i="35"/>
  <c r="BO23" i="35"/>
  <c r="BL23" i="35"/>
  <c r="BI23" i="35"/>
  <c r="BF23" i="35"/>
  <c r="BC23" i="35"/>
  <c r="AZ23" i="35"/>
  <c r="AW23" i="35"/>
  <c r="AT23" i="35"/>
  <c r="AQ23" i="35"/>
  <c r="AN23" i="35"/>
  <c r="AK23" i="35"/>
  <c r="AB23" i="35"/>
  <c r="Y23" i="35"/>
  <c r="V23" i="35"/>
  <c r="EH23" i="35" s="1"/>
  <c r="S23" i="35"/>
  <c r="P23" i="35"/>
  <c r="M23" i="35"/>
  <c r="J23" i="35"/>
  <c r="G23" i="35"/>
  <c r="D23" i="35"/>
  <c r="ED23" i="35" s="1"/>
  <c r="EN22" i="35"/>
  <c r="EL22" i="35"/>
  <c r="EK22" i="35"/>
  <c r="EG22" i="35"/>
  <c r="EI22" i="35" s="1"/>
  <c r="EB22" i="35"/>
  <c r="EE22" i="35" s="1"/>
  <c r="DW22" i="35"/>
  <c r="DT22" i="35"/>
  <c r="EM22" i="35" s="1"/>
  <c r="DQ22" i="35"/>
  <c r="DN22" i="35"/>
  <c r="DK22" i="35"/>
  <c r="DH22" i="35"/>
  <c r="DE22" i="35"/>
  <c r="DB22" i="35"/>
  <c r="CY22" i="35"/>
  <c r="CV22" i="35"/>
  <c r="CS22" i="35"/>
  <c r="CP22" i="35"/>
  <c r="CM22" i="35"/>
  <c r="CJ22" i="35"/>
  <c r="CG22" i="35"/>
  <c r="CD22" i="35"/>
  <c r="CA22" i="35"/>
  <c r="BX22" i="35"/>
  <c r="BU22" i="35"/>
  <c r="BR22" i="35"/>
  <c r="BO22" i="35"/>
  <c r="BL22" i="35"/>
  <c r="BI22" i="35"/>
  <c r="BF22" i="35"/>
  <c r="BC22" i="35"/>
  <c r="AZ22" i="35"/>
  <c r="AW22" i="35"/>
  <c r="AT22" i="35"/>
  <c r="AQ22" i="35"/>
  <c r="AN22" i="35"/>
  <c r="AK22" i="35"/>
  <c r="AB22" i="35"/>
  <c r="Y22" i="35"/>
  <c r="V22" i="35"/>
  <c r="S22" i="35"/>
  <c r="EH22" i="35" s="1"/>
  <c r="P22" i="35"/>
  <c r="M22" i="35"/>
  <c r="J22" i="35"/>
  <c r="ED22" i="35" s="1"/>
  <c r="G22" i="35"/>
  <c r="D22" i="35"/>
  <c r="EN21" i="35"/>
  <c r="EL21" i="35"/>
  <c r="EK21" i="35"/>
  <c r="EI21" i="35"/>
  <c r="EG21" i="35"/>
  <c r="EB21" i="35"/>
  <c r="EC21" i="35" s="1"/>
  <c r="DW21" i="35"/>
  <c r="DT21" i="35"/>
  <c r="EM21" i="35" s="1"/>
  <c r="DQ21" i="35"/>
  <c r="DN21" i="35"/>
  <c r="DK21" i="35"/>
  <c r="DH21" i="35"/>
  <c r="DE21" i="35"/>
  <c r="DB21" i="35"/>
  <c r="CY21" i="35"/>
  <c r="CV21" i="35"/>
  <c r="CS21" i="35"/>
  <c r="CP21" i="35"/>
  <c r="CM21" i="35"/>
  <c r="CJ21" i="35"/>
  <c r="CG21" i="35"/>
  <c r="CD21" i="35"/>
  <c r="CA21" i="35"/>
  <c r="BX21" i="35"/>
  <c r="BU21" i="35"/>
  <c r="BR21" i="35"/>
  <c r="BO21" i="35"/>
  <c r="BL21" i="35"/>
  <c r="BI21" i="35"/>
  <c r="BF21" i="35"/>
  <c r="BC21" i="35"/>
  <c r="AZ21" i="35"/>
  <c r="AW21" i="35"/>
  <c r="AT21" i="35"/>
  <c r="AQ21" i="35"/>
  <c r="AN21" i="35"/>
  <c r="AK21" i="35"/>
  <c r="AB21" i="35"/>
  <c r="Y21" i="35"/>
  <c r="EH21" i="35" s="1"/>
  <c r="V21" i="35"/>
  <c r="S21" i="35"/>
  <c r="P21" i="35"/>
  <c r="ED21" i="35" s="1"/>
  <c r="M21" i="35"/>
  <c r="J21" i="35"/>
  <c r="G21" i="35"/>
  <c r="D21" i="35"/>
  <c r="EL20" i="35"/>
  <c r="EK20" i="35"/>
  <c r="EN20" i="35" s="1"/>
  <c r="EI20" i="35"/>
  <c r="EG20" i="35"/>
  <c r="EB20" i="35"/>
  <c r="EE20" i="35" s="1"/>
  <c r="DW20" i="35"/>
  <c r="DT20" i="35"/>
  <c r="EM20" i="35" s="1"/>
  <c r="DQ20" i="35"/>
  <c r="DN20" i="35"/>
  <c r="DK20" i="35"/>
  <c r="DH20" i="35"/>
  <c r="DE20" i="35"/>
  <c r="DB20" i="35"/>
  <c r="CY20" i="35"/>
  <c r="CV20" i="35"/>
  <c r="CS20" i="35"/>
  <c r="CP20" i="35"/>
  <c r="CM20" i="35"/>
  <c r="CJ20" i="35"/>
  <c r="CG20" i="35"/>
  <c r="CD20" i="35"/>
  <c r="CA20" i="35"/>
  <c r="BX20" i="35"/>
  <c r="BU20" i="35"/>
  <c r="BR20" i="35"/>
  <c r="BO20" i="35"/>
  <c r="BL20" i="35"/>
  <c r="BI20" i="35"/>
  <c r="BF20" i="35"/>
  <c r="BC20" i="35"/>
  <c r="AZ20" i="35"/>
  <c r="AW20" i="35"/>
  <c r="AT20" i="35"/>
  <c r="AQ20" i="35"/>
  <c r="AN20" i="35"/>
  <c r="AK20" i="35"/>
  <c r="AB20" i="35"/>
  <c r="Y20" i="35"/>
  <c r="V20" i="35"/>
  <c r="S20" i="35"/>
  <c r="EH20" i="35" s="1"/>
  <c r="P20" i="35"/>
  <c r="M20" i="35"/>
  <c r="J20" i="35"/>
  <c r="G20" i="35"/>
  <c r="D20" i="35"/>
  <c r="ED20" i="35" s="1"/>
  <c r="EN19" i="35"/>
  <c r="EL19" i="35"/>
  <c r="EK19" i="35"/>
  <c r="EI19" i="35"/>
  <c r="EG19" i="35"/>
  <c r="EC19" i="35"/>
  <c r="EB19" i="35"/>
  <c r="EE19" i="35" s="1"/>
  <c r="DW19" i="35"/>
  <c r="DT19" i="35"/>
  <c r="EM19" i="35" s="1"/>
  <c r="DQ19" i="35"/>
  <c r="DN19" i="35"/>
  <c r="DK19" i="35"/>
  <c r="DH19" i="35"/>
  <c r="DE19" i="35"/>
  <c r="DB19" i="35"/>
  <c r="CY19" i="35"/>
  <c r="CV19" i="35"/>
  <c r="CS19" i="35"/>
  <c r="CP19" i="35"/>
  <c r="CM19" i="35"/>
  <c r="CJ19" i="35"/>
  <c r="CG19" i="35"/>
  <c r="CD19" i="35"/>
  <c r="CA19" i="35"/>
  <c r="BX19" i="35"/>
  <c r="BU19" i="35"/>
  <c r="BR19" i="35"/>
  <c r="BO19" i="35"/>
  <c r="BL19" i="35"/>
  <c r="BI19" i="35"/>
  <c r="BF19" i="35"/>
  <c r="BC19" i="35"/>
  <c r="AZ19" i="35"/>
  <c r="AW19" i="35"/>
  <c r="AT19" i="35"/>
  <c r="AQ19" i="35"/>
  <c r="AN19" i="35"/>
  <c r="AK19" i="35"/>
  <c r="AB19" i="35"/>
  <c r="Y19" i="35"/>
  <c r="V19" i="35"/>
  <c r="EH19" i="35" s="1"/>
  <c r="S19" i="35"/>
  <c r="P19" i="35"/>
  <c r="M19" i="35"/>
  <c r="J19" i="35"/>
  <c r="G19" i="35"/>
  <c r="D19" i="35"/>
  <c r="ED19" i="35" s="1"/>
  <c r="EN18" i="35"/>
  <c r="EL18" i="35"/>
  <c r="EK18" i="35"/>
  <c r="EG18" i="35"/>
  <c r="EI18" i="35" s="1"/>
  <c r="EB18" i="35"/>
  <c r="EE18" i="35" s="1"/>
  <c r="DW18" i="35"/>
  <c r="DT18" i="35"/>
  <c r="EM18" i="35" s="1"/>
  <c r="DQ18" i="35"/>
  <c r="DN18" i="35"/>
  <c r="DK18" i="35"/>
  <c r="DH18" i="35"/>
  <c r="DE18" i="35"/>
  <c r="DB18" i="35"/>
  <c r="CY18" i="35"/>
  <c r="CV18" i="35"/>
  <c r="CS18" i="35"/>
  <c r="CP18" i="35"/>
  <c r="CM18" i="35"/>
  <c r="CJ18" i="35"/>
  <c r="CG18" i="35"/>
  <c r="CD18" i="35"/>
  <c r="CA18" i="35"/>
  <c r="BX18" i="35"/>
  <c r="BU18" i="35"/>
  <c r="BR18" i="35"/>
  <c r="BO18" i="35"/>
  <c r="BL18" i="35"/>
  <c r="BI18" i="35"/>
  <c r="BF18" i="35"/>
  <c r="BC18" i="35"/>
  <c r="AZ18" i="35"/>
  <c r="AW18" i="35"/>
  <c r="AT18" i="35"/>
  <c r="AQ18" i="35"/>
  <c r="AN18" i="35"/>
  <c r="AK18" i="35"/>
  <c r="AB18" i="35"/>
  <c r="Y18" i="35"/>
  <c r="V18" i="35"/>
  <c r="S18" i="35"/>
  <c r="EH18" i="35" s="1"/>
  <c r="P18" i="35"/>
  <c r="M18" i="35"/>
  <c r="J18" i="35"/>
  <c r="ED18" i="35" s="1"/>
  <c r="G18" i="35"/>
  <c r="D18" i="35"/>
  <c r="EN17" i="35"/>
  <c r="EL17" i="35"/>
  <c r="EK17" i="35"/>
  <c r="EI17" i="35"/>
  <c r="EG17" i="35"/>
  <c r="ED17" i="35"/>
  <c r="EB17" i="35"/>
  <c r="EC17" i="35" s="1"/>
  <c r="DW17" i="35"/>
  <c r="DT17" i="35"/>
  <c r="EM17" i="35" s="1"/>
  <c r="DQ17" i="35"/>
  <c r="DN17" i="35"/>
  <c r="DK17" i="35"/>
  <c r="DH17" i="35"/>
  <c r="DE17" i="35"/>
  <c r="DB17" i="35"/>
  <c r="CY17" i="35"/>
  <c r="CV17" i="35"/>
  <c r="CS17" i="35"/>
  <c r="CP17" i="35"/>
  <c r="CM17" i="35"/>
  <c r="CJ17" i="35"/>
  <c r="CG17" i="35"/>
  <c r="CD17" i="35"/>
  <c r="CA17" i="35"/>
  <c r="BX17" i="35"/>
  <c r="BU17" i="35"/>
  <c r="BR17" i="35"/>
  <c r="BO17" i="35"/>
  <c r="BL17" i="35"/>
  <c r="BI17" i="35"/>
  <c r="BF17" i="35"/>
  <c r="BC17" i="35"/>
  <c r="AZ17" i="35"/>
  <c r="AW17" i="35"/>
  <c r="AT17" i="35"/>
  <c r="AQ17" i="35"/>
  <c r="AN17" i="35"/>
  <c r="AK17" i="35"/>
  <c r="AB17" i="35"/>
  <c r="Y17" i="35"/>
  <c r="EH17" i="35" s="1"/>
  <c r="V17" i="35"/>
  <c r="S17" i="35"/>
  <c r="P17" i="35"/>
  <c r="M17" i="35"/>
  <c r="J17" i="35"/>
  <c r="G17" i="35"/>
  <c r="D17" i="35"/>
  <c r="EL16" i="35"/>
  <c r="EK16" i="35"/>
  <c r="EN16" i="35" s="1"/>
  <c r="EI16" i="35"/>
  <c r="EG16" i="35"/>
  <c r="EB16" i="35"/>
  <c r="EE16" i="35" s="1"/>
  <c r="DW16" i="35"/>
  <c r="DT16" i="35"/>
  <c r="EM16" i="35" s="1"/>
  <c r="DQ16" i="35"/>
  <c r="DN16" i="35"/>
  <c r="DK16" i="35"/>
  <c r="DH16" i="35"/>
  <c r="DE16" i="35"/>
  <c r="DB16" i="35"/>
  <c r="CY16" i="35"/>
  <c r="CV16" i="35"/>
  <c r="CS16" i="35"/>
  <c r="CP16" i="35"/>
  <c r="CM16" i="35"/>
  <c r="CJ16" i="35"/>
  <c r="CG16" i="35"/>
  <c r="CD16" i="35"/>
  <c r="CA16" i="35"/>
  <c r="BX16" i="35"/>
  <c r="BU16" i="35"/>
  <c r="BR16" i="35"/>
  <c r="BO16" i="35"/>
  <c r="BL16" i="35"/>
  <c r="BI16" i="35"/>
  <c r="BF16" i="35"/>
  <c r="BC16" i="35"/>
  <c r="AZ16" i="35"/>
  <c r="AW16" i="35"/>
  <c r="AT16" i="35"/>
  <c r="AQ16" i="35"/>
  <c r="AN16" i="35"/>
  <c r="AK16" i="35"/>
  <c r="AB16" i="35"/>
  <c r="Y16" i="35"/>
  <c r="V16" i="35"/>
  <c r="S16" i="35"/>
  <c r="EH16" i="35" s="1"/>
  <c r="P16" i="35"/>
  <c r="M16" i="35"/>
  <c r="J16" i="35"/>
  <c r="G16" i="35"/>
  <c r="D16" i="35"/>
  <c r="ED16" i="35" s="1"/>
  <c r="EN15" i="35"/>
  <c r="EL15" i="35"/>
  <c r="EK15" i="35"/>
  <c r="EI15" i="35"/>
  <c r="EG15" i="35"/>
  <c r="EC15" i="35"/>
  <c r="EB15" i="35"/>
  <c r="EE15" i="35" s="1"/>
  <c r="DW15" i="35"/>
  <c r="DT15" i="35"/>
  <c r="EM15" i="35" s="1"/>
  <c r="DQ15" i="35"/>
  <c r="DN15" i="35"/>
  <c r="DK15" i="35"/>
  <c r="DH15" i="35"/>
  <c r="DE15" i="35"/>
  <c r="DB15" i="35"/>
  <c r="CY15" i="35"/>
  <c r="CV15" i="35"/>
  <c r="CS15" i="35"/>
  <c r="CP15" i="35"/>
  <c r="CM15" i="35"/>
  <c r="CJ15" i="35"/>
  <c r="CG15" i="35"/>
  <c r="CD15" i="35"/>
  <c r="CA15" i="35"/>
  <c r="BX15" i="35"/>
  <c r="BU15" i="35"/>
  <c r="BR15" i="35"/>
  <c r="BO15" i="35"/>
  <c r="BL15" i="35"/>
  <c r="BI15" i="35"/>
  <c r="BF15" i="35"/>
  <c r="BC15" i="35"/>
  <c r="AZ15" i="35"/>
  <c r="AW15" i="35"/>
  <c r="AT15" i="35"/>
  <c r="AQ15" i="35"/>
  <c r="AN15" i="35"/>
  <c r="AK15" i="35"/>
  <c r="AB15" i="35"/>
  <c r="Y15" i="35"/>
  <c r="V15" i="35"/>
  <c r="EH15" i="35" s="1"/>
  <c r="S15" i="35"/>
  <c r="P15" i="35"/>
  <c r="M15" i="35"/>
  <c r="J15" i="35"/>
  <c r="G15" i="35"/>
  <c r="D15" i="35"/>
  <c r="ED15" i="35" s="1"/>
  <c r="EN14" i="35"/>
  <c r="EL14" i="35"/>
  <c r="EK14" i="35"/>
  <c r="EG14" i="35"/>
  <c r="EI14" i="35" s="1"/>
  <c r="EB14" i="35"/>
  <c r="EE14" i="35" s="1"/>
  <c r="DW14" i="35"/>
  <c r="DT14" i="35"/>
  <c r="EM14" i="35" s="1"/>
  <c r="DQ14" i="35"/>
  <c r="DN14" i="35"/>
  <c r="DK14" i="35"/>
  <c r="DH14" i="35"/>
  <c r="DE14" i="35"/>
  <c r="DB14" i="35"/>
  <c r="CY14" i="35"/>
  <c r="CV14" i="35"/>
  <c r="CS14" i="35"/>
  <c r="CP14" i="35"/>
  <c r="CM14" i="35"/>
  <c r="CJ14" i="35"/>
  <c r="CG14" i="35"/>
  <c r="CD14" i="35"/>
  <c r="CA14" i="35"/>
  <c r="BX14" i="35"/>
  <c r="BU14" i="35"/>
  <c r="BR14" i="35"/>
  <c r="BO14" i="35"/>
  <c r="BL14" i="35"/>
  <c r="BI14" i="35"/>
  <c r="BF14" i="35"/>
  <c r="BC14" i="35"/>
  <c r="AZ14" i="35"/>
  <c r="AW14" i="35"/>
  <c r="AT14" i="35"/>
  <c r="AQ14" i="35"/>
  <c r="AN14" i="35"/>
  <c r="AK14" i="35"/>
  <c r="AB14" i="35"/>
  <c r="Y14" i="35"/>
  <c r="V14" i="35"/>
  <c r="S14" i="35"/>
  <c r="EH14" i="35" s="1"/>
  <c r="P14" i="35"/>
  <c r="M14" i="35"/>
  <c r="J14" i="35"/>
  <c r="ED14" i="35" s="1"/>
  <c r="G14" i="35"/>
  <c r="D14" i="35"/>
  <c r="EN13" i="35"/>
  <c r="EL13" i="35"/>
  <c r="EK13" i="35"/>
  <c r="EI13" i="35"/>
  <c r="EG13" i="35"/>
  <c r="EB13" i="35"/>
  <c r="EC13" i="35" s="1"/>
  <c r="DW13" i="35"/>
  <c r="DT13" i="35"/>
  <c r="EM13" i="35" s="1"/>
  <c r="DQ13" i="35"/>
  <c r="DN13" i="35"/>
  <c r="DK13" i="35"/>
  <c r="DH13" i="35"/>
  <c r="DE13" i="35"/>
  <c r="DB13" i="35"/>
  <c r="CY13" i="35"/>
  <c r="CV13" i="35"/>
  <c r="CS13" i="35"/>
  <c r="CP13" i="35"/>
  <c r="CM13" i="35"/>
  <c r="CJ13" i="35"/>
  <c r="CG13" i="35"/>
  <c r="CD13" i="35"/>
  <c r="CA13" i="35"/>
  <c r="BX13" i="35"/>
  <c r="BU13" i="35"/>
  <c r="BR13" i="35"/>
  <c r="BO13" i="35"/>
  <c r="BL13" i="35"/>
  <c r="BI13" i="35"/>
  <c r="BF13" i="35"/>
  <c r="BC13" i="35"/>
  <c r="AZ13" i="35"/>
  <c r="AW13" i="35"/>
  <c r="AT13" i="35"/>
  <c r="AQ13" i="35"/>
  <c r="AN13" i="35"/>
  <c r="AK13" i="35"/>
  <c r="AB13" i="35"/>
  <c r="Y13" i="35"/>
  <c r="EH13" i="35" s="1"/>
  <c r="V13" i="35"/>
  <c r="S13" i="35"/>
  <c r="P13" i="35"/>
  <c r="ED13" i="35" s="1"/>
  <c r="M13" i="35"/>
  <c r="J13" i="35"/>
  <c r="G13" i="35"/>
  <c r="D13" i="35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EL12" i="35"/>
  <c r="EK12" i="35"/>
  <c r="EN5" i="35" s="1"/>
  <c r="EI12" i="35"/>
  <c r="EG12" i="35"/>
  <c r="EB12" i="35"/>
  <c r="EE12" i="35" s="1"/>
  <c r="DW12" i="35"/>
  <c r="DT12" i="35"/>
  <c r="EM12" i="35" s="1"/>
  <c r="DQ12" i="35"/>
  <c r="DN12" i="35"/>
  <c r="DK12" i="35"/>
  <c r="DH12" i="35"/>
  <c r="DE12" i="35"/>
  <c r="DB12" i="35"/>
  <c r="CY12" i="35"/>
  <c r="CV12" i="35"/>
  <c r="CS12" i="35"/>
  <c r="CP12" i="35"/>
  <c r="CM12" i="35"/>
  <c r="CJ12" i="35"/>
  <c r="CG12" i="35"/>
  <c r="CD12" i="35"/>
  <c r="CA12" i="35"/>
  <c r="BX12" i="35"/>
  <c r="BU12" i="35"/>
  <c r="BR12" i="35"/>
  <c r="BO12" i="35"/>
  <c r="BL12" i="35"/>
  <c r="BI12" i="35"/>
  <c r="BF12" i="35"/>
  <c r="BC12" i="35"/>
  <c r="AZ12" i="35"/>
  <c r="AW12" i="35"/>
  <c r="AT12" i="35"/>
  <c r="AQ12" i="35"/>
  <c r="AN12" i="35"/>
  <c r="AK12" i="35"/>
  <c r="AB12" i="35"/>
  <c r="Y12" i="35"/>
  <c r="V12" i="35"/>
  <c r="S12" i="35"/>
  <c r="EH12" i="35" s="1"/>
  <c r="P12" i="35"/>
  <c r="M12" i="35"/>
  <c r="J12" i="35"/>
  <c r="G12" i="35"/>
  <c r="D12" i="35"/>
  <c r="ED12" i="35" s="1"/>
  <c r="A12" i="35"/>
  <c r="EN11" i="35"/>
  <c r="EL11" i="35"/>
  <c r="EK11" i="35"/>
  <c r="EI11" i="35"/>
  <c r="EG11" i="35"/>
  <c r="EI5" i="35" s="1"/>
  <c r="EC11" i="35"/>
  <c r="EB11" i="35"/>
  <c r="EE11" i="35" s="1"/>
  <c r="DW11" i="35"/>
  <c r="DW41" i="35" s="1"/>
  <c r="DT11" i="35"/>
  <c r="DT41" i="35" s="1"/>
  <c r="DQ11" i="35"/>
  <c r="DQ41" i="35" s="1"/>
  <c r="DN11" i="35"/>
  <c r="DN41" i="35" s="1"/>
  <c r="DK11" i="35"/>
  <c r="DH11" i="35"/>
  <c r="DH41" i="35" s="1"/>
  <c r="DE11" i="35"/>
  <c r="DE41" i="35" s="1"/>
  <c r="DB11" i="35"/>
  <c r="DB41" i="35" s="1"/>
  <c r="CY11" i="35"/>
  <c r="CY41" i="35" s="1"/>
  <c r="CV11" i="35"/>
  <c r="CV41" i="35" s="1"/>
  <c r="CS11" i="35"/>
  <c r="CS41" i="35" s="1"/>
  <c r="CP11" i="35"/>
  <c r="CP41" i="35" s="1"/>
  <c r="CM11" i="35"/>
  <c r="CJ11" i="35"/>
  <c r="CJ41" i="35" s="1"/>
  <c r="CG11" i="35"/>
  <c r="CG41" i="35" s="1"/>
  <c r="CD11" i="35"/>
  <c r="CD41" i="35" s="1"/>
  <c r="CA11" i="35"/>
  <c r="CA41" i="35" s="1"/>
  <c r="BX11" i="35"/>
  <c r="BX41" i="35" s="1"/>
  <c r="BU11" i="35"/>
  <c r="BU41" i="35" s="1"/>
  <c r="BR11" i="35"/>
  <c r="BR41" i="35" s="1"/>
  <c r="BO11" i="35"/>
  <c r="BL11" i="35"/>
  <c r="BL41" i="35" s="1"/>
  <c r="BI11" i="35"/>
  <c r="BI41" i="35" s="1"/>
  <c r="BF11" i="35"/>
  <c r="BF41" i="35" s="1"/>
  <c r="BC11" i="35"/>
  <c r="BC41" i="35" s="1"/>
  <c r="AZ11" i="35"/>
  <c r="AZ41" i="35" s="1"/>
  <c r="AW11" i="35"/>
  <c r="AW41" i="35" s="1"/>
  <c r="AT11" i="35"/>
  <c r="AT41" i="35" s="1"/>
  <c r="AQ11" i="35"/>
  <c r="AN11" i="35"/>
  <c r="AN41" i="35" s="1"/>
  <c r="AK11" i="35"/>
  <c r="AK41" i="35" s="1"/>
  <c r="AH41" i="35"/>
  <c r="AE41" i="35"/>
  <c r="AB11" i="35"/>
  <c r="AB41" i="35" s="1"/>
  <c r="Y11" i="35"/>
  <c r="Y41" i="35" s="1"/>
  <c r="V11" i="35"/>
  <c r="EH11" i="35" s="1"/>
  <c r="S11" i="35"/>
  <c r="P11" i="35"/>
  <c r="P41" i="35" s="1"/>
  <c r="M11" i="35"/>
  <c r="M41" i="35" s="1"/>
  <c r="J11" i="35"/>
  <c r="J41" i="35" s="1"/>
  <c r="G11" i="35"/>
  <c r="G41" i="35" s="1"/>
  <c r="D11" i="35"/>
  <c r="ED11" i="35" s="1"/>
  <c r="EN2" i="35"/>
  <c r="EP2" i="35" s="1"/>
  <c r="EI2" i="35"/>
  <c r="EE2" i="35"/>
  <c r="EQ2" i="35" s="1"/>
  <c r="G4" i="35" s="1"/>
  <c r="EE31" i="35" l="1"/>
  <c r="EE30" i="35"/>
  <c r="EE32" i="35"/>
  <c r="EH41" i="35"/>
  <c r="EE27" i="35"/>
  <c r="ED41" i="35"/>
  <c r="EE26" i="35"/>
  <c r="EE28" i="35"/>
  <c r="EE38" i="35"/>
  <c r="EC12" i="35"/>
  <c r="EE13" i="35"/>
  <c r="EC16" i="35"/>
  <c r="EE17" i="35"/>
  <c r="EC20" i="35"/>
  <c r="EE21" i="35"/>
  <c r="EC24" i="35"/>
  <c r="EE25" i="35"/>
  <c r="EC28" i="35"/>
  <c r="EE29" i="35"/>
  <c r="EC32" i="35"/>
  <c r="EE33" i="35"/>
  <c r="EC36" i="35"/>
  <c r="EE37" i="35"/>
  <c r="EC40" i="35"/>
  <c r="V41" i="35"/>
  <c r="EN12" i="35"/>
  <c r="EE3" i="35"/>
  <c r="EE5" i="35"/>
  <c r="G7" i="35" s="1"/>
  <c r="EM11" i="35"/>
  <c r="EM41" i="35" s="1"/>
  <c r="D41" i="35"/>
  <c r="EI3" i="35"/>
  <c r="EI4" i="35" s="1"/>
  <c r="EN3" i="35"/>
  <c r="EC14" i="35"/>
  <c r="EC18" i="35"/>
  <c r="EC22" i="35"/>
  <c r="EC26" i="35"/>
  <c r="EC30" i="35"/>
  <c r="EC34" i="35"/>
  <c r="EC38" i="35"/>
  <c r="EN4" i="35" l="1"/>
  <c r="EE4" i="35"/>
  <c r="G6" i="35" s="1"/>
  <c r="G5" i="35"/>
  <c r="DW42" i="34" l="1"/>
  <c r="CY42" i="34"/>
  <c r="CA42" i="34"/>
  <c r="BC42" i="34"/>
  <c r="AE42" i="34"/>
  <c r="G42" i="34"/>
  <c r="EN41" i="34"/>
  <c r="EL41" i="34"/>
  <c r="EK41" i="34"/>
  <c r="EG41" i="34"/>
  <c r="EI41" i="34" s="1"/>
  <c r="EE41" i="34"/>
  <c r="EB41" i="34"/>
  <c r="EC41" i="34" s="1"/>
  <c r="DW41" i="34"/>
  <c r="DT41" i="34"/>
  <c r="EM41" i="34" s="1"/>
  <c r="DQ41" i="34"/>
  <c r="DN41" i="34"/>
  <c r="DK41" i="34"/>
  <c r="DH41" i="34"/>
  <c r="DE41" i="34"/>
  <c r="DB41" i="34"/>
  <c r="CY41" i="34"/>
  <c r="CV41" i="34"/>
  <c r="CS41" i="34"/>
  <c r="CP41" i="34"/>
  <c r="CM41" i="34"/>
  <c r="CJ41" i="34"/>
  <c r="CG41" i="34"/>
  <c r="CD41" i="34"/>
  <c r="CA41" i="34"/>
  <c r="BX41" i="34"/>
  <c r="BU41" i="34"/>
  <c r="BR41" i="34"/>
  <c r="BO41" i="34"/>
  <c r="BL41" i="34"/>
  <c r="BI41" i="34"/>
  <c r="BF41" i="34"/>
  <c r="BC41" i="34"/>
  <c r="AZ41" i="34"/>
  <c r="AW41" i="34"/>
  <c r="AT41" i="34"/>
  <c r="AQ41" i="34"/>
  <c r="AN41" i="34"/>
  <c r="AK41" i="34"/>
  <c r="AB41" i="34"/>
  <c r="Y41" i="34"/>
  <c r="V41" i="34"/>
  <c r="EH41" i="34" s="1"/>
  <c r="S41" i="34"/>
  <c r="P41" i="34"/>
  <c r="M41" i="34"/>
  <c r="J41" i="34"/>
  <c r="G41" i="34"/>
  <c r="D41" i="34"/>
  <c r="ED41" i="34" s="1"/>
  <c r="EN40" i="34"/>
  <c r="EL40" i="34"/>
  <c r="EK40" i="34"/>
  <c r="EG40" i="34"/>
  <c r="EI40" i="34" s="1"/>
  <c r="EE40" i="34"/>
  <c r="EB40" i="34"/>
  <c r="EC40" i="34" s="1"/>
  <c r="DW40" i="34"/>
  <c r="DT40" i="34"/>
  <c r="DQ40" i="34"/>
  <c r="DN40" i="34"/>
  <c r="EM40" i="34" s="1"/>
  <c r="DK40" i="34"/>
  <c r="DH40" i="34"/>
  <c r="DE40" i="34"/>
  <c r="DB40" i="34"/>
  <c r="CY40" i="34"/>
  <c r="CV40" i="34"/>
  <c r="CS40" i="34"/>
  <c r="CP40" i="34"/>
  <c r="CM40" i="34"/>
  <c r="CJ40" i="34"/>
  <c r="CG40" i="34"/>
  <c r="CD40" i="34"/>
  <c r="CA40" i="34"/>
  <c r="BX40" i="34"/>
  <c r="BU40" i="34"/>
  <c r="BR40" i="34"/>
  <c r="BO40" i="34"/>
  <c r="BL40" i="34"/>
  <c r="BI40" i="34"/>
  <c r="BF40" i="34"/>
  <c r="BC40" i="34"/>
  <c r="AZ40" i="34"/>
  <c r="AW40" i="34"/>
  <c r="AT40" i="34"/>
  <c r="AQ40" i="34"/>
  <c r="AN40" i="34"/>
  <c r="AK40" i="34"/>
  <c r="AB40" i="34"/>
  <c r="Y40" i="34"/>
  <c r="V40" i="34"/>
  <c r="S40" i="34"/>
  <c r="EH40" i="34" s="1"/>
  <c r="P40" i="34"/>
  <c r="ED40" i="34" s="1"/>
  <c r="M40" i="34"/>
  <c r="J40" i="34"/>
  <c r="G40" i="34"/>
  <c r="D40" i="34"/>
  <c r="EN39" i="34"/>
  <c r="EL39" i="34"/>
  <c r="EK39" i="34"/>
  <c r="EI39" i="34"/>
  <c r="EG39" i="34"/>
  <c r="EB39" i="34"/>
  <c r="EE39" i="34" s="1"/>
  <c r="DW39" i="34"/>
  <c r="DT39" i="34"/>
  <c r="DQ39" i="34"/>
  <c r="DN39" i="34"/>
  <c r="DK39" i="34"/>
  <c r="DH39" i="34"/>
  <c r="DE39" i="34"/>
  <c r="EM39" i="34" s="1"/>
  <c r="DB39" i="34"/>
  <c r="CY39" i="34"/>
  <c r="CV39" i="34"/>
  <c r="CS39" i="34"/>
  <c r="CP39" i="34"/>
  <c r="CM39" i="34"/>
  <c r="CJ39" i="34"/>
  <c r="CG39" i="34"/>
  <c r="CD39" i="34"/>
  <c r="CA39" i="34"/>
  <c r="BX39" i="34"/>
  <c r="BU39" i="34"/>
  <c r="BR39" i="34"/>
  <c r="BO39" i="34"/>
  <c r="BL39" i="34"/>
  <c r="BI39" i="34"/>
  <c r="BF39" i="34"/>
  <c r="BC39" i="34"/>
  <c r="AZ39" i="34"/>
  <c r="AW39" i="34"/>
  <c r="AT39" i="34"/>
  <c r="AQ39" i="34"/>
  <c r="AN39" i="34"/>
  <c r="AK39" i="34"/>
  <c r="AB39" i="34"/>
  <c r="Y39" i="34"/>
  <c r="V39" i="34"/>
  <c r="S39" i="34"/>
  <c r="EH39" i="34" s="1"/>
  <c r="P39" i="34"/>
  <c r="M39" i="34"/>
  <c r="J39" i="34"/>
  <c r="G39" i="34"/>
  <c r="D39" i="34"/>
  <c r="ED39" i="34" s="1"/>
  <c r="EL38" i="34"/>
  <c r="EK38" i="34"/>
  <c r="EN38" i="34" s="1"/>
  <c r="EI38" i="34"/>
  <c r="EG38" i="34"/>
  <c r="EB38" i="34"/>
  <c r="EC38" i="34" s="1"/>
  <c r="DW38" i="34"/>
  <c r="DT38" i="34"/>
  <c r="EM38" i="34" s="1"/>
  <c r="DQ38" i="34"/>
  <c r="DN38" i="34"/>
  <c r="DK38" i="34"/>
  <c r="DH38" i="34"/>
  <c r="DE38" i="34"/>
  <c r="DB38" i="34"/>
  <c r="CY38" i="34"/>
  <c r="CV38" i="34"/>
  <c r="CS38" i="34"/>
  <c r="CP38" i="34"/>
  <c r="CM38" i="34"/>
  <c r="CJ38" i="34"/>
  <c r="CG38" i="34"/>
  <c r="CD38" i="34"/>
  <c r="CA38" i="34"/>
  <c r="BX38" i="34"/>
  <c r="BU38" i="34"/>
  <c r="BR38" i="34"/>
  <c r="BO38" i="34"/>
  <c r="BL38" i="34"/>
  <c r="BI38" i="34"/>
  <c r="BF38" i="34"/>
  <c r="BC38" i="34"/>
  <c r="AZ38" i="34"/>
  <c r="AW38" i="34"/>
  <c r="AT38" i="34"/>
  <c r="AQ38" i="34"/>
  <c r="AN38" i="34"/>
  <c r="AK38" i="34"/>
  <c r="AB38" i="34"/>
  <c r="Y38" i="34"/>
  <c r="V38" i="34"/>
  <c r="EH38" i="34" s="1"/>
  <c r="S38" i="34"/>
  <c r="P38" i="34"/>
  <c r="M38" i="34"/>
  <c r="J38" i="34"/>
  <c r="G38" i="34"/>
  <c r="D38" i="34"/>
  <c r="ED38" i="34" s="1"/>
  <c r="EN37" i="34"/>
  <c r="EL37" i="34"/>
  <c r="EK37" i="34"/>
  <c r="EG37" i="34"/>
  <c r="EI37" i="34" s="1"/>
  <c r="EE37" i="34"/>
  <c r="EB37" i="34"/>
  <c r="EC37" i="34" s="1"/>
  <c r="DW37" i="34"/>
  <c r="DT37" i="34"/>
  <c r="EM37" i="34" s="1"/>
  <c r="DQ37" i="34"/>
  <c r="DN37" i="34"/>
  <c r="DK37" i="34"/>
  <c r="DH37" i="34"/>
  <c r="DE37" i="34"/>
  <c r="DB37" i="34"/>
  <c r="CY37" i="34"/>
  <c r="CV37" i="34"/>
  <c r="CS37" i="34"/>
  <c r="CP37" i="34"/>
  <c r="CM37" i="34"/>
  <c r="CJ37" i="34"/>
  <c r="CG37" i="34"/>
  <c r="CD37" i="34"/>
  <c r="CA37" i="34"/>
  <c r="BX37" i="34"/>
  <c r="BU37" i="34"/>
  <c r="BR37" i="34"/>
  <c r="BO37" i="34"/>
  <c r="BL37" i="34"/>
  <c r="BI37" i="34"/>
  <c r="BF37" i="34"/>
  <c r="BC37" i="34"/>
  <c r="AZ37" i="34"/>
  <c r="AW37" i="34"/>
  <c r="AT37" i="34"/>
  <c r="AQ37" i="34"/>
  <c r="AN37" i="34"/>
  <c r="AK37" i="34"/>
  <c r="AB37" i="34"/>
  <c r="Y37" i="34"/>
  <c r="V37" i="34"/>
  <c r="EH37" i="34" s="1"/>
  <c r="S37" i="34"/>
  <c r="P37" i="34"/>
  <c r="M37" i="34"/>
  <c r="J37" i="34"/>
  <c r="G37" i="34"/>
  <c r="D37" i="34"/>
  <c r="ED37" i="34" s="1"/>
  <c r="EN36" i="34"/>
  <c r="EL36" i="34"/>
  <c r="EK36" i="34"/>
  <c r="EG36" i="34"/>
  <c r="EI36" i="34" s="1"/>
  <c r="EE36" i="34"/>
  <c r="EB36" i="34"/>
  <c r="EC36" i="34" s="1"/>
  <c r="DW36" i="34"/>
  <c r="DT36" i="34"/>
  <c r="DQ36" i="34"/>
  <c r="DN36" i="34"/>
  <c r="EM36" i="34" s="1"/>
  <c r="DK36" i="34"/>
  <c r="DH36" i="34"/>
  <c r="DE36" i="34"/>
  <c r="DB36" i="34"/>
  <c r="CY36" i="34"/>
  <c r="CV36" i="34"/>
  <c r="CS36" i="34"/>
  <c r="CP36" i="34"/>
  <c r="CM36" i="34"/>
  <c r="CJ36" i="34"/>
  <c r="CG36" i="34"/>
  <c r="CD36" i="34"/>
  <c r="CA36" i="34"/>
  <c r="BX36" i="34"/>
  <c r="BU36" i="34"/>
  <c r="BR36" i="34"/>
  <c r="BO36" i="34"/>
  <c r="BL36" i="34"/>
  <c r="BI36" i="34"/>
  <c r="BF36" i="34"/>
  <c r="BC36" i="34"/>
  <c r="AZ36" i="34"/>
  <c r="AW36" i="34"/>
  <c r="AT36" i="34"/>
  <c r="AQ36" i="34"/>
  <c r="AN36" i="34"/>
  <c r="AK36" i="34"/>
  <c r="AB36" i="34"/>
  <c r="Y36" i="34"/>
  <c r="V36" i="34"/>
  <c r="S36" i="34"/>
  <c r="EH36" i="34" s="1"/>
  <c r="P36" i="34"/>
  <c r="ED36" i="34" s="1"/>
  <c r="M36" i="34"/>
  <c r="J36" i="34"/>
  <c r="G36" i="34"/>
  <c r="D36" i="34"/>
  <c r="EN35" i="34"/>
  <c r="EL35" i="34"/>
  <c r="EK35" i="34"/>
  <c r="EI35" i="34"/>
  <c r="EG35" i="34"/>
  <c r="EB35" i="34"/>
  <c r="EE35" i="34" s="1"/>
  <c r="DW35" i="34"/>
  <c r="DT35" i="34"/>
  <c r="DQ35" i="34"/>
  <c r="DN35" i="34"/>
  <c r="DK35" i="34"/>
  <c r="DH35" i="34"/>
  <c r="DE35" i="34"/>
  <c r="EM35" i="34" s="1"/>
  <c r="DB35" i="34"/>
  <c r="CY35" i="34"/>
  <c r="CV35" i="34"/>
  <c r="CS35" i="34"/>
  <c r="CP35" i="34"/>
  <c r="CM35" i="34"/>
  <c r="CJ35" i="34"/>
  <c r="CG35" i="34"/>
  <c r="CD35" i="34"/>
  <c r="CA35" i="34"/>
  <c r="BX35" i="34"/>
  <c r="BU35" i="34"/>
  <c r="BR35" i="34"/>
  <c r="BO35" i="34"/>
  <c r="BL35" i="34"/>
  <c r="BI35" i="34"/>
  <c r="BF35" i="34"/>
  <c r="BC35" i="34"/>
  <c r="AZ35" i="34"/>
  <c r="AW35" i="34"/>
  <c r="AT35" i="34"/>
  <c r="AQ35" i="34"/>
  <c r="AN35" i="34"/>
  <c r="AK35" i="34"/>
  <c r="AB35" i="34"/>
  <c r="Y35" i="34"/>
  <c r="V35" i="34"/>
  <c r="S35" i="34"/>
  <c r="EH35" i="34" s="1"/>
  <c r="P35" i="34"/>
  <c r="M35" i="34"/>
  <c r="J35" i="34"/>
  <c r="G35" i="34"/>
  <c r="D35" i="34"/>
  <c r="ED35" i="34" s="1"/>
  <c r="EL34" i="34"/>
  <c r="EK34" i="34"/>
  <c r="EN34" i="34" s="1"/>
  <c r="EI34" i="34"/>
  <c r="EG34" i="34"/>
  <c r="EB34" i="34"/>
  <c r="EC34" i="34" s="1"/>
  <c r="DW34" i="34"/>
  <c r="DT34" i="34"/>
  <c r="EM34" i="34" s="1"/>
  <c r="DQ34" i="34"/>
  <c r="DN34" i="34"/>
  <c r="DK34" i="34"/>
  <c r="DH34" i="34"/>
  <c r="DE34" i="34"/>
  <c r="DB34" i="34"/>
  <c r="CY34" i="34"/>
  <c r="CV34" i="34"/>
  <c r="CS34" i="34"/>
  <c r="CP34" i="34"/>
  <c r="CM34" i="34"/>
  <c r="CJ34" i="34"/>
  <c r="CG34" i="34"/>
  <c r="CD34" i="34"/>
  <c r="CA34" i="34"/>
  <c r="BX34" i="34"/>
  <c r="BU34" i="34"/>
  <c r="BR34" i="34"/>
  <c r="BO34" i="34"/>
  <c r="BL34" i="34"/>
  <c r="BI34" i="34"/>
  <c r="BF34" i="34"/>
  <c r="BC34" i="34"/>
  <c r="AZ34" i="34"/>
  <c r="AW34" i="34"/>
  <c r="AT34" i="34"/>
  <c r="AQ34" i="34"/>
  <c r="AN34" i="34"/>
  <c r="AK34" i="34"/>
  <c r="AB34" i="34"/>
  <c r="Y34" i="34"/>
  <c r="V34" i="34"/>
  <c r="EH34" i="34" s="1"/>
  <c r="S34" i="34"/>
  <c r="P34" i="34"/>
  <c r="M34" i="34"/>
  <c r="J34" i="34"/>
  <c r="G34" i="34"/>
  <c r="D34" i="34"/>
  <c r="ED34" i="34" s="1"/>
  <c r="EN33" i="34"/>
  <c r="EL33" i="34"/>
  <c r="EK33" i="34"/>
  <c r="EG33" i="34"/>
  <c r="EI33" i="34" s="1"/>
  <c r="EB33" i="34"/>
  <c r="EC33" i="34" s="1"/>
  <c r="DW33" i="34"/>
  <c r="DT33" i="34"/>
  <c r="EM33" i="34" s="1"/>
  <c r="DQ33" i="34"/>
  <c r="DN33" i="34"/>
  <c r="DK33" i="34"/>
  <c r="DH33" i="34"/>
  <c r="DE33" i="34"/>
  <c r="DB33" i="34"/>
  <c r="CY33" i="34"/>
  <c r="CV33" i="34"/>
  <c r="CS33" i="34"/>
  <c r="CP33" i="34"/>
  <c r="CM33" i="34"/>
  <c r="CJ33" i="34"/>
  <c r="CG33" i="34"/>
  <c r="CD33" i="34"/>
  <c r="CA33" i="34"/>
  <c r="BX33" i="34"/>
  <c r="BU33" i="34"/>
  <c r="BR33" i="34"/>
  <c r="BO33" i="34"/>
  <c r="BL33" i="34"/>
  <c r="BI33" i="34"/>
  <c r="BF33" i="34"/>
  <c r="BC33" i="34"/>
  <c r="AZ33" i="34"/>
  <c r="AW33" i="34"/>
  <c r="AT33" i="34"/>
  <c r="AQ33" i="34"/>
  <c r="AN33" i="34"/>
  <c r="AK33" i="34"/>
  <c r="AB33" i="34"/>
  <c r="Y33" i="34"/>
  <c r="V33" i="34"/>
  <c r="EH33" i="34" s="1"/>
  <c r="S33" i="34"/>
  <c r="P33" i="34"/>
  <c r="M33" i="34"/>
  <c r="J33" i="34"/>
  <c r="G33" i="34"/>
  <c r="D33" i="34"/>
  <c r="ED33" i="34" s="1"/>
  <c r="EE33" i="34" s="1"/>
  <c r="EN32" i="34"/>
  <c r="EL32" i="34"/>
  <c r="EK32" i="34"/>
  <c r="EG32" i="34"/>
  <c r="EI32" i="34" s="1"/>
  <c r="EB32" i="34"/>
  <c r="EC32" i="34" s="1"/>
  <c r="DW32" i="34"/>
  <c r="DT32" i="34"/>
  <c r="DQ32" i="34"/>
  <c r="DN32" i="34"/>
  <c r="EM32" i="34" s="1"/>
  <c r="DK32" i="34"/>
  <c r="DH32" i="34"/>
  <c r="DE32" i="34"/>
  <c r="DB32" i="34"/>
  <c r="CY32" i="34"/>
  <c r="CV32" i="34"/>
  <c r="CS32" i="34"/>
  <c r="CP32" i="34"/>
  <c r="CM32" i="34"/>
  <c r="CJ32" i="34"/>
  <c r="CG32" i="34"/>
  <c r="CD32" i="34"/>
  <c r="CA32" i="34"/>
  <c r="BX32" i="34"/>
  <c r="BU32" i="34"/>
  <c r="BR32" i="34"/>
  <c r="BO32" i="34"/>
  <c r="BL32" i="34"/>
  <c r="BI32" i="34"/>
  <c r="BF32" i="34"/>
  <c r="BC32" i="34"/>
  <c r="AZ32" i="34"/>
  <c r="AW32" i="34"/>
  <c r="AT32" i="34"/>
  <c r="AQ32" i="34"/>
  <c r="AN32" i="34"/>
  <c r="AK32" i="34"/>
  <c r="AB32" i="34"/>
  <c r="Y32" i="34"/>
  <c r="V32" i="34"/>
  <c r="S32" i="34"/>
  <c r="EH32" i="34" s="1"/>
  <c r="P32" i="34"/>
  <c r="ED32" i="34" s="1"/>
  <c r="EE32" i="34" s="1"/>
  <c r="M32" i="34"/>
  <c r="J32" i="34"/>
  <c r="G32" i="34"/>
  <c r="D32" i="34"/>
  <c r="EN31" i="34"/>
  <c r="EL31" i="34"/>
  <c r="EK31" i="34"/>
  <c r="EI31" i="34"/>
  <c r="EG31" i="34"/>
  <c r="EB31" i="34"/>
  <c r="EE31" i="34" s="1"/>
  <c r="DW31" i="34"/>
  <c r="DT31" i="34"/>
  <c r="DQ31" i="34"/>
  <c r="DN31" i="34"/>
  <c r="DK31" i="34"/>
  <c r="DH31" i="34"/>
  <c r="DE31" i="34"/>
  <c r="EM31" i="34" s="1"/>
  <c r="DB31" i="34"/>
  <c r="CY31" i="34"/>
  <c r="CV31" i="34"/>
  <c r="CS31" i="34"/>
  <c r="CP31" i="34"/>
  <c r="CM31" i="34"/>
  <c r="CJ31" i="34"/>
  <c r="CG31" i="34"/>
  <c r="CD31" i="34"/>
  <c r="CA31" i="34"/>
  <c r="BX31" i="34"/>
  <c r="BU31" i="34"/>
  <c r="BR31" i="34"/>
  <c r="BO31" i="34"/>
  <c r="BL31" i="34"/>
  <c r="BI31" i="34"/>
  <c r="BF31" i="34"/>
  <c r="BC31" i="34"/>
  <c r="AZ31" i="34"/>
  <c r="AW31" i="34"/>
  <c r="AT31" i="34"/>
  <c r="AQ31" i="34"/>
  <c r="AN31" i="34"/>
  <c r="AK31" i="34"/>
  <c r="AB31" i="34"/>
  <c r="Y31" i="34"/>
  <c r="V31" i="34"/>
  <c r="S31" i="34"/>
  <c r="EH31" i="34" s="1"/>
  <c r="P31" i="34"/>
  <c r="M31" i="34"/>
  <c r="J31" i="34"/>
  <c r="G31" i="34"/>
  <c r="D31" i="34"/>
  <c r="ED31" i="34" s="1"/>
  <c r="EL30" i="34"/>
  <c r="EK30" i="34"/>
  <c r="EN30" i="34" s="1"/>
  <c r="EI30" i="34"/>
  <c r="EG30" i="34"/>
  <c r="EB30" i="34"/>
  <c r="EC30" i="34" s="1"/>
  <c r="DW30" i="34"/>
  <c r="DT30" i="34"/>
  <c r="EM30" i="34" s="1"/>
  <c r="DQ30" i="34"/>
  <c r="DN30" i="34"/>
  <c r="DK30" i="34"/>
  <c r="DH30" i="34"/>
  <c r="DE30" i="34"/>
  <c r="DB30" i="34"/>
  <c r="CY30" i="34"/>
  <c r="CV30" i="34"/>
  <c r="CS30" i="34"/>
  <c r="CP30" i="34"/>
  <c r="CM30" i="34"/>
  <c r="CJ30" i="34"/>
  <c r="CG30" i="34"/>
  <c r="CD30" i="34"/>
  <c r="CA30" i="34"/>
  <c r="BX30" i="34"/>
  <c r="BU30" i="34"/>
  <c r="BR30" i="34"/>
  <c r="BO30" i="34"/>
  <c r="BL30" i="34"/>
  <c r="BI30" i="34"/>
  <c r="BF30" i="34"/>
  <c r="BC30" i="34"/>
  <c r="AZ30" i="34"/>
  <c r="AW30" i="34"/>
  <c r="AT30" i="34"/>
  <c r="AQ30" i="34"/>
  <c r="AN30" i="34"/>
  <c r="AK30" i="34"/>
  <c r="AB30" i="34"/>
  <c r="Y30" i="34"/>
  <c r="V30" i="34"/>
  <c r="EH30" i="34" s="1"/>
  <c r="S30" i="34"/>
  <c r="P30" i="34"/>
  <c r="M30" i="34"/>
  <c r="J30" i="34"/>
  <c r="G30" i="34"/>
  <c r="D30" i="34"/>
  <c r="ED30" i="34" s="1"/>
  <c r="EN29" i="34"/>
  <c r="EL29" i="34"/>
  <c r="EK29" i="34"/>
  <c r="EG29" i="34"/>
  <c r="EI29" i="34" s="1"/>
  <c r="EB29" i="34"/>
  <c r="EC29" i="34" s="1"/>
  <c r="DW29" i="34"/>
  <c r="DT29" i="34"/>
  <c r="EM29" i="34" s="1"/>
  <c r="DQ29" i="34"/>
  <c r="DN29" i="34"/>
  <c r="DK29" i="34"/>
  <c r="DH29" i="34"/>
  <c r="DE29" i="34"/>
  <c r="DB29" i="34"/>
  <c r="CY29" i="34"/>
  <c r="CV29" i="34"/>
  <c r="CS29" i="34"/>
  <c r="CP29" i="34"/>
  <c r="CM29" i="34"/>
  <c r="CJ29" i="34"/>
  <c r="CG29" i="34"/>
  <c r="CD29" i="34"/>
  <c r="CA29" i="34"/>
  <c r="BX29" i="34"/>
  <c r="BU29" i="34"/>
  <c r="BR29" i="34"/>
  <c r="BO29" i="34"/>
  <c r="BL29" i="34"/>
  <c r="BI29" i="34"/>
  <c r="BF29" i="34"/>
  <c r="BC29" i="34"/>
  <c r="AZ29" i="34"/>
  <c r="AW29" i="34"/>
  <c r="AT29" i="34"/>
  <c r="AQ29" i="34"/>
  <c r="AN29" i="34"/>
  <c r="AK29" i="34"/>
  <c r="AB29" i="34"/>
  <c r="Y29" i="34"/>
  <c r="V29" i="34"/>
  <c r="EH29" i="34" s="1"/>
  <c r="S29" i="34"/>
  <c r="P29" i="34"/>
  <c r="M29" i="34"/>
  <c r="J29" i="34"/>
  <c r="G29" i="34"/>
  <c r="D29" i="34"/>
  <c r="ED29" i="34" s="1"/>
  <c r="EE29" i="34" s="1"/>
  <c r="EN28" i="34"/>
  <c r="EL28" i="34"/>
  <c r="EK28" i="34"/>
  <c r="EG28" i="34"/>
  <c r="EI28" i="34" s="1"/>
  <c r="EB28" i="34"/>
  <c r="EC28" i="34" s="1"/>
  <c r="DW28" i="34"/>
  <c r="DT28" i="34"/>
  <c r="DQ28" i="34"/>
  <c r="DN28" i="34"/>
  <c r="EM28" i="34" s="1"/>
  <c r="DK28" i="34"/>
  <c r="DH28" i="34"/>
  <c r="DE28" i="34"/>
  <c r="DB28" i="34"/>
  <c r="CY28" i="34"/>
  <c r="CV28" i="34"/>
  <c r="CS28" i="34"/>
  <c r="CP28" i="34"/>
  <c r="CM28" i="34"/>
  <c r="CJ28" i="34"/>
  <c r="CG28" i="34"/>
  <c r="CD28" i="34"/>
  <c r="CA28" i="34"/>
  <c r="BX28" i="34"/>
  <c r="BU28" i="34"/>
  <c r="BR28" i="34"/>
  <c r="BO28" i="34"/>
  <c r="BL28" i="34"/>
  <c r="BI28" i="34"/>
  <c r="BF28" i="34"/>
  <c r="BC28" i="34"/>
  <c r="AZ28" i="34"/>
  <c r="AW28" i="34"/>
  <c r="AT28" i="34"/>
  <c r="AQ28" i="34"/>
  <c r="AN28" i="34"/>
  <c r="AK28" i="34"/>
  <c r="AB28" i="34"/>
  <c r="Y28" i="34"/>
  <c r="V28" i="34"/>
  <c r="S28" i="34"/>
  <c r="EH28" i="34" s="1"/>
  <c r="P28" i="34"/>
  <c r="ED28" i="34" s="1"/>
  <c r="EE28" i="34" s="1"/>
  <c r="M28" i="34"/>
  <c r="J28" i="34"/>
  <c r="G28" i="34"/>
  <c r="D28" i="34"/>
  <c r="EN27" i="34"/>
  <c r="EL27" i="34"/>
  <c r="EK27" i="34"/>
  <c r="EI27" i="34"/>
  <c r="EG27" i="34"/>
  <c r="EB27" i="34"/>
  <c r="EE27" i="34" s="1"/>
  <c r="DW27" i="34"/>
  <c r="DT27" i="34"/>
  <c r="DQ27" i="34"/>
  <c r="DN27" i="34"/>
  <c r="DK27" i="34"/>
  <c r="DH27" i="34"/>
  <c r="DE27" i="34"/>
  <c r="DB27" i="34"/>
  <c r="EM27" i="34" s="1"/>
  <c r="CY27" i="34"/>
  <c r="CV27" i="34"/>
  <c r="CS27" i="34"/>
  <c r="CP27" i="34"/>
  <c r="CM27" i="34"/>
  <c r="CJ27" i="34"/>
  <c r="CG27" i="34"/>
  <c r="CD27" i="34"/>
  <c r="CA27" i="34"/>
  <c r="BX27" i="34"/>
  <c r="BU27" i="34"/>
  <c r="BR27" i="34"/>
  <c r="BO27" i="34"/>
  <c r="BL27" i="34"/>
  <c r="BI27" i="34"/>
  <c r="BF27" i="34"/>
  <c r="BC27" i="34"/>
  <c r="AZ27" i="34"/>
  <c r="AW27" i="34"/>
  <c r="AT27" i="34"/>
  <c r="AQ27" i="34"/>
  <c r="AN27" i="34"/>
  <c r="AK27" i="34"/>
  <c r="AB27" i="34"/>
  <c r="Y27" i="34"/>
  <c r="V27" i="34"/>
  <c r="S27" i="34"/>
  <c r="EH27" i="34" s="1"/>
  <c r="P27" i="34"/>
  <c r="M27" i="34"/>
  <c r="J27" i="34"/>
  <c r="G27" i="34"/>
  <c r="D27" i="34"/>
  <c r="ED27" i="34" s="1"/>
  <c r="EL26" i="34"/>
  <c r="EK26" i="34"/>
  <c r="EI26" i="34"/>
  <c r="EG26" i="34"/>
  <c r="EB26" i="34"/>
  <c r="EC26" i="34" s="1"/>
  <c r="DW26" i="34"/>
  <c r="DT26" i="34"/>
  <c r="EM26" i="34" s="1"/>
  <c r="DQ26" i="34"/>
  <c r="DN26" i="34"/>
  <c r="DK26" i="34"/>
  <c r="DH26" i="34"/>
  <c r="DE26" i="34"/>
  <c r="DB26" i="34"/>
  <c r="CY26" i="34"/>
  <c r="CV26" i="34"/>
  <c r="CS26" i="34"/>
  <c r="CP26" i="34"/>
  <c r="CM26" i="34"/>
  <c r="CJ26" i="34"/>
  <c r="CG26" i="34"/>
  <c r="CD26" i="34"/>
  <c r="CA26" i="34"/>
  <c r="BX26" i="34"/>
  <c r="BU26" i="34"/>
  <c r="BR26" i="34"/>
  <c r="BO26" i="34"/>
  <c r="BL26" i="34"/>
  <c r="BI26" i="34"/>
  <c r="BF26" i="34"/>
  <c r="BC26" i="34"/>
  <c r="AZ26" i="34"/>
  <c r="AW26" i="34"/>
  <c r="AT26" i="34"/>
  <c r="AQ26" i="34"/>
  <c r="AN26" i="34"/>
  <c r="AK26" i="34"/>
  <c r="AB26" i="34"/>
  <c r="Y26" i="34"/>
  <c r="V26" i="34"/>
  <c r="EH26" i="34" s="1"/>
  <c r="S26" i="34"/>
  <c r="P26" i="34"/>
  <c r="M26" i="34"/>
  <c r="J26" i="34"/>
  <c r="G26" i="34"/>
  <c r="D26" i="34"/>
  <c r="ED26" i="34" s="1"/>
  <c r="EL25" i="34"/>
  <c r="EK25" i="34"/>
  <c r="EG25" i="34"/>
  <c r="EI25" i="34" s="1"/>
  <c r="EB25" i="34"/>
  <c r="EC25" i="34" s="1"/>
  <c r="DW25" i="34"/>
  <c r="DT25" i="34"/>
  <c r="EM25" i="34" s="1"/>
  <c r="EN25" i="34" s="1"/>
  <c r="DQ25" i="34"/>
  <c r="DN25" i="34"/>
  <c r="DK25" i="34"/>
  <c r="DH25" i="34"/>
  <c r="DE25" i="34"/>
  <c r="DB25" i="34"/>
  <c r="CY25" i="34"/>
  <c r="CV25" i="34"/>
  <c r="CS25" i="34"/>
  <c r="CP25" i="34"/>
  <c r="CM25" i="34"/>
  <c r="CJ25" i="34"/>
  <c r="CG25" i="34"/>
  <c r="CD25" i="34"/>
  <c r="CA25" i="34"/>
  <c r="BX25" i="34"/>
  <c r="BU25" i="34"/>
  <c r="BR25" i="34"/>
  <c r="BO25" i="34"/>
  <c r="BL25" i="34"/>
  <c r="BI25" i="34"/>
  <c r="BF25" i="34"/>
  <c r="BC25" i="34"/>
  <c r="AZ25" i="34"/>
  <c r="AW25" i="34"/>
  <c r="AT25" i="34"/>
  <c r="AQ25" i="34"/>
  <c r="AN25" i="34"/>
  <c r="AK25" i="34"/>
  <c r="AB25" i="34"/>
  <c r="Y25" i="34"/>
  <c r="V25" i="34"/>
  <c r="EH25" i="34" s="1"/>
  <c r="S25" i="34"/>
  <c r="P25" i="34"/>
  <c r="M25" i="34"/>
  <c r="J25" i="34"/>
  <c r="G25" i="34"/>
  <c r="D25" i="34"/>
  <c r="ED25" i="34" s="1"/>
  <c r="EE25" i="34" s="1"/>
  <c r="EL24" i="34"/>
  <c r="EK24" i="34"/>
  <c r="EG24" i="34"/>
  <c r="EI24" i="34" s="1"/>
  <c r="EB24" i="34"/>
  <c r="EC24" i="34" s="1"/>
  <c r="DW24" i="34"/>
  <c r="DT24" i="34"/>
  <c r="DQ24" i="34"/>
  <c r="DN24" i="34"/>
  <c r="EM24" i="34" s="1"/>
  <c r="EN24" i="34" s="1"/>
  <c r="DK24" i="34"/>
  <c r="DH24" i="34"/>
  <c r="DE24" i="34"/>
  <c r="DB24" i="34"/>
  <c r="CY24" i="34"/>
  <c r="CV24" i="34"/>
  <c r="CS24" i="34"/>
  <c r="CP24" i="34"/>
  <c r="CM24" i="34"/>
  <c r="CJ24" i="34"/>
  <c r="CG24" i="34"/>
  <c r="CD24" i="34"/>
  <c r="CA24" i="34"/>
  <c r="BX24" i="34"/>
  <c r="BU24" i="34"/>
  <c r="BR24" i="34"/>
  <c r="BO24" i="34"/>
  <c r="BL24" i="34"/>
  <c r="BI24" i="34"/>
  <c r="BF24" i="34"/>
  <c r="BC24" i="34"/>
  <c r="AZ24" i="34"/>
  <c r="AW24" i="34"/>
  <c r="AT24" i="34"/>
  <c r="AQ24" i="34"/>
  <c r="AN24" i="34"/>
  <c r="AK24" i="34"/>
  <c r="AB24" i="34"/>
  <c r="Y24" i="34"/>
  <c r="V24" i="34"/>
  <c r="S24" i="34"/>
  <c r="EH24" i="34" s="1"/>
  <c r="P24" i="34"/>
  <c r="ED24" i="34" s="1"/>
  <c r="EE24" i="34" s="1"/>
  <c r="M24" i="34"/>
  <c r="J24" i="34"/>
  <c r="G24" i="34"/>
  <c r="D24" i="34"/>
  <c r="EN23" i="34"/>
  <c r="EL23" i="34"/>
  <c r="EK23" i="34"/>
  <c r="EI23" i="34"/>
  <c r="EG23" i="34"/>
  <c r="EB23" i="34"/>
  <c r="EE23" i="34" s="1"/>
  <c r="DW23" i="34"/>
  <c r="DT23" i="34"/>
  <c r="DQ23" i="34"/>
  <c r="DN23" i="34"/>
  <c r="DK23" i="34"/>
  <c r="DH23" i="34"/>
  <c r="DE23" i="34"/>
  <c r="EM23" i="34" s="1"/>
  <c r="DB23" i="34"/>
  <c r="CY23" i="34"/>
  <c r="CV23" i="34"/>
  <c r="CS23" i="34"/>
  <c r="CP23" i="34"/>
  <c r="CM23" i="34"/>
  <c r="CJ23" i="34"/>
  <c r="CG23" i="34"/>
  <c r="CD23" i="34"/>
  <c r="CA23" i="34"/>
  <c r="BX23" i="34"/>
  <c r="BU23" i="34"/>
  <c r="BR23" i="34"/>
  <c r="BO23" i="34"/>
  <c r="BL23" i="34"/>
  <c r="BI23" i="34"/>
  <c r="BF23" i="34"/>
  <c r="BC23" i="34"/>
  <c r="AZ23" i="34"/>
  <c r="AW23" i="34"/>
  <c r="AT23" i="34"/>
  <c r="AQ23" i="34"/>
  <c r="AN23" i="34"/>
  <c r="AK23" i="34"/>
  <c r="AB23" i="34"/>
  <c r="Y23" i="34"/>
  <c r="V23" i="34"/>
  <c r="S23" i="34"/>
  <c r="EH23" i="34" s="1"/>
  <c r="P23" i="34"/>
  <c r="M23" i="34"/>
  <c r="J23" i="34"/>
  <c r="G23" i="34"/>
  <c r="D23" i="34"/>
  <c r="ED23" i="34" s="1"/>
  <c r="EL22" i="34"/>
  <c r="EK22" i="34"/>
  <c r="EN22" i="34" s="1"/>
  <c r="EI22" i="34"/>
  <c r="EG22" i="34"/>
  <c r="EB22" i="34"/>
  <c r="EC22" i="34" s="1"/>
  <c r="DW22" i="34"/>
  <c r="DT22" i="34"/>
  <c r="EM22" i="34" s="1"/>
  <c r="DQ22" i="34"/>
  <c r="DN22" i="34"/>
  <c r="DK22" i="34"/>
  <c r="DH22" i="34"/>
  <c r="DE22" i="34"/>
  <c r="DB22" i="34"/>
  <c r="CY22" i="34"/>
  <c r="CV22" i="34"/>
  <c r="CS22" i="34"/>
  <c r="CP22" i="34"/>
  <c r="CM22" i="34"/>
  <c r="CJ22" i="34"/>
  <c r="CG22" i="34"/>
  <c r="CD22" i="34"/>
  <c r="CA22" i="34"/>
  <c r="BX22" i="34"/>
  <c r="BU22" i="34"/>
  <c r="BR22" i="34"/>
  <c r="BO22" i="34"/>
  <c r="BL22" i="34"/>
  <c r="BI22" i="34"/>
  <c r="BF22" i="34"/>
  <c r="BC22" i="34"/>
  <c r="AZ22" i="34"/>
  <c r="AW22" i="34"/>
  <c r="AT22" i="34"/>
  <c r="AQ22" i="34"/>
  <c r="AN22" i="34"/>
  <c r="AK22" i="34"/>
  <c r="AB22" i="34"/>
  <c r="Y22" i="34"/>
  <c r="V22" i="34"/>
  <c r="EH22" i="34" s="1"/>
  <c r="S22" i="34"/>
  <c r="P22" i="34"/>
  <c r="M22" i="34"/>
  <c r="J22" i="34"/>
  <c r="G22" i="34"/>
  <c r="D22" i="34"/>
  <c r="ED22" i="34" s="1"/>
  <c r="EN21" i="34"/>
  <c r="EL21" i="34"/>
  <c r="EK21" i="34"/>
  <c r="EG21" i="34"/>
  <c r="EI21" i="34" s="1"/>
  <c r="EB21" i="34"/>
  <c r="EC21" i="34" s="1"/>
  <c r="DW21" i="34"/>
  <c r="DT21" i="34"/>
  <c r="EM21" i="34" s="1"/>
  <c r="DQ21" i="34"/>
  <c r="DN21" i="34"/>
  <c r="DK21" i="34"/>
  <c r="DH21" i="34"/>
  <c r="DE21" i="34"/>
  <c r="DB21" i="34"/>
  <c r="CY21" i="34"/>
  <c r="CV21" i="34"/>
  <c r="CS21" i="34"/>
  <c r="CP21" i="34"/>
  <c r="CM21" i="34"/>
  <c r="CJ21" i="34"/>
  <c r="CG21" i="34"/>
  <c r="CD21" i="34"/>
  <c r="CA21" i="34"/>
  <c r="BX21" i="34"/>
  <c r="BU21" i="34"/>
  <c r="BR21" i="34"/>
  <c r="BO21" i="34"/>
  <c r="BL21" i="34"/>
  <c r="BI21" i="34"/>
  <c r="BF21" i="34"/>
  <c r="BC21" i="34"/>
  <c r="AZ21" i="34"/>
  <c r="AW21" i="34"/>
  <c r="AT21" i="34"/>
  <c r="AQ21" i="34"/>
  <c r="AN21" i="34"/>
  <c r="AK21" i="34"/>
  <c r="AB21" i="34"/>
  <c r="Y21" i="34"/>
  <c r="V21" i="34"/>
  <c r="EH21" i="34" s="1"/>
  <c r="S21" i="34"/>
  <c r="P21" i="34"/>
  <c r="ED21" i="34" s="1"/>
  <c r="EE21" i="34" s="1"/>
  <c r="M21" i="34"/>
  <c r="J21" i="34"/>
  <c r="G21" i="34"/>
  <c r="D21" i="34"/>
  <c r="EL20" i="34"/>
  <c r="EK20" i="34"/>
  <c r="EG20" i="34"/>
  <c r="EI20" i="34" s="1"/>
  <c r="EB20" i="34"/>
  <c r="EC20" i="34" s="1"/>
  <c r="DW20" i="34"/>
  <c r="DT20" i="34"/>
  <c r="DQ20" i="34"/>
  <c r="DN20" i="34"/>
  <c r="EM20" i="34" s="1"/>
  <c r="EN20" i="34" s="1"/>
  <c r="DK20" i="34"/>
  <c r="DH20" i="34"/>
  <c r="DE20" i="34"/>
  <c r="DB20" i="34"/>
  <c r="CY20" i="34"/>
  <c r="CV20" i="34"/>
  <c r="CS20" i="34"/>
  <c r="CP20" i="34"/>
  <c r="CM20" i="34"/>
  <c r="CJ20" i="34"/>
  <c r="CG20" i="34"/>
  <c r="CD20" i="34"/>
  <c r="CA20" i="34"/>
  <c r="BX20" i="34"/>
  <c r="BU20" i="34"/>
  <c r="BR20" i="34"/>
  <c r="BO20" i="34"/>
  <c r="BL20" i="34"/>
  <c r="BI20" i="34"/>
  <c r="BF20" i="34"/>
  <c r="BC20" i="34"/>
  <c r="AZ20" i="34"/>
  <c r="AW20" i="34"/>
  <c r="AT20" i="34"/>
  <c r="AQ20" i="34"/>
  <c r="AN20" i="34"/>
  <c r="AK20" i="34"/>
  <c r="AB20" i="34"/>
  <c r="Y20" i="34"/>
  <c r="V20" i="34"/>
  <c r="S20" i="34"/>
  <c r="EH20" i="34" s="1"/>
  <c r="P20" i="34"/>
  <c r="ED20" i="34" s="1"/>
  <c r="EE20" i="34" s="1"/>
  <c r="M20" i="34"/>
  <c r="J20" i="34"/>
  <c r="G20" i="34"/>
  <c r="D20" i="34"/>
  <c r="EL19" i="34"/>
  <c r="EK19" i="34"/>
  <c r="EI19" i="34"/>
  <c r="EG19" i="34"/>
  <c r="EB19" i="34"/>
  <c r="DW19" i="34"/>
  <c r="DT19" i="34"/>
  <c r="DQ19" i="34"/>
  <c r="DN19" i="34"/>
  <c r="DK19" i="34"/>
  <c r="DH19" i="34"/>
  <c r="DE19" i="34"/>
  <c r="DB19" i="34"/>
  <c r="EM19" i="34" s="1"/>
  <c r="EN19" i="34" s="1"/>
  <c r="CY19" i="34"/>
  <c r="CV19" i="34"/>
  <c r="CS19" i="34"/>
  <c r="CP19" i="34"/>
  <c r="CM19" i="34"/>
  <c r="CJ19" i="34"/>
  <c r="CG19" i="34"/>
  <c r="CD19" i="34"/>
  <c r="CA19" i="34"/>
  <c r="BX19" i="34"/>
  <c r="BU19" i="34"/>
  <c r="BR19" i="34"/>
  <c r="BO19" i="34"/>
  <c r="BL19" i="34"/>
  <c r="BI19" i="34"/>
  <c r="BF19" i="34"/>
  <c r="BC19" i="34"/>
  <c r="AZ19" i="34"/>
  <c r="AW19" i="34"/>
  <c r="AT19" i="34"/>
  <c r="AQ19" i="34"/>
  <c r="AN19" i="34"/>
  <c r="AK19" i="34"/>
  <c r="AB19" i="34"/>
  <c r="Y19" i="34"/>
  <c r="V19" i="34"/>
  <c r="S19" i="34"/>
  <c r="EH19" i="34" s="1"/>
  <c r="P19" i="34"/>
  <c r="M19" i="34"/>
  <c r="J19" i="34"/>
  <c r="G19" i="34"/>
  <c r="D19" i="34"/>
  <c r="ED19" i="34" s="1"/>
  <c r="EL18" i="34"/>
  <c r="EK18" i="34"/>
  <c r="EI18" i="34"/>
  <c r="EG18" i="34"/>
  <c r="EB18" i="34"/>
  <c r="EC18" i="34" s="1"/>
  <c r="DW18" i="34"/>
  <c r="DT18" i="34"/>
  <c r="EM18" i="34" s="1"/>
  <c r="DQ18" i="34"/>
  <c r="DN18" i="34"/>
  <c r="DK18" i="34"/>
  <c r="DH18" i="34"/>
  <c r="DE18" i="34"/>
  <c r="DB18" i="34"/>
  <c r="CY18" i="34"/>
  <c r="CV18" i="34"/>
  <c r="CS18" i="34"/>
  <c r="CP18" i="34"/>
  <c r="CM18" i="34"/>
  <c r="CJ18" i="34"/>
  <c r="CG18" i="34"/>
  <c r="CD18" i="34"/>
  <c r="CA18" i="34"/>
  <c r="BX18" i="34"/>
  <c r="BU18" i="34"/>
  <c r="BR18" i="34"/>
  <c r="BO18" i="34"/>
  <c r="BL18" i="34"/>
  <c r="BI18" i="34"/>
  <c r="BF18" i="34"/>
  <c r="BC18" i="34"/>
  <c r="AZ18" i="34"/>
  <c r="AW18" i="34"/>
  <c r="AT18" i="34"/>
  <c r="AQ18" i="34"/>
  <c r="AN18" i="34"/>
  <c r="AK18" i="34"/>
  <c r="AB18" i="34"/>
  <c r="Y18" i="34"/>
  <c r="V18" i="34"/>
  <c r="EH18" i="34" s="1"/>
  <c r="S18" i="34"/>
  <c r="P18" i="34"/>
  <c r="M18" i="34"/>
  <c r="J18" i="34"/>
  <c r="G18" i="34"/>
  <c r="D18" i="34"/>
  <c r="ED18" i="34" s="1"/>
  <c r="EL17" i="34"/>
  <c r="EK17" i="34"/>
  <c r="EG17" i="34"/>
  <c r="EI17" i="34" s="1"/>
  <c r="EB17" i="34"/>
  <c r="EC17" i="34" s="1"/>
  <c r="DW17" i="34"/>
  <c r="DT17" i="34"/>
  <c r="EM17" i="34" s="1"/>
  <c r="EN17" i="34" s="1"/>
  <c r="DQ17" i="34"/>
  <c r="DN17" i="34"/>
  <c r="DK17" i="34"/>
  <c r="DH17" i="34"/>
  <c r="DE17" i="34"/>
  <c r="DB17" i="34"/>
  <c r="CY17" i="34"/>
  <c r="CV17" i="34"/>
  <c r="CS17" i="34"/>
  <c r="CP17" i="34"/>
  <c r="CM17" i="34"/>
  <c r="CJ17" i="34"/>
  <c r="CG17" i="34"/>
  <c r="CD17" i="34"/>
  <c r="CA17" i="34"/>
  <c r="BX17" i="34"/>
  <c r="BU17" i="34"/>
  <c r="BR17" i="34"/>
  <c r="BO17" i="34"/>
  <c r="BL17" i="34"/>
  <c r="BI17" i="34"/>
  <c r="BF17" i="34"/>
  <c r="BC17" i="34"/>
  <c r="AZ17" i="34"/>
  <c r="AW17" i="34"/>
  <c r="AT17" i="34"/>
  <c r="AQ17" i="34"/>
  <c r="AN17" i="34"/>
  <c r="AK17" i="34"/>
  <c r="AB17" i="34"/>
  <c r="Y17" i="34"/>
  <c r="V17" i="34"/>
  <c r="EH17" i="34" s="1"/>
  <c r="S17" i="34"/>
  <c r="P17" i="34"/>
  <c r="ED17" i="34" s="1"/>
  <c r="EE17" i="34" s="1"/>
  <c r="M17" i="34"/>
  <c r="J17" i="34"/>
  <c r="G17" i="34"/>
  <c r="D17" i="34"/>
  <c r="EL16" i="34"/>
  <c r="EK16" i="34"/>
  <c r="EG16" i="34"/>
  <c r="EI16" i="34" s="1"/>
  <c r="EB16" i="34"/>
  <c r="EC16" i="34" s="1"/>
  <c r="DW16" i="34"/>
  <c r="DT16" i="34"/>
  <c r="DQ16" i="34"/>
  <c r="DN16" i="34"/>
  <c r="EM16" i="34" s="1"/>
  <c r="EN16" i="34" s="1"/>
  <c r="DK16" i="34"/>
  <c r="DH16" i="34"/>
  <c r="DE16" i="34"/>
  <c r="DB16" i="34"/>
  <c r="CY16" i="34"/>
  <c r="CV16" i="34"/>
  <c r="CS16" i="34"/>
  <c r="CP16" i="34"/>
  <c r="CM16" i="34"/>
  <c r="CJ16" i="34"/>
  <c r="CG16" i="34"/>
  <c r="CD16" i="34"/>
  <c r="CA16" i="34"/>
  <c r="BX16" i="34"/>
  <c r="BU16" i="34"/>
  <c r="BR16" i="34"/>
  <c r="BO16" i="34"/>
  <c r="BL16" i="34"/>
  <c r="BI16" i="34"/>
  <c r="BF16" i="34"/>
  <c r="BC16" i="34"/>
  <c r="AZ16" i="34"/>
  <c r="AW16" i="34"/>
  <c r="AT16" i="34"/>
  <c r="AQ16" i="34"/>
  <c r="AN16" i="34"/>
  <c r="AK16" i="34"/>
  <c r="AB16" i="34"/>
  <c r="Y16" i="34"/>
  <c r="V16" i="34"/>
  <c r="S16" i="34"/>
  <c r="EH16" i="34" s="1"/>
  <c r="P16" i="34"/>
  <c r="ED16" i="34" s="1"/>
  <c r="EE16" i="34" s="1"/>
  <c r="M16" i="34"/>
  <c r="J16" i="34"/>
  <c r="G16" i="34"/>
  <c r="D16" i="34"/>
  <c r="EL15" i="34"/>
  <c r="EK15" i="34"/>
  <c r="EI15" i="34"/>
  <c r="EG15" i="34"/>
  <c r="EB15" i="34"/>
  <c r="EE15" i="34" s="1"/>
  <c r="DW15" i="34"/>
  <c r="DT15" i="34"/>
  <c r="DQ15" i="34"/>
  <c r="DN15" i="34"/>
  <c r="DK15" i="34"/>
  <c r="DH15" i="34"/>
  <c r="DE15" i="34"/>
  <c r="EM15" i="34" s="1"/>
  <c r="EN15" i="34" s="1"/>
  <c r="DB15" i="34"/>
  <c r="CY15" i="34"/>
  <c r="CV15" i="34"/>
  <c r="CS15" i="34"/>
  <c r="CP15" i="34"/>
  <c r="CM15" i="34"/>
  <c r="CJ15" i="34"/>
  <c r="CG15" i="34"/>
  <c r="CD15" i="34"/>
  <c r="CA15" i="34"/>
  <c r="BX15" i="34"/>
  <c r="BU15" i="34"/>
  <c r="BR15" i="34"/>
  <c r="BO15" i="34"/>
  <c r="BL15" i="34"/>
  <c r="BI15" i="34"/>
  <c r="BF15" i="34"/>
  <c r="BC15" i="34"/>
  <c r="AZ15" i="34"/>
  <c r="AW15" i="34"/>
  <c r="AT15" i="34"/>
  <c r="AQ15" i="34"/>
  <c r="AN15" i="34"/>
  <c r="AK15" i="34"/>
  <c r="AB15" i="34"/>
  <c r="Y15" i="34"/>
  <c r="V15" i="34"/>
  <c r="S15" i="34"/>
  <c r="EH15" i="34" s="1"/>
  <c r="P15" i="34"/>
  <c r="M15" i="34"/>
  <c r="J15" i="34"/>
  <c r="G15" i="34"/>
  <c r="D15" i="34"/>
  <c r="ED15" i="34" s="1"/>
  <c r="EL14" i="34"/>
  <c r="EK14" i="34"/>
  <c r="EI14" i="34"/>
  <c r="EG14" i="34"/>
  <c r="EB14" i="34"/>
  <c r="EC14" i="34" s="1"/>
  <c r="DW14" i="34"/>
  <c r="DT14" i="34"/>
  <c r="EM14" i="34" s="1"/>
  <c r="DQ14" i="34"/>
  <c r="DN14" i="34"/>
  <c r="DK14" i="34"/>
  <c r="DH14" i="34"/>
  <c r="DE14" i="34"/>
  <c r="DB14" i="34"/>
  <c r="CY14" i="34"/>
  <c r="CV14" i="34"/>
  <c r="CS14" i="34"/>
  <c r="CP14" i="34"/>
  <c r="CM14" i="34"/>
  <c r="CJ14" i="34"/>
  <c r="CG14" i="34"/>
  <c r="CD14" i="34"/>
  <c r="CA14" i="34"/>
  <c r="BX14" i="34"/>
  <c r="BU14" i="34"/>
  <c r="BR14" i="34"/>
  <c r="BO14" i="34"/>
  <c r="BL14" i="34"/>
  <c r="BI14" i="34"/>
  <c r="BF14" i="34"/>
  <c r="BC14" i="34"/>
  <c r="AZ14" i="34"/>
  <c r="AW14" i="34"/>
  <c r="AT14" i="34"/>
  <c r="AQ14" i="34"/>
  <c r="AN14" i="34"/>
  <c r="AK14" i="34"/>
  <c r="AB14" i="34"/>
  <c r="Y14" i="34"/>
  <c r="V14" i="34"/>
  <c r="EH14" i="34" s="1"/>
  <c r="S14" i="34"/>
  <c r="P14" i="34"/>
  <c r="M14" i="34"/>
  <c r="J14" i="34"/>
  <c r="G14" i="34"/>
  <c r="D14" i="34"/>
  <c r="ED14" i="34" s="1"/>
  <c r="EL13" i="34"/>
  <c r="EK13" i="34"/>
  <c r="EG13" i="34"/>
  <c r="EI13" i="34" s="1"/>
  <c r="EB13" i="34"/>
  <c r="EC13" i="34" s="1"/>
  <c r="DW13" i="34"/>
  <c r="DT13" i="34"/>
  <c r="EM13" i="34" s="1"/>
  <c r="EN13" i="34" s="1"/>
  <c r="DQ13" i="34"/>
  <c r="DN13" i="34"/>
  <c r="DK13" i="34"/>
  <c r="DH13" i="34"/>
  <c r="DE13" i="34"/>
  <c r="DB13" i="34"/>
  <c r="CY13" i="34"/>
  <c r="CV13" i="34"/>
  <c r="CS13" i="34"/>
  <c r="CP13" i="34"/>
  <c r="CM13" i="34"/>
  <c r="CJ13" i="34"/>
  <c r="CG13" i="34"/>
  <c r="CD13" i="34"/>
  <c r="CA13" i="34"/>
  <c r="BX13" i="34"/>
  <c r="BU13" i="34"/>
  <c r="BR13" i="34"/>
  <c r="BO13" i="34"/>
  <c r="BL13" i="34"/>
  <c r="BI13" i="34"/>
  <c r="BF13" i="34"/>
  <c r="BC13" i="34"/>
  <c r="AZ13" i="34"/>
  <c r="AW13" i="34"/>
  <c r="AT13" i="34"/>
  <c r="AQ13" i="34"/>
  <c r="AN13" i="34"/>
  <c r="AK13" i="34"/>
  <c r="AB13" i="34"/>
  <c r="Y13" i="34"/>
  <c r="V13" i="34"/>
  <c r="EH13" i="34" s="1"/>
  <c r="S13" i="34"/>
  <c r="P13" i="34"/>
  <c r="ED13" i="34" s="1"/>
  <c r="EE13" i="34" s="1"/>
  <c r="M13" i="34"/>
  <c r="J13" i="34"/>
  <c r="G13" i="34"/>
  <c r="D13" i="34"/>
  <c r="A13" i="34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EL12" i="34"/>
  <c r="EK12" i="34"/>
  <c r="EG12" i="34"/>
  <c r="EI12" i="34" s="1"/>
  <c r="EB12" i="34"/>
  <c r="EC12" i="34" s="1"/>
  <c r="DW12" i="34"/>
  <c r="DT12" i="34"/>
  <c r="DQ12" i="34"/>
  <c r="DN12" i="34"/>
  <c r="EM12" i="34" s="1"/>
  <c r="EN12" i="34" s="1"/>
  <c r="DK12" i="34"/>
  <c r="DH12" i="34"/>
  <c r="DE12" i="34"/>
  <c r="DB12" i="34"/>
  <c r="CY12" i="34"/>
  <c r="CV12" i="34"/>
  <c r="CS12" i="34"/>
  <c r="CP12" i="34"/>
  <c r="CM12" i="34"/>
  <c r="CJ12" i="34"/>
  <c r="CG12" i="34"/>
  <c r="CD12" i="34"/>
  <c r="CA12" i="34"/>
  <c r="BX12" i="34"/>
  <c r="BU12" i="34"/>
  <c r="BR12" i="34"/>
  <c r="BO12" i="34"/>
  <c r="BL12" i="34"/>
  <c r="BI12" i="34"/>
  <c r="BF12" i="34"/>
  <c r="BC12" i="34"/>
  <c r="AZ12" i="34"/>
  <c r="AW12" i="34"/>
  <c r="AT12" i="34"/>
  <c r="AQ12" i="34"/>
  <c r="AN12" i="34"/>
  <c r="AK12" i="34"/>
  <c r="AB12" i="34"/>
  <c r="Y12" i="34"/>
  <c r="V12" i="34"/>
  <c r="S12" i="34"/>
  <c r="EH12" i="34" s="1"/>
  <c r="P12" i="34"/>
  <c r="ED12" i="34" s="1"/>
  <c r="EE12" i="34" s="1"/>
  <c r="M12" i="34"/>
  <c r="J12" i="34"/>
  <c r="G12" i="34"/>
  <c r="D12" i="34"/>
  <c r="A12" i="34"/>
  <c r="EL11" i="34"/>
  <c r="EK11" i="34"/>
  <c r="EN5" i="34" s="1"/>
  <c r="EI11" i="34"/>
  <c r="EG11" i="34"/>
  <c r="EB11" i="34"/>
  <c r="DW11" i="34"/>
  <c r="DT11" i="34"/>
  <c r="DT42" i="34" s="1"/>
  <c r="DQ11" i="34"/>
  <c r="DQ42" i="34" s="1"/>
  <c r="DN11" i="34"/>
  <c r="DN42" i="34" s="1"/>
  <c r="DK11" i="34"/>
  <c r="DK42" i="34" s="1"/>
  <c r="DH11" i="34"/>
  <c r="DH42" i="34" s="1"/>
  <c r="DE11" i="34"/>
  <c r="DE42" i="34" s="1"/>
  <c r="DB11" i="34"/>
  <c r="DB42" i="34" s="1"/>
  <c r="CY11" i="34"/>
  <c r="CV11" i="34"/>
  <c r="CV42" i="34" s="1"/>
  <c r="CS11" i="34"/>
  <c r="CS42" i="34" s="1"/>
  <c r="CP11" i="34"/>
  <c r="CP42" i="34" s="1"/>
  <c r="CM11" i="34"/>
  <c r="CM42" i="34" s="1"/>
  <c r="CJ11" i="34"/>
  <c r="CJ42" i="34" s="1"/>
  <c r="CG11" i="34"/>
  <c r="CG42" i="34" s="1"/>
  <c r="CD11" i="34"/>
  <c r="CD42" i="34" s="1"/>
  <c r="CA11" i="34"/>
  <c r="BX11" i="34"/>
  <c r="BX42" i="34" s="1"/>
  <c r="BU11" i="34"/>
  <c r="BU42" i="34" s="1"/>
  <c r="BR11" i="34"/>
  <c r="BR42" i="34" s="1"/>
  <c r="BO11" i="34"/>
  <c r="BO42" i="34" s="1"/>
  <c r="BL11" i="34"/>
  <c r="BL42" i="34" s="1"/>
  <c r="BI11" i="34"/>
  <c r="BI42" i="34" s="1"/>
  <c r="BF11" i="34"/>
  <c r="BF42" i="34" s="1"/>
  <c r="BC11" i="34"/>
  <c r="AZ11" i="34"/>
  <c r="AZ42" i="34" s="1"/>
  <c r="AW11" i="34"/>
  <c r="AW42" i="34" s="1"/>
  <c r="AT11" i="34"/>
  <c r="AT42" i="34" s="1"/>
  <c r="AQ11" i="34"/>
  <c r="AQ42" i="34" s="1"/>
  <c r="AN11" i="34"/>
  <c r="AN42" i="34" s="1"/>
  <c r="AK11" i="34"/>
  <c r="AK42" i="34" s="1"/>
  <c r="AH42" i="34"/>
  <c r="AB11" i="34"/>
  <c r="AB42" i="34" s="1"/>
  <c r="Y11" i="34"/>
  <c r="Y42" i="34" s="1"/>
  <c r="V11" i="34"/>
  <c r="V42" i="34" s="1"/>
  <c r="S11" i="34"/>
  <c r="EH11" i="34" s="1"/>
  <c r="EH42" i="34" s="1"/>
  <c r="P11" i="34"/>
  <c r="P42" i="34" s="1"/>
  <c r="M11" i="34"/>
  <c r="M42" i="34" s="1"/>
  <c r="J11" i="34"/>
  <c r="J42" i="34" s="1"/>
  <c r="G11" i="34"/>
  <c r="D11" i="34"/>
  <c r="ED11" i="34" s="1"/>
  <c r="EQ2" i="34"/>
  <c r="G4" i="34" s="1"/>
  <c r="EN2" i="34"/>
  <c r="EP2" i="34" s="1"/>
  <c r="EI2" i="34"/>
  <c r="EE2" i="34"/>
  <c r="EN18" i="34" l="1"/>
  <c r="ED42" i="34"/>
  <c r="EE19" i="34"/>
  <c r="EE11" i="34"/>
  <c r="EN14" i="34"/>
  <c r="EN26" i="34"/>
  <c r="EC23" i="34"/>
  <c r="EC35" i="34"/>
  <c r="EI5" i="34"/>
  <c r="S42" i="34"/>
  <c r="EC11" i="34"/>
  <c r="EI3" i="34"/>
  <c r="EI4" i="34" s="1"/>
  <c r="EN3" i="34"/>
  <c r="EE14" i="34"/>
  <c r="EE18" i="34"/>
  <c r="EE22" i="34"/>
  <c r="EE26" i="34"/>
  <c r="EE30" i="34"/>
  <c r="EE34" i="34"/>
  <c r="EE38" i="34"/>
  <c r="EC19" i="34"/>
  <c r="EE3" i="34"/>
  <c r="EM11" i="34"/>
  <c r="EC15" i="34"/>
  <c r="D42" i="34"/>
  <c r="EE5" i="34"/>
  <c r="G7" i="34" s="1"/>
  <c r="EC39" i="34"/>
  <c r="EC27" i="34"/>
  <c r="EC31" i="34"/>
  <c r="EM42" i="34" l="1"/>
  <c r="EN11" i="34"/>
  <c r="G5" i="34"/>
  <c r="EE4" i="34"/>
  <c r="G6" i="34" s="1"/>
  <c r="EN4" i="34"/>
  <c r="C21" i="32" l="1"/>
  <c r="C22" i="32"/>
  <c r="C23" i="32"/>
  <c r="C24" i="32"/>
  <c r="C25" i="32"/>
  <c r="C27" i="32" l="1"/>
  <c r="H24" i="32"/>
  <c r="H21" i="32"/>
  <c r="H23" i="32"/>
  <c r="H22" i="32"/>
  <c r="H20" i="32"/>
  <c r="H25" i="32" l="1"/>
  <c r="L21" i="11" l="1"/>
  <c r="F17" i="11" l="1"/>
  <c r="H19" i="32" l="1"/>
  <c r="N20" i="31" l="1"/>
  <c r="N26" i="31" s="1"/>
  <c r="M20" i="31"/>
  <c r="M26" i="31" s="1"/>
  <c r="L20" i="31"/>
  <c r="L26" i="31" s="1"/>
  <c r="K20" i="31"/>
  <c r="K26" i="31" s="1"/>
  <c r="J20" i="31"/>
  <c r="J26" i="31" s="1"/>
  <c r="I20" i="31"/>
  <c r="I26" i="31" s="1"/>
  <c r="H20" i="31"/>
  <c r="H26" i="31" s="1"/>
  <c r="G20" i="31"/>
  <c r="G26" i="31" s="1"/>
  <c r="F20" i="31"/>
  <c r="F26" i="31" s="1"/>
  <c r="E20" i="31"/>
  <c r="E26" i="31" s="1"/>
  <c r="D20" i="31"/>
  <c r="D26" i="31" s="1"/>
  <c r="C20" i="31"/>
  <c r="C26" i="31" s="1"/>
  <c r="C29" i="31" l="1"/>
  <c r="C33" i="31" s="1"/>
  <c r="H18" i="32"/>
  <c r="H17" i="32"/>
  <c r="H16" i="32"/>
  <c r="H15" i="32" l="1"/>
  <c r="H27" i="32" s="1"/>
  <c r="C15" i="2" l="1"/>
  <c r="D29" i="31"/>
  <c r="D33" i="31" s="1"/>
  <c r="E29" i="31" s="1"/>
  <c r="E33" i="31" s="1"/>
  <c r="F29" i="31" s="1"/>
  <c r="F33" i="31" s="1"/>
  <c r="G29" i="31" s="1"/>
  <c r="G33" i="31" s="1"/>
  <c r="H29" i="31" s="1"/>
  <c r="EL40" i="18"/>
  <c r="EG40" i="18"/>
  <c r="EI40" i="18" s="1"/>
  <c r="DW40" i="18"/>
  <c r="DT40" i="18"/>
  <c r="DQ40" i="18"/>
  <c r="DN40" i="18"/>
  <c r="EM40" i="18" s="1"/>
  <c r="DK40" i="18"/>
  <c r="DH40" i="18"/>
  <c r="DE40" i="18"/>
  <c r="DB40" i="18"/>
  <c r="CY40" i="18"/>
  <c r="CV40" i="18"/>
  <c r="CS40" i="18"/>
  <c r="CP40" i="18"/>
  <c r="CM40" i="18"/>
  <c r="CJ40" i="18"/>
  <c r="CG40" i="18"/>
  <c r="CD40" i="18"/>
  <c r="CA40" i="18"/>
  <c r="BX40" i="18"/>
  <c r="BU40" i="18"/>
  <c r="BR40" i="18"/>
  <c r="BO40" i="18"/>
  <c r="BL40" i="18"/>
  <c r="BI40" i="18"/>
  <c r="BF40" i="18"/>
  <c r="BC40" i="18"/>
  <c r="AZ40" i="18"/>
  <c r="AW40" i="18"/>
  <c r="AT40" i="18"/>
  <c r="AR40" i="18"/>
  <c r="AQ40" i="18"/>
  <c r="AL40" i="18"/>
  <c r="AN40" i="18" s="1"/>
  <c r="AI40" i="18"/>
  <c r="AK40" i="18" s="1"/>
  <c r="AB40" i="18"/>
  <c r="Y40" i="18"/>
  <c r="V40" i="18"/>
  <c r="S40" i="18"/>
  <c r="EH40" i="18" s="1"/>
  <c r="P40" i="18"/>
  <c r="M40" i="18"/>
  <c r="J40" i="18"/>
  <c r="G40" i="18"/>
  <c r="D40" i="18"/>
  <c r="EL39" i="18"/>
  <c r="EI39" i="18"/>
  <c r="EG39" i="18"/>
  <c r="DW39" i="18"/>
  <c r="DT39" i="18"/>
  <c r="DQ39" i="18"/>
  <c r="DN39" i="18"/>
  <c r="DK39" i="18"/>
  <c r="DH39" i="18"/>
  <c r="DE39" i="18"/>
  <c r="DB39" i="18"/>
  <c r="CY39" i="18"/>
  <c r="CV39" i="18"/>
  <c r="CS39" i="18"/>
  <c r="CP39" i="18"/>
  <c r="CM39" i="18"/>
  <c r="CJ39" i="18"/>
  <c r="CG39" i="18"/>
  <c r="CD39" i="18"/>
  <c r="CA39" i="18"/>
  <c r="BX39" i="18"/>
  <c r="BU39" i="18"/>
  <c r="BR39" i="18"/>
  <c r="BO39" i="18"/>
  <c r="BL39" i="18"/>
  <c r="BI39" i="18"/>
  <c r="BF39" i="18"/>
  <c r="BC39" i="18"/>
  <c r="AZ39" i="18"/>
  <c r="AW39" i="18"/>
  <c r="AR39" i="18"/>
  <c r="AT39" i="18" s="1"/>
  <c r="AQ39" i="18"/>
  <c r="AN39" i="18"/>
  <c r="AL39" i="18"/>
  <c r="AI39" i="18"/>
  <c r="AK39" i="18" s="1"/>
  <c r="AB39" i="18"/>
  <c r="Y39" i="18"/>
  <c r="V39" i="18"/>
  <c r="S39" i="18"/>
  <c r="P39" i="18"/>
  <c r="M39" i="18"/>
  <c r="ED39" i="18" s="1"/>
  <c r="J39" i="18"/>
  <c r="G39" i="18"/>
  <c r="D39" i="18"/>
  <c r="EL38" i="18"/>
  <c r="EI38" i="18"/>
  <c r="EG38" i="18"/>
  <c r="DW38" i="18"/>
  <c r="DT38" i="18"/>
  <c r="DQ38" i="18"/>
  <c r="DN38" i="18"/>
  <c r="DK38" i="18"/>
  <c r="DH38" i="18"/>
  <c r="DE38" i="18"/>
  <c r="DB38" i="18"/>
  <c r="CY38" i="18"/>
  <c r="CV38" i="18"/>
  <c r="CS38" i="18"/>
  <c r="CP38" i="18"/>
  <c r="CM38" i="18"/>
  <c r="CJ38" i="18"/>
  <c r="CG38" i="18"/>
  <c r="CD38" i="18"/>
  <c r="CA38" i="18"/>
  <c r="BX38" i="18"/>
  <c r="BU38" i="18"/>
  <c r="BR38" i="18"/>
  <c r="BO38" i="18"/>
  <c r="BL38" i="18"/>
  <c r="BI38" i="18"/>
  <c r="BF38" i="18"/>
  <c r="BC38" i="18"/>
  <c r="AZ38" i="18"/>
  <c r="AW38" i="18"/>
  <c r="AR38" i="18"/>
  <c r="AT38" i="18" s="1"/>
  <c r="AQ38" i="18"/>
  <c r="AN38" i="18"/>
  <c r="AL38" i="18"/>
  <c r="AI38" i="18"/>
  <c r="AK38" i="18" s="1"/>
  <c r="AB38" i="18"/>
  <c r="Y38" i="18"/>
  <c r="V38" i="18"/>
  <c r="S38" i="18"/>
  <c r="P38" i="18"/>
  <c r="M38" i="18"/>
  <c r="J38" i="18"/>
  <c r="G38" i="18"/>
  <c r="D38" i="18"/>
  <c r="EL37" i="18"/>
  <c r="EG37" i="18"/>
  <c r="EI37" i="18" s="1"/>
  <c r="DW37" i="18"/>
  <c r="DT37" i="18"/>
  <c r="DQ37" i="18"/>
  <c r="DN37" i="18"/>
  <c r="DK37" i="18"/>
  <c r="DH37" i="18"/>
  <c r="DE37" i="18"/>
  <c r="DB37" i="18"/>
  <c r="CY37" i="18"/>
  <c r="CV37" i="18"/>
  <c r="CS37" i="18"/>
  <c r="CP37" i="18"/>
  <c r="CM37" i="18"/>
  <c r="CJ37" i="18"/>
  <c r="CG37" i="18"/>
  <c r="CD37" i="18"/>
  <c r="CA37" i="18"/>
  <c r="BX37" i="18"/>
  <c r="BU37" i="18"/>
  <c r="BR37" i="18"/>
  <c r="BO37" i="18"/>
  <c r="BL37" i="18"/>
  <c r="BI37" i="18"/>
  <c r="BF37" i="18"/>
  <c r="BC37" i="18"/>
  <c r="AZ37" i="18"/>
  <c r="AW37" i="18"/>
  <c r="AR37" i="18"/>
  <c r="AT37" i="18" s="1"/>
  <c r="AQ37" i="18"/>
  <c r="AL37" i="18"/>
  <c r="AK37" i="18"/>
  <c r="AI37" i="18"/>
  <c r="AB37" i="18"/>
  <c r="Y37" i="18"/>
  <c r="V37" i="18"/>
  <c r="S37" i="18"/>
  <c r="EH37" i="18" s="1"/>
  <c r="P37" i="18"/>
  <c r="M37" i="18"/>
  <c r="J37" i="18"/>
  <c r="G37" i="18"/>
  <c r="D37" i="18"/>
  <c r="EL36" i="18"/>
  <c r="EG36" i="18"/>
  <c r="EI36" i="18" s="1"/>
  <c r="EB36" i="18"/>
  <c r="DW36" i="18"/>
  <c r="DT36" i="18"/>
  <c r="DQ36" i="18"/>
  <c r="DN36" i="18"/>
  <c r="DK36" i="18"/>
  <c r="DH36" i="18"/>
  <c r="DE36" i="18"/>
  <c r="DB36" i="18"/>
  <c r="CY36" i="18"/>
  <c r="CV36" i="18"/>
  <c r="CS36" i="18"/>
  <c r="CP36" i="18"/>
  <c r="CM36" i="18"/>
  <c r="CJ36" i="18"/>
  <c r="CG36" i="18"/>
  <c r="CD36" i="18"/>
  <c r="CA36" i="18"/>
  <c r="BX36" i="18"/>
  <c r="BU36" i="18"/>
  <c r="BR36" i="18"/>
  <c r="BO36" i="18"/>
  <c r="BL36" i="18"/>
  <c r="BI36" i="18"/>
  <c r="BF36" i="18"/>
  <c r="BC36" i="18"/>
  <c r="AZ36" i="18"/>
  <c r="AW36" i="18"/>
  <c r="AT36" i="18"/>
  <c r="AR36" i="18"/>
  <c r="AQ36" i="18"/>
  <c r="AL36" i="18"/>
  <c r="AN36" i="18" s="1"/>
  <c r="AK36" i="18"/>
  <c r="AI36" i="18"/>
  <c r="AB36" i="18"/>
  <c r="Y36" i="18"/>
  <c r="V36" i="18"/>
  <c r="S36" i="18"/>
  <c r="EH36" i="18" s="1"/>
  <c r="P36" i="18"/>
  <c r="M36" i="18"/>
  <c r="J36" i="18"/>
  <c r="G36" i="18"/>
  <c r="D36" i="18"/>
  <c r="ED36" i="18" s="1"/>
  <c r="EL35" i="18"/>
  <c r="EI35" i="18"/>
  <c r="EG35" i="18"/>
  <c r="DW35" i="18"/>
  <c r="DT35" i="18"/>
  <c r="DQ35" i="18"/>
  <c r="DN35" i="18"/>
  <c r="DK35" i="18"/>
  <c r="DH35" i="18"/>
  <c r="DE35" i="18"/>
  <c r="DB35" i="18"/>
  <c r="CY35" i="18"/>
  <c r="CV35" i="18"/>
  <c r="CS35" i="18"/>
  <c r="CP35" i="18"/>
  <c r="CM35" i="18"/>
  <c r="CJ35" i="18"/>
  <c r="CG35" i="18"/>
  <c r="CD35" i="18"/>
  <c r="CA35" i="18"/>
  <c r="BX35" i="18"/>
  <c r="BU35" i="18"/>
  <c r="BR35" i="18"/>
  <c r="BO35" i="18"/>
  <c r="BL35" i="18"/>
  <c r="BI35" i="18"/>
  <c r="BF35" i="18"/>
  <c r="BC35" i="18"/>
  <c r="AZ35" i="18"/>
  <c r="AW35" i="18"/>
  <c r="AT35" i="18"/>
  <c r="AR35" i="18"/>
  <c r="AQ35" i="18"/>
  <c r="AN35" i="18"/>
  <c r="ED35" i="18" s="1"/>
  <c r="AL35" i="18"/>
  <c r="EB35" i="18" s="1"/>
  <c r="AI35" i="18"/>
  <c r="AK35" i="18" s="1"/>
  <c r="AB35" i="18"/>
  <c r="Y35" i="18"/>
  <c r="V35" i="18"/>
  <c r="EH35" i="18" s="1"/>
  <c r="S35" i="18"/>
  <c r="P35" i="18"/>
  <c r="M35" i="18"/>
  <c r="J35" i="18"/>
  <c r="G35" i="18"/>
  <c r="D35" i="18"/>
  <c r="EL34" i="18"/>
  <c r="EI34" i="18"/>
  <c r="EG34" i="18"/>
  <c r="DW34" i="18"/>
  <c r="DT34" i="18"/>
  <c r="DQ34" i="18"/>
  <c r="DN34" i="18"/>
  <c r="DK34" i="18"/>
  <c r="DH34" i="18"/>
  <c r="DE34" i="18"/>
  <c r="DB34" i="18"/>
  <c r="CY34" i="18"/>
  <c r="CV34" i="18"/>
  <c r="CS34" i="18"/>
  <c r="CP34" i="18"/>
  <c r="CM34" i="18"/>
  <c r="CJ34" i="18"/>
  <c r="CG34" i="18"/>
  <c r="CD34" i="18"/>
  <c r="CA34" i="18"/>
  <c r="BX34" i="18"/>
  <c r="BU34" i="18"/>
  <c r="BR34" i="18"/>
  <c r="BO34" i="18"/>
  <c r="BL34" i="18"/>
  <c r="BI34" i="18"/>
  <c r="BF34" i="18"/>
  <c r="BC34" i="18"/>
  <c r="AZ34" i="18"/>
  <c r="AW34" i="18"/>
  <c r="AR34" i="18"/>
  <c r="AT34" i="18" s="1"/>
  <c r="AQ34" i="18"/>
  <c r="AN34" i="18"/>
  <c r="AL34" i="18"/>
  <c r="AK34" i="18"/>
  <c r="AI34" i="18"/>
  <c r="AB34" i="18"/>
  <c r="Y34" i="18"/>
  <c r="V34" i="18"/>
  <c r="S34" i="18"/>
  <c r="P34" i="18"/>
  <c r="M34" i="18"/>
  <c r="J34" i="18"/>
  <c r="G34" i="18"/>
  <c r="D34" i="18"/>
  <c r="ED34" i="18" s="1"/>
  <c r="EL33" i="18"/>
  <c r="EG33" i="18"/>
  <c r="EI33" i="18" s="1"/>
  <c r="DW33" i="18"/>
  <c r="DT33" i="18"/>
  <c r="DQ33" i="18"/>
  <c r="DN33" i="18"/>
  <c r="DK33" i="18"/>
  <c r="DH33" i="18"/>
  <c r="DE33" i="18"/>
  <c r="DB33" i="18"/>
  <c r="CY33" i="18"/>
  <c r="CV33" i="18"/>
  <c r="CS33" i="18"/>
  <c r="CP33" i="18"/>
  <c r="CM33" i="18"/>
  <c r="CJ33" i="18"/>
  <c r="CG33" i="18"/>
  <c r="CD33" i="18"/>
  <c r="CA33" i="18"/>
  <c r="BX33" i="18"/>
  <c r="BU33" i="18"/>
  <c r="BR33" i="18"/>
  <c r="BO33" i="18"/>
  <c r="BL33" i="18"/>
  <c r="BI33" i="18"/>
  <c r="BF33" i="18"/>
  <c r="BC33" i="18"/>
  <c r="AZ33" i="18"/>
  <c r="AW33" i="18"/>
  <c r="AR33" i="18"/>
  <c r="AQ33" i="18"/>
  <c r="AL33" i="18"/>
  <c r="AN33" i="18" s="1"/>
  <c r="AK33" i="18"/>
  <c r="AI33" i="18"/>
  <c r="AB33" i="18"/>
  <c r="Y33" i="18"/>
  <c r="V33" i="18"/>
  <c r="S33" i="18"/>
  <c r="P33" i="18"/>
  <c r="M33" i="18"/>
  <c r="J33" i="18"/>
  <c r="G33" i="18"/>
  <c r="D33" i="18"/>
  <c r="EL32" i="18"/>
  <c r="EG32" i="18"/>
  <c r="EI32" i="18" s="1"/>
  <c r="DW32" i="18"/>
  <c r="DT32" i="18"/>
  <c r="DQ32" i="18"/>
  <c r="DN32" i="18"/>
  <c r="EM32" i="18" s="1"/>
  <c r="DK32" i="18"/>
  <c r="DH32" i="18"/>
  <c r="DE32" i="18"/>
  <c r="DB32" i="18"/>
  <c r="CY32" i="18"/>
  <c r="CV32" i="18"/>
  <c r="CS32" i="18"/>
  <c r="CP32" i="18"/>
  <c r="CM32" i="18"/>
  <c r="CJ32" i="18"/>
  <c r="CG32" i="18"/>
  <c r="CD32" i="18"/>
  <c r="CA32" i="18"/>
  <c r="BX32" i="18"/>
  <c r="BU32" i="18"/>
  <c r="BR32" i="18"/>
  <c r="BO32" i="18"/>
  <c r="BL32" i="18"/>
  <c r="BI32" i="18"/>
  <c r="BF32" i="18"/>
  <c r="BC32" i="18"/>
  <c r="AZ32" i="18"/>
  <c r="AW32" i="18"/>
  <c r="AT32" i="18"/>
  <c r="AR32" i="18"/>
  <c r="AQ32" i="18"/>
  <c r="AL32" i="18"/>
  <c r="AN32" i="18" s="1"/>
  <c r="AK32" i="18"/>
  <c r="AI32" i="18"/>
  <c r="AB32" i="18"/>
  <c r="Y32" i="18"/>
  <c r="V32" i="18"/>
  <c r="S32" i="18"/>
  <c r="EH32" i="18" s="1"/>
  <c r="P32" i="18"/>
  <c r="M32" i="18"/>
  <c r="J32" i="18"/>
  <c r="G32" i="18"/>
  <c r="D32" i="18"/>
  <c r="EM31" i="18"/>
  <c r="EL31" i="18"/>
  <c r="EI31" i="18"/>
  <c r="EG31" i="18"/>
  <c r="ED31" i="18"/>
  <c r="DW31" i="18"/>
  <c r="DT31" i="18"/>
  <c r="DQ31" i="18"/>
  <c r="DN31" i="18"/>
  <c r="DK31" i="18"/>
  <c r="DH31" i="18"/>
  <c r="DE31" i="18"/>
  <c r="DB31" i="18"/>
  <c r="CY31" i="18"/>
  <c r="CV31" i="18"/>
  <c r="CS31" i="18"/>
  <c r="CP31" i="18"/>
  <c r="CM31" i="18"/>
  <c r="CJ31" i="18"/>
  <c r="CG31" i="18"/>
  <c r="CD31" i="18"/>
  <c r="CA31" i="18"/>
  <c r="BX31" i="18"/>
  <c r="BU31" i="18"/>
  <c r="BR31" i="18"/>
  <c r="BO31" i="18"/>
  <c r="BL31" i="18"/>
  <c r="BI31" i="18"/>
  <c r="BF31" i="18"/>
  <c r="BC31" i="18"/>
  <c r="AZ31" i="18"/>
  <c r="AW31" i="18"/>
  <c r="AT31" i="18"/>
  <c r="AR31" i="18"/>
  <c r="AQ31" i="18"/>
  <c r="AN31" i="18"/>
  <c r="AL31" i="18"/>
  <c r="AI31" i="18"/>
  <c r="AK31" i="18" s="1"/>
  <c r="AB31" i="18"/>
  <c r="Y31" i="18"/>
  <c r="V31" i="18"/>
  <c r="EH31" i="18" s="1"/>
  <c r="S31" i="18"/>
  <c r="P31" i="18"/>
  <c r="M31" i="18"/>
  <c r="J31" i="18"/>
  <c r="G31" i="18"/>
  <c r="D31" i="18"/>
  <c r="EL30" i="18"/>
  <c r="EI30" i="18"/>
  <c r="EG30" i="18"/>
  <c r="DW30" i="18"/>
  <c r="DT30" i="18"/>
  <c r="DQ30" i="18"/>
  <c r="DN30" i="18"/>
  <c r="DK30" i="18"/>
  <c r="DH30" i="18"/>
  <c r="DE30" i="18"/>
  <c r="DB30" i="18"/>
  <c r="CY30" i="18"/>
  <c r="CV30" i="18"/>
  <c r="CS30" i="18"/>
  <c r="CP30" i="18"/>
  <c r="CM30" i="18"/>
  <c r="CJ30" i="18"/>
  <c r="CG30" i="18"/>
  <c r="CD30" i="18"/>
  <c r="CA30" i="18"/>
  <c r="BX30" i="18"/>
  <c r="BU30" i="18"/>
  <c r="BR30" i="18"/>
  <c r="BO30" i="18"/>
  <c r="BL30" i="18"/>
  <c r="BI30" i="18"/>
  <c r="BF30" i="18"/>
  <c r="BC30" i="18"/>
  <c r="AZ30" i="18"/>
  <c r="AW30" i="18"/>
  <c r="AR30" i="18"/>
  <c r="AT30" i="18" s="1"/>
  <c r="AQ30" i="18"/>
  <c r="AN30" i="18"/>
  <c r="AL30" i="18"/>
  <c r="EB30" i="18" s="1"/>
  <c r="AI30" i="18"/>
  <c r="AK30" i="18" s="1"/>
  <c r="AB30" i="18"/>
  <c r="Y30" i="18"/>
  <c r="V30" i="18"/>
  <c r="S30" i="18"/>
  <c r="EH30" i="18" s="1"/>
  <c r="P30" i="18"/>
  <c r="M30" i="18"/>
  <c r="J30" i="18"/>
  <c r="G30" i="18"/>
  <c r="D30" i="18"/>
  <c r="ED30" i="18" s="1"/>
  <c r="EL29" i="18"/>
  <c r="EK29" i="18"/>
  <c r="EG29" i="18"/>
  <c r="EI29" i="18" s="1"/>
  <c r="EB29" i="18"/>
  <c r="DW29" i="18"/>
  <c r="DT29" i="18"/>
  <c r="DQ29" i="18"/>
  <c r="DN29" i="18"/>
  <c r="DK29" i="18"/>
  <c r="DH29" i="18"/>
  <c r="DE29" i="18"/>
  <c r="DB29" i="18"/>
  <c r="CY29" i="18"/>
  <c r="CV29" i="18"/>
  <c r="CS29" i="18"/>
  <c r="CP29" i="18"/>
  <c r="CM29" i="18"/>
  <c r="CJ29" i="18"/>
  <c r="CG29" i="18"/>
  <c r="CD29" i="18"/>
  <c r="CA29" i="18"/>
  <c r="BX29" i="18"/>
  <c r="BU29" i="18"/>
  <c r="BR29" i="18"/>
  <c r="BO29" i="18"/>
  <c r="BL29" i="18"/>
  <c r="BI29" i="18"/>
  <c r="BF29" i="18"/>
  <c r="BC29" i="18"/>
  <c r="AZ29" i="18"/>
  <c r="AW29" i="18"/>
  <c r="AT29" i="18"/>
  <c r="AR29" i="18"/>
  <c r="AQ29" i="18"/>
  <c r="AL29" i="18"/>
  <c r="AN29" i="18" s="1"/>
  <c r="AK29" i="18"/>
  <c r="AI29" i="18"/>
  <c r="AB29" i="18"/>
  <c r="Y29" i="18"/>
  <c r="V29" i="18"/>
  <c r="S29" i="18"/>
  <c r="P29" i="18"/>
  <c r="M29" i="18"/>
  <c r="J29" i="18"/>
  <c r="G29" i="18"/>
  <c r="D29" i="18"/>
  <c r="ED29" i="18" s="1"/>
  <c r="EL28" i="18"/>
  <c r="EG28" i="18"/>
  <c r="EI28" i="18" s="1"/>
  <c r="DW28" i="18"/>
  <c r="DT28" i="18"/>
  <c r="DQ28" i="18"/>
  <c r="EM28" i="18" s="1"/>
  <c r="DN28" i="18"/>
  <c r="DK28" i="18"/>
  <c r="DH28" i="18"/>
  <c r="DE28" i="18"/>
  <c r="DB28" i="18"/>
  <c r="CY28" i="18"/>
  <c r="CV28" i="18"/>
  <c r="CS28" i="18"/>
  <c r="CP28" i="18"/>
  <c r="CM28" i="18"/>
  <c r="CJ28" i="18"/>
  <c r="CG28" i="18"/>
  <c r="CD28" i="18"/>
  <c r="CA28" i="18"/>
  <c r="BX28" i="18"/>
  <c r="BU28" i="18"/>
  <c r="BR28" i="18"/>
  <c r="BO28" i="18"/>
  <c r="BL28" i="18"/>
  <c r="BI28" i="18"/>
  <c r="BF28" i="18"/>
  <c r="BC28" i="18"/>
  <c r="AZ28" i="18"/>
  <c r="AW28" i="18"/>
  <c r="AT28" i="18"/>
  <c r="AR28" i="18"/>
  <c r="EK28" i="18" s="1"/>
  <c r="AQ28" i="18"/>
  <c r="AN28" i="18"/>
  <c r="AL28" i="18"/>
  <c r="EB28" i="18" s="1"/>
  <c r="AK28" i="18"/>
  <c r="AI28" i="18"/>
  <c r="AB28" i="18"/>
  <c r="Y28" i="18"/>
  <c r="V28" i="18"/>
  <c r="EH28" i="18" s="1"/>
  <c r="S28" i="18"/>
  <c r="P28" i="18"/>
  <c r="M28" i="18"/>
  <c r="J28" i="18"/>
  <c r="G28" i="18"/>
  <c r="D28" i="18"/>
  <c r="EL27" i="18"/>
  <c r="EI27" i="18"/>
  <c r="EG27" i="18"/>
  <c r="DW27" i="18"/>
  <c r="DT27" i="18"/>
  <c r="DQ27" i="18"/>
  <c r="DN27" i="18"/>
  <c r="DK27" i="18"/>
  <c r="DH27" i="18"/>
  <c r="DE27" i="18"/>
  <c r="DB27" i="18"/>
  <c r="CY27" i="18"/>
  <c r="CV27" i="18"/>
  <c r="CS27" i="18"/>
  <c r="CP27" i="18"/>
  <c r="CM27" i="18"/>
  <c r="CJ27" i="18"/>
  <c r="CG27" i="18"/>
  <c r="CD27" i="18"/>
  <c r="CA27" i="18"/>
  <c r="BX27" i="18"/>
  <c r="BU27" i="18"/>
  <c r="BR27" i="18"/>
  <c r="BO27" i="18"/>
  <c r="BL27" i="18"/>
  <c r="BI27" i="18"/>
  <c r="BF27" i="18"/>
  <c r="BC27" i="18"/>
  <c r="AZ27" i="18"/>
  <c r="AW27" i="18"/>
  <c r="AT27" i="18"/>
  <c r="AR27" i="18"/>
  <c r="AQ27" i="18"/>
  <c r="AN27" i="18"/>
  <c r="AL27" i="18"/>
  <c r="AI27" i="18"/>
  <c r="AK27" i="18" s="1"/>
  <c r="EM27" i="18" s="1"/>
  <c r="AB27" i="18"/>
  <c r="Y27" i="18"/>
  <c r="EH27" i="18" s="1"/>
  <c r="V27" i="18"/>
  <c r="S27" i="18"/>
  <c r="P27" i="18"/>
  <c r="M27" i="18"/>
  <c r="J27" i="18"/>
  <c r="G27" i="18"/>
  <c r="D27" i="18"/>
  <c r="EL26" i="18"/>
  <c r="EI26" i="18"/>
  <c r="EG26" i="18"/>
  <c r="DW26" i="18"/>
  <c r="DT26" i="18"/>
  <c r="DQ26" i="18"/>
  <c r="DN26" i="18"/>
  <c r="DK26" i="18"/>
  <c r="DH26" i="18"/>
  <c r="DE26" i="18"/>
  <c r="DB26" i="18"/>
  <c r="CY26" i="18"/>
  <c r="CV26" i="18"/>
  <c r="CS26" i="18"/>
  <c r="CP26" i="18"/>
  <c r="CM26" i="18"/>
  <c r="CJ26" i="18"/>
  <c r="CG26" i="18"/>
  <c r="CD26" i="18"/>
  <c r="CA26" i="18"/>
  <c r="BX26" i="18"/>
  <c r="BU26" i="18"/>
  <c r="BR26" i="18"/>
  <c r="BO26" i="18"/>
  <c r="BL26" i="18"/>
  <c r="BI26" i="18"/>
  <c r="BF26" i="18"/>
  <c r="BC26" i="18"/>
  <c r="AZ26" i="18"/>
  <c r="AW26" i="18"/>
  <c r="AR26" i="18"/>
  <c r="AT26" i="18" s="1"/>
  <c r="AQ26" i="18"/>
  <c r="AN26" i="18"/>
  <c r="AL26" i="18"/>
  <c r="AI26" i="18"/>
  <c r="AK26" i="18" s="1"/>
  <c r="AB26" i="18"/>
  <c r="Y26" i="18"/>
  <c r="V26" i="18"/>
  <c r="S26" i="18"/>
  <c r="P26" i="18"/>
  <c r="M26" i="18"/>
  <c r="J26" i="18"/>
  <c r="G26" i="18"/>
  <c r="D26" i="18"/>
  <c r="EL25" i="18"/>
  <c r="EG25" i="18"/>
  <c r="EI25" i="18" s="1"/>
  <c r="EB25" i="18"/>
  <c r="DW25" i="18"/>
  <c r="DT25" i="18"/>
  <c r="DQ25" i="18"/>
  <c r="DN25" i="18"/>
  <c r="DK25" i="18"/>
  <c r="DH25" i="18"/>
  <c r="DE25" i="18"/>
  <c r="DB25" i="18"/>
  <c r="CY25" i="18"/>
  <c r="CV25" i="18"/>
  <c r="CS25" i="18"/>
  <c r="CP25" i="18"/>
  <c r="CM25" i="18"/>
  <c r="CJ25" i="18"/>
  <c r="CG25" i="18"/>
  <c r="CD25" i="18"/>
  <c r="CA25" i="18"/>
  <c r="BX25" i="18"/>
  <c r="BU25" i="18"/>
  <c r="BR25" i="18"/>
  <c r="BO25" i="18"/>
  <c r="BL25" i="18"/>
  <c r="BI25" i="18"/>
  <c r="BF25" i="18"/>
  <c r="BC25" i="18"/>
  <c r="AZ25" i="18"/>
  <c r="AW25" i="18"/>
  <c r="AT25" i="18"/>
  <c r="AR25" i="18"/>
  <c r="AQ25" i="18"/>
  <c r="AL25" i="18"/>
  <c r="AN25" i="18" s="1"/>
  <c r="AK25" i="18"/>
  <c r="AI25" i="18"/>
  <c r="AB25" i="18"/>
  <c r="Y25" i="18"/>
  <c r="V25" i="18"/>
  <c r="S25" i="18"/>
  <c r="P25" i="18"/>
  <c r="M25" i="18"/>
  <c r="J25" i="18"/>
  <c r="G25" i="18"/>
  <c r="D25" i="18"/>
  <c r="ED25" i="18" s="1"/>
  <c r="EL24" i="18"/>
  <c r="EH24" i="18"/>
  <c r="EG24" i="18"/>
  <c r="EI24" i="18" s="1"/>
  <c r="DW24" i="18"/>
  <c r="DT24" i="18"/>
  <c r="DQ24" i="18"/>
  <c r="DN24" i="18"/>
  <c r="DK24" i="18"/>
  <c r="DH24" i="18"/>
  <c r="DE24" i="18"/>
  <c r="DB24" i="18"/>
  <c r="CY24" i="18"/>
  <c r="CV24" i="18"/>
  <c r="CS24" i="18"/>
  <c r="CP24" i="18"/>
  <c r="CM24" i="18"/>
  <c r="CJ24" i="18"/>
  <c r="CG24" i="18"/>
  <c r="CD24" i="18"/>
  <c r="CA24" i="18"/>
  <c r="BX24" i="18"/>
  <c r="BU24" i="18"/>
  <c r="BR24" i="18"/>
  <c r="BO24" i="18"/>
  <c r="BL24" i="18"/>
  <c r="BI24" i="18"/>
  <c r="BF24" i="18"/>
  <c r="BC24" i="18"/>
  <c r="AZ24" i="18"/>
  <c r="AW24" i="18"/>
  <c r="AT24" i="18"/>
  <c r="AR24" i="18"/>
  <c r="EK24" i="18" s="1"/>
  <c r="AQ24" i="18"/>
  <c r="AL24" i="18"/>
  <c r="AN24" i="18" s="1"/>
  <c r="AK24" i="18"/>
  <c r="AI24" i="18"/>
  <c r="AB24" i="18"/>
  <c r="Y24" i="18"/>
  <c r="V24" i="18"/>
  <c r="S24" i="18"/>
  <c r="P24" i="18"/>
  <c r="M24" i="18"/>
  <c r="J24" i="18"/>
  <c r="G24" i="18"/>
  <c r="D24" i="18"/>
  <c r="ED24" i="18" s="1"/>
  <c r="EL23" i="18"/>
  <c r="EI23" i="18"/>
  <c r="EH23" i="18"/>
  <c r="EG23" i="18"/>
  <c r="DW23" i="18"/>
  <c r="DT23" i="18"/>
  <c r="DQ23" i="18"/>
  <c r="DN23" i="18"/>
  <c r="DK23" i="18"/>
  <c r="DH23" i="18"/>
  <c r="DE23" i="18"/>
  <c r="DB23" i="18"/>
  <c r="CY23" i="18"/>
  <c r="CV23" i="18"/>
  <c r="CS23" i="18"/>
  <c r="CP23" i="18"/>
  <c r="CM23" i="18"/>
  <c r="CJ23" i="18"/>
  <c r="CG23" i="18"/>
  <c r="CD23" i="18"/>
  <c r="CA23" i="18"/>
  <c r="BX23" i="18"/>
  <c r="BU23" i="18"/>
  <c r="BR23" i="18"/>
  <c r="BO23" i="18"/>
  <c r="BL23" i="18"/>
  <c r="BI23" i="18"/>
  <c r="BF23" i="18"/>
  <c r="BC23" i="18"/>
  <c r="AZ23" i="18"/>
  <c r="AW23" i="18"/>
  <c r="AT23" i="18"/>
  <c r="AR23" i="18"/>
  <c r="EK23" i="18" s="1"/>
  <c r="AO23" i="18"/>
  <c r="AQ23" i="18" s="1"/>
  <c r="AN23" i="18"/>
  <c r="AL23" i="18"/>
  <c r="EB23" i="18" s="1"/>
  <c r="AI23" i="18"/>
  <c r="AK23" i="18" s="1"/>
  <c r="AB23" i="18"/>
  <c r="Y23" i="18"/>
  <c r="V23" i="18"/>
  <c r="S23" i="18"/>
  <c r="P23" i="18"/>
  <c r="M23" i="18"/>
  <c r="J23" i="18"/>
  <c r="G23" i="18"/>
  <c r="D23" i="18"/>
  <c r="EL22" i="18"/>
  <c r="EK22" i="18"/>
  <c r="EG22" i="18"/>
  <c r="EI22" i="18" s="1"/>
  <c r="DW22" i="18"/>
  <c r="DT22" i="18"/>
  <c r="DQ22" i="18"/>
  <c r="DN22" i="18"/>
  <c r="DK22" i="18"/>
  <c r="DH22" i="18"/>
  <c r="DE22" i="18"/>
  <c r="DB22" i="18"/>
  <c r="CY22" i="18"/>
  <c r="CV22" i="18"/>
  <c r="CS22" i="18"/>
  <c r="CP22" i="18"/>
  <c r="CM22" i="18"/>
  <c r="CJ22" i="18"/>
  <c r="CG22" i="18"/>
  <c r="CD22" i="18"/>
  <c r="CA22" i="18"/>
  <c r="BX22" i="18"/>
  <c r="BU22" i="18"/>
  <c r="BR22" i="18"/>
  <c r="BO22" i="18"/>
  <c r="BL22" i="18"/>
  <c r="BI22" i="18"/>
  <c r="BF22" i="18"/>
  <c r="BC22" i="18"/>
  <c r="AZ22" i="18"/>
  <c r="AW22" i="18"/>
  <c r="AR22" i="18"/>
  <c r="AT22" i="18" s="1"/>
  <c r="AQ22" i="18"/>
  <c r="AO22" i="18"/>
  <c r="AL22" i="18"/>
  <c r="EB22" i="18" s="1"/>
  <c r="AK22" i="18"/>
  <c r="AI22" i="18"/>
  <c r="AB22" i="18"/>
  <c r="Y22" i="18"/>
  <c r="V22" i="18"/>
  <c r="S22" i="18"/>
  <c r="EH22" i="18" s="1"/>
  <c r="P22" i="18"/>
  <c r="M22" i="18"/>
  <c r="J22" i="18"/>
  <c r="G22" i="18"/>
  <c r="D22" i="18"/>
  <c r="EL21" i="18"/>
  <c r="EI21" i="18"/>
  <c r="EG21" i="18"/>
  <c r="DW21" i="18"/>
  <c r="DT21" i="18"/>
  <c r="DQ21" i="18"/>
  <c r="DN21" i="18"/>
  <c r="DK21" i="18"/>
  <c r="DH21" i="18"/>
  <c r="DE21" i="18"/>
  <c r="DB21" i="18"/>
  <c r="CY21" i="18"/>
  <c r="CV21" i="18"/>
  <c r="CS21" i="18"/>
  <c r="CP21" i="18"/>
  <c r="CM21" i="18"/>
  <c r="CJ21" i="18"/>
  <c r="CG21" i="18"/>
  <c r="CD21" i="18"/>
  <c r="CA21" i="18"/>
  <c r="BX21" i="18"/>
  <c r="BU21" i="18"/>
  <c r="BR21" i="18"/>
  <c r="BO21" i="18"/>
  <c r="BL21" i="18"/>
  <c r="BI21" i="18"/>
  <c r="BF21" i="18"/>
  <c r="BC21" i="18"/>
  <c r="AZ21" i="18"/>
  <c r="AW21" i="18"/>
  <c r="AT21" i="18"/>
  <c r="AR21" i="18"/>
  <c r="AO21" i="18"/>
  <c r="AQ21" i="18" s="1"/>
  <c r="EM21" i="18" s="1"/>
  <c r="AN21" i="18"/>
  <c r="AL21" i="18"/>
  <c r="AI21" i="18"/>
  <c r="AK21" i="18" s="1"/>
  <c r="AB21" i="18"/>
  <c r="Y21" i="18"/>
  <c r="EH21" i="18" s="1"/>
  <c r="V21" i="18"/>
  <c r="S21" i="18"/>
  <c r="P21" i="18"/>
  <c r="M21" i="18"/>
  <c r="J21" i="18"/>
  <c r="G21" i="18"/>
  <c r="D21" i="18"/>
  <c r="EL20" i="18"/>
  <c r="EG20" i="18"/>
  <c r="EI20" i="18" s="1"/>
  <c r="DW20" i="18"/>
  <c r="DT20" i="18"/>
  <c r="DQ20" i="18"/>
  <c r="DN20" i="18"/>
  <c r="DK20" i="18"/>
  <c r="DH20" i="18"/>
  <c r="DE20" i="18"/>
  <c r="DB20" i="18"/>
  <c r="CY20" i="18"/>
  <c r="CV20" i="18"/>
  <c r="CS20" i="18"/>
  <c r="CP20" i="18"/>
  <c r="CM20" i="18"/>
  <c r="CJ20" i="18"/>
  <c r="CG20" i="18"/>
  <c r="CD20" i="18"/>
  <c r="CA20" i="18"/>
  <c r="BX20" i="18"/>
  <c r="BU20" i="18"/>
  <c r="BR20" i="18"/>
  <c r="BO20" i="18"/>
  <c r="BL20" i="18"/>
  <c r="BI20" i="18"/>
  <c r="BF20" i="18"/>
  <c r="BC20" i="18"/>
  <c r="AZ20" i="18"/>
  <c r="AW20" i="18"/>
  <c r="AR20" i="18"/>
  <c r="AT20" i="18" s="1"/>
  <c r="AQ20" i="18"/>
  <c r="AO20" i="18"/>
  <c r="AL20" i="18"/>
  <c r="EB20" i="18" s="1"/>
  <c r="AK20" i="18"/>
  <c r="AI20" i="18"/>
  <c r="AB20" i="18"/>
  <c r="Y20" i="18"/>
  <c r="V20" i="18"/>
  <c r="S20" i="18"/>
  <c r="EH20" i="18" s="1"/>
  <c r="P20" i="18"/>
  <c r="M20" i="18"/>
  <c r="J20" i="18"/>
  <c r="G20" i="18"/>
  <c r="D20" i="18"/>
  <c r="EL19" i="18"/>
  <c r="EI19" i="18"/>
  <c r="EH19" i="18"/>
  <c r="EG19" i="18"/>
  <c r="DW19" i="18"/>
  <c r="DT19" i="18"/>
  <c r="DQ19" i="18"/>
  <c r="DN19" i="18"/>
  <c r="DK19" i="18"/>
  <c r="DH19" i="18"/>
  <c r="DE19" i="18"/>
  <c r="DB19" i="18"/>
  <c r="CY19" i="18"/>
  <c r="CV19" i="18"/>
  <c r="CS19" i="18"/>
  <c r="CP19" i="18"/>
  <c r="CM19" i="18"/>
  <c r="CJ19" i="18"/>
  <c r="CG19" i="18"/>
  <c r="CD19" i="18"/>
  <c r="CA19" i="18"/>
  <c r="BX19" i="18"/>
  <c r="BU19" i="18"/>
  <c r="BR19" i="18"/>
  <c r="BO19" i="18"/>
  <c r="BL19" i="18"/>
  <c r="BI19" i="18"/>
  <c r="BF19" i="18"/>
  <c r="BC19" i="18"/>
  <c r="AZ19" i="18"/>
  <c r="AW19" i="18"/>
  <c r="AT19" i="18"/>
  <c r="AR19" i="18"/>
  <c r="EK19" i="18" s="1"/>
  <c r="AO19" i="18"/>
  <c r="AQ19" i="18" s="1"/>
  <c r="AN19" i="18"/>
  <c r="AL19" i="18"/>
  <c r="EB19" i="18" s="1"/>
  <c r="AI19" i="18"/>
  <c r="AK19" i="18" s="1"/>
  <c r="AB19" i="18"/>
  <c r="Y19" i="18"/>
  <c r="V19" i="18"/>
  <c r="S19" i="18"/>
  <c r="P19" i="18"/>
  <c r="M19" i="18"/>
  <c r="J19" i="18"/>
  <c r="G19" i="18"/>
  <c r="D19" i="18"/>
  <c r="EL18" i="18"/>
  <c r="EK18" i="18"/>
  <c r="EG18" i="18"/>
  <c r="EI18" i="18" s="1"/>
  <c r="EB18" i="18"/>
  <c r="DW18" i="18"/>
  <c r="DT18" i="18"/>
  <c r="DQ18" i="18"/>
  <c r="DN18" i="18"/>
  <c r="DK18" i="18"/>
  <c r="DH18" i="18"/>
  <c r="DE18" i="18"/>
  <c r="DB18" i="18"/>
  <c r="CY18" i="18"/>
  <c r="CV18" i="18"/>
  <c r="CS18" i="18"/>
  <c r="CP18" i="18"/>
  <c r="CM18" i="18"/>
  <c r="CJ18" i="18"/>
  <c r="CG18" i="18"/>
  <c r="CD18" i="18"/>
  <c r="CA18" i="18"/>
  <c r="BX18" i="18"/>
  <c r="BU18" i="18"/>
  <c r="BR18" i="18"/>
  <c r="BO18" i="18"/>
  <c r="BL18" i="18"/>
  <c r="BI18" i="18"/>
  <c r="BF18" i="18"/>
  <c r="BC18" i="18"/>
  <c r="AZ18" i="18"/>
  <c r="AW18" i="18"/>
  <c r="AT18" i="18"/>
  <c r="AR18" i="18"/>
  <c r="AQ18" i="18"/>
  <c r="AO18" i="18"/>
  <c r="AN18" i="18"/>
  <c r="AL18" i="18"/>
  <c r="AK18" i="18"/>
  <c r="AI18" i="18"/>
  <c r="AB18" i="18"/>
  <c r="Y18" i="18"/>
  <c r="V18" i="18"/>
  <c r="S18" i="18"/>
  <c r="P18" i="18"/>
  <c r="M18" i="18"/>
  <c r="J18" i="18"/>
  <c r="G18" i="18"/>
  <c r="D18" i="18"/>
  <c r="EL17" i="18"/>
  <c r="EG17" i="18"/>
  <c r="EI17" i="18" s="1"/>
  <c r="EB17" i="18"/>
  <c r="DW17" i="18"/>
  <c r="DT17" i="18"/>
  <c r="DQ17" i="18"/>
  <c r="EM17" i="18" s="1"/>
  <c r="DN17" i="18"/>
  <c r="DK17" i="18"/>
  <c r="DH17" i="18"/>
  <c r="DE17" i="18"/>
  <c r="DB17" i="18"/>
  <c r="CY17" i="18"/>
  <c r="CV17" i="18"/>
  <c r="CS17" i="18"/>
  <c r="CP17" i="18"/>
  <c r="CM17" i="18"/>
  <c r="CJ17" i="18"/>
  <c r="CG17" i="18"/>
  <c r="CD17" i="18"/>
  <c r="CA17" i="18"/>
  <c r="BX17" i="18"/>
  <c r="BU17" i="18"/>
  <c r="BR17" i="18"/>
  <c r="BO17" i="18"/>
  <c r="BL17" i="18"/>
  <c r="BI17" i="18"/>
  <c r="BF17" i="18"/>
  <c r="BC17" i="18"/>
  <c r="AZ17" i="18"/>
  <c r="AW17" i="18"/>
  <c r="AT17" i="18"/>
  <c r="AR17" i="18"/>
  <c r="AO17" i="18"/>
  <c r="AQ17" i="18" s="1"/>
  <c r="AN17" i="18"/>
  <c r="AL17" i="18"/>
  <c r="AI17" i="18"/>
  <c r="AK17" i="18" s="1"/>
  <c r="AB17" i="18"/>
  <c r="Y17" i="18"/>
  <c r="V17" i="18"/>
  <c r="EH17" i="18" s="1"/>
  <c r="S17" i="18"/>
  <c r="P17" i="18"/>
  <c r="M17" i="18"/>
  <c r="J17" i="18"/>
  <c r="G17" i="18"/>
  <c r="D17" i="18"/>
  <c r="ED17" i="18" s="1"/>
  <c r="EL16" i="18"/>
  <c r="EI16" i="18"/>
  <c r="EG16" i="18"/>
  <c r="DW16" i="18"/>
  <c r="DT16" i="18"/>
  <c r="DQ16" i="18"/>
  <c r="DN16" i="18"/>
  <c r="DK16" i="18"/>
  <c r="DH16" i="18"/>
  <c r="DE16" i="18"/>
  <c r="DB16" i="18"/>
  <c r="CY16" i="18"/>
  <c r="CV16" i="18"/>
  <c r="CS16" i="18"/>
  <c r="CP16" i="18"/>
  <c r="CM16" i="18"/>
  <c r="CJ16" i="18"/>
  <c r="CG16" i="18"/>
  <c r="CD16" i="18"/>
  <c r="CA16" i="18"/>
  <c r="BX16" i="18"/>
  <c r="BU16" i="18"/>
  <c r="BR16" i="18"/>
  <c r="BO16" i="18"/>
  <c r="BL16" i="18"/>
  <c r="BI16" i="18"/>
  <c r="BF16" i="18"/>
  <c r="BC16" i="18"/>
  <c r="AZ16" i="18"/>
  <c r="AW16" i="18"/>
  <c r="AR16" i="18"/>
  <c r="AT16" i="18" s="1"/>
  <c r="AQ16" i="18"/>
  <c r="AO16" i="18"/>
  <c r="AL16" i="18"/>
  <c r="AK16" i="18"/>
  <c r="AI16" i="18"/>
  <c r="AB16" i="18"/>
  <c r="Y16" i="18"/>
  <c r="V16" i="18"/>
  <c r="S16" i="18"/>
  <c r="P16" i="18"/>
  <c r="M16" i="18"/>
  <c r="J16" i="18"/>
  <c r="G16" i="18"/>
  <c r="D16" i="18"/>
  <c r="EL15" i="18"/>
  <c r="EG15" i="18"/>
  <c r="EI15" i="18" s="1"/>
  <c r="DW15" i="18"/>
  <c r="DT15" i="18"/>
  <c r="DQ15" i="18"/>
  <c r="EM15" i="18" s="1"/>
  <c r="DN15" i="18"/>
  <c r="DK15" i="18"/>
  <c r="DH15" i="18"/>
  <c r="DE15" i="18"/>
  <c r="DB15" i="18"/>
  <c r="CY15" i="18"/>
  <c r="CV15" i="18"/>
  <c r="CS15" i="18"/>
  <c r="CP15" i="18"/>
  <c r="CM15" i="18"/>
  <c r="CJ15" i="18"/>
  <c r="CG15" i="18"/>
  <c r="CD15" i="18"/>
  <c r="CA15" i="18"/>
  <c r="BX15" i="18"/>
  <c r="BU15" i="18"/>
  <c r="BR15" i="18"/>
  <c r="BO15" i="18"/>
  <c r="BL15" i="18"/>
  <c r="BI15" i="18"/>
  <c r="BF15" i="18"/>
  <c r="BC15" i="18"/>
  <c r="AZ15" i="18"/>
  <c r="AW15" i="18"/>
  <c r="AT15" i="18"/>
  <c r="AR15" i="18"/>
  <c r="AO15" i="18"/>
  <c r="AQ15" i="18" s="1"/>
  <c r="AN15" i="18"/>
  <c r="AL15" i="18"/>
  <c r="AI15" i="18"/>
  <c r="AK15" i="18" s="1"/>
  <c r="AB15" i="18"/>
  <c r="Y15" i="18"/>
  <c r="V15" i="18"/>
  <c r="EH15" i="18" s="1"/>
  <c r="S15" i="18"/>
  <c r="P15" i="18"/>
  <c r="M15" i="18"/>
  <c r="J15" i="18"/>
  <c r="G15" i="18"/>
  <c r="D15" i="18"/>
  <c r="EL14" i="18"/>
  <c r="EI14" i="18"/>
  <c r="EG14" i="18"/>
  <c r="DW14" i="18"/>
  <c r="DT14" i="18"/>
  <c r="DQ14" i="18"/>
  <c r="DN14" i="18"/>
  <c r="DK14" i="18"/>
  <c r="DH14" i="18"/>
  <c r="DE14" i="18"/>
  <c r="DB14" i="18"/>
  <c r="CY14" i="18"/>
  <c r="CV14" i="18"/>
  <c r="CS14" i="18"/>
  <c r="CP14" i="18"/>
  <c r="CM14" i="18"/>
  <c r="CJ14" i="18"/>
  <c r="CG14" i="18"/>
  <c r="CD14" i="18"/>
  <c r="CA14" i="18"/>
  <c r="BX14" i="18"/>
  <c r="BU14" i="18"/>
  <c r="BR14" i="18"/>
  <c r="BO14" i="18"/>
  <c r="BL14" i="18"/>
  <c r="BI14" i="18"/>
  <c r="BF14" i="18"/>
  <c r="BC14" i="18"/>
  <c r="AZ14" i="18"/>
  <c r="AW14" i="18"/>
  <c r="AR14" i="18"/>
  <c r="AT14" i="18" s="1"/>
  <c r="AQ14" i="18"/>
  <c r="AO14" i="18"/>
  <c r="AL14" i="18"/>
  <c r="AK14" i="18"/>
  <c r="AI14" i="18"/>
  <c r="AB14" i="18"/>
  <c r="Y14" i="18"/>
  <c r="V14" i="18"/>
  <c r="S14" i="18"/>
  <c r="P14" i="18"/>
  <c r="M14" i="18"/>
  <c r="J14" i="18"/>
  <c r="G14" i="18"/>
  <c r="D14" i="18"/>
  <c r="EL13" i="18"/>
  <c r="EG13" i="18"/>
  <c r="EI13" i="18" s="1"/>
  <c r="EB13" i="18"/>
  <c r="DW13" i="18"/>
  <c r="DT13" i="18"/>
  <c r="DQ13" i="18"/>
  <c r="DN13" i="18"/>
  <c r="DK13" i="18"/>
  <c r="DH13" i="18"/>
  <c r="DE13" i="18"/>
  <c r="DB13" i="18"/>
  <c r="CY13" i="18"/>
  <c r="CV13" i="18"/>
  <c r="CS13" i="18"/>
  <c r="CP13" i="18"/>
  <c r="CM13" i="18"/>
  <c r="CJ13" i="18"/>
  <c r="CG13" i="18"/>
  <c r="CD13" i="18"/>
  <c r="CA13" i="18"/>
  <c r="BX13" i="18"/>
  <c r="BU13" i="18"/>
  <c r="BR13" i="18"/>
  <c r="BO13" i="18"/>
  <c r="BL13" i="18"/>
  <c r="BI13" i="18"/>
  <c r="BF13" i="18"/>
  <c r="BC13" i="18"/>
  <c r="AZ13" i="18"/>
  <c r="AW13" i="18"/>
  <c r="AT13" i="18"/>
  <c r="AR13" i="18"/>
  <c r="AO13" i="18"/>
  <c r="AQ13" i="18" s="1"/>
  <c r="AN13" i="18"/>
  <c r="AL13" i="18"/>
  <c r="AI13" i="18"/>
  <c r="AK13" i="18" s="1"/>
  <c r="AB13" i="18"/>
  <c r="Y13" i="18"/>
  <c r="V13" i="18"/>
  <c r="EH13" i="18" s="1"/>
  <c r="S13" i="18"/>
  <c r="P13" i="18"/>
  <c r="M13" i="18"/>
  <c r="J13" i="18"/>
  <c r="G13" i="18"/>
  <c r="D13" i="18"/>
  <c r="EL12" i="18"/>
  <c r="EG12" i="18"/>
  <c r="EI12" i="18" s="1"/>
  <c r="DW12" i="18"/>
  <c r="DT12" i="18"/>
  <c r="DQ12" i="18"/>
  <c r="DN12" i="18"/>
  <c r="DK12" i="18"/>
  <c r="DH12" i="18"/>
  <c r="DE12" i="18"/>
  <c r="DB12" i="18"/>
  <c r="CY12" i="18"/>
  <c r="CV12" i="18"/>
  <c r="CS12" i="18"/>
  <c r="CP12" i="18"/>
  <c r="CM12" i="18"/>
  <c r="CJ12" i="18"/>
  <c r="CG12" i="18"/>
  <c r="CD12" i="18"/>
  <c r="CA12" i="18"/>
  <c r="BX12" i="18"/>
  <c r="BU12" i="18"/>
  <c r="BR12" i="18"/>
  <c r="BO12" i="18"/>
  <c r="BL12" i="18"/>
  <c r="BI12" i="18"/>
  <c r="BF12" i="18"/>
  <c r="BC12" i="18"/>
  <c r="AZ12" i="18"/>
  <c r="AW12" i="18"/>
  <c r="AT12" i="18"/>
  <c r="AO12" i="18"/>
  <c r="EK12" i="18" s="1"/>
  <c r="AL12" i="18"/>
  <c r="AN12" i="18" s="1"/>
  <c r="AI12" i="18"/>
  <c r="AK12" i="18" s="1"/>
  <c r="AB12" i="18"/>
  <c r="Y12" i="18"/>
  <c r="V12" i="18"/>
  <c r="S12" i="18"/>
  <c r="P12" i="18"/>
  <c r="M12" i="18"/>
  <c r="J12" i="18"/>
  <c r="G12" i="18"/>
  <c r="D12" i="18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EL11" i="18"/>
  <c r="EG11" i="18"/>
  <c r="EI11" i="18" s="1"/>
  <c r="DW11" i="18"/>
  <c r="DW41" i="18" s="1"/>
  <c r="DT11" i="18"/>
  <c r="DQ11" i="18"/>
  <c r="DN11" i="18"/>
  <c r="DN41" i="18" s="1"/>
  <c r="DK11" i="18"/>
  <c r="DK41" i="18" s="1"/>
  <c r="DH11" i="18"/>
  <c r="DE11" i="18"/>
  <c r="DB11" i="18"/>
  <c r="CY11" i="18"/>
  <c r="CY41" i="18" s="1"/>
  <c r="CV11" i="18"/>
  <c r="CS11" i="18"/>
  <c r="CP11" i="18"/>
  <c r="CP41" i="18" s="1"/>
  <c r="CM11" i="18"/>
  <c r="CM41" i="18" s="1"/>
  <c r="CJ11" i="18"/>
  <c r="CG11" i="18"/>
  <c r="CD11" i="18"/>
  <c r="CA11" i="18"/>
  <c r="CA41" i="18" s="1"/>
  <c r="BX11" i="18"/>
  <c r="BU11" i="18"/>
  <c r="BR11" i="18"/>
  <c r="BR41" i="18" s="1"/>
  <c r="BO11" i="18"/>
  <c r="BO41" i="18" s="1"/>
  <c r="BL11" i="18"/>
  <c r="BI11" i="18"/>
  <c r="BF11" i="18"/>
  <c r="BC11" i="18"/>
  <c r="BC41" i="18" s="1"/>
  <c r="AZ11" i="18"/>
  <c r="AW11" i="18"/>
  <c r="AT11" i="18"/>
  <c r="AQ11" i="18"/>
  <c r="AO11" i="18"/>
  <c r="AL11" i="18"/>
  <c r="EB11" i="18" s="1"/>
  <c r="AK11" i="18"/>
  <c r="AI11" i="18"/>
  <c r="AE41" i="18"/>
  <c r="AB11" i="18"/>
  <c r="AB41" i="18" s="1"/>
  <c r="Y11" i="18"/>
  <c r="V11" i="18"/>
  <c r="V41" i="18" s="1"/>
  <c r="S11" i="18"/>
  <c r="EH11" i="18" s="1"/>
  <c r="P11" i="18"/>
  <c r="P41" i="18" s="1"/>
  <c r="M11" i="18"/>
  <c r="J11" i="18"/>
  <c r="G11" i="18"/>
  <c r="G41" i="18" s="1"/>
  <c r="D11" i="18"/>
  <c r="EI2" i="18"/>
  <c r="EL41" i="17"/>
  <c r="EG41" i="17"/>
  <c r="EI41" i="17" s="1"/>
  <c r="EB41" i="17"/>
  <c r="DW41" i="17"/>
  <c r="DT41" i="17"/>
  <c r="DQ41" i="17"/>
  <c r="DN41" i="17"/>
  <c r="DK41" i="17"/>
  <c r="DH41" i="17"/>
  <c r="DE41" i="17"/>
  <c r="DB41" i="17"/>
  <c r="CY41" i="17"/>
  <c r="CV41" i="17"/>
  <c r="CS41" i="17"/>
  <c r="CP41" i="17"/>
  <c r="CM41" i="17"/>
  <c r="CJ41" i="17"/>
  <c r="CG41" i="17"/>
  <c r="CD41" i="17"/>
  <c r="CA41" i="17"/>
  <c r="BX41" i="17"/>
  <c r="BU41" i="17"/>
  <c r="BR41" i="17"/>
  <c r="BO41" i="17"/>
  <c r="BL41" i="17"/>
  <c r="BI41" i="17"/>
  <c r="BF41" i="17"/>
  <c r="BC41" i="17"/>
  <c r="AZ41" i="17"/>
  <c r="AW41" i="17"/>
  <c r="AT41" i="17"/>
  <c r="AR41" i="17"/>
  <c r="EK41" i="17" s="1"/>
  <c r="AQ41" i="17"/>
  <c r="AN41" i="17"/>
  <c r="AK41" i="17"/>
  <c r="AI41" i="17"/>
  <c r="AB41" i="17"/>
  <c r="Y41" i="17"/>
  <c r="V41" i="17"/>
  <c r="S41" i="17"/>
  <c r="P41" i="17"/>
  <c r="M41" i="17"/>
  <c r="J41" i="17"/>
  <c r="G41" i="17"/>
  <c r="D41" i="17"/>
  <c r="ED41" i="17" s="1"/>
  <c r="EL40" i="17"/>
  <c r="EG40" i="17"/>
  <c r="EI40" i="17" s="1"/>
  <c r="EB40" i="17"/>
  <c r="DW40" i="17"/>
  <c r="DT40" i="17"/>
  <c r="EM40" i="17" s="1"/>
  <c r="DQ40" i="17"/>
  <c r="DN40" i="17"/>
  <c r="DK40" i="17"/>
  <c r="DH40" i="17"/>
  <c r="DE40" i="17"/>
  <c r="DB40" i="17"/>
  <c r="CY40" i="17"/>
  <c r="CV40" i="17"/>
  <c r="CS40" i="17"/>
  <c r="CP40" i="17"/>
  <c r="CM40" i="17"/>
  <c r="CJ40" i="17"/>
  <c r="CG40" i="17"/>
  <c r="CD40" i="17"/>
  <c r="CA40" i="17"/>
  <c r="BX40" i="17"/>
  <c r="BU40" i="17"/>
  <c r="BR40" i="17"/>
  <c r="BO40" i="17"/>
  <c r="BL40" i="17"/>
  <c r="BI40" i="17"/>
  <c r="BF40" i="17"/>
  <c r="BC40" i="17"/>
  <c r="AZ40" i="17"/>
  <c r="AW40" i="17"/>
  <c r="AT40" i="17"/>
  <c r="AR40" i="17"/>
  <c r="EK40" i="17" s="1"/>
  <c r="EN40" i="17" s="1"/>
  <c r="AQ40" i="17"/>
  <c r="AN40" i="17"/>
  <c r="AK40" i="17"/>
  <c r="AI40" i="17"/>
  <c r="AB40" i="17"/>
  <c r="Y40" i="17"/>
  <c r="V40" i="17"/>
  <c r="S40" i="17"/>
  <c r="EH40" i="17" s="1"/>
  <c r="P40" i="17"/>
  <c r="M40" i="17"/>
  <c r="J40" i="17"/>
  <c r="G40" i="17"/>
  <c r="D40" i="17"/>
  <c r="ED40" i="17" s="1"/>
  <c r="EL39" i="17"/>
  <c r="EG39" i="17"/>
  <c r="EI39" i="17" s="1"/>
  <c r="EB39" i="17"/>
  <c r="DW39" i="17"/>
  <c r="DT39" i="17"/>
  <c r="DQ39" i="17"/>
  <c r="DN39" i="17"/>
  <c r="DK39" i="17"/>
  <c r="DH39" i="17"/>
  <c r="DE39" i="17"/>
  <c r="DB39" i="17"/>
  <c r="CY39" i="17"/>
  <c r="CV39" i="17"/>
  <c r="CS39" i="17"/>
  <c r="CP39" i="17"/>
  <c r="CM39" i="17"/>
  <c r="CJ39" i="17"/>
  <c r="CG39" i="17"/>
  <c r="CD39" i="17"/>
  <c r="CA39" i="17"/>
  <c r="BX39" i="17"/>
  <c r="BU39" i="17"/>
  <c r="BR39" i="17"/>
  <c r="BO39" i="17"/>
  <c r="BL39" i="17"/>
  <c r="BI39" i="17"/>
  <c r="BF39" i="17"/>
  <c r="BC39" i="17"/>
  <c r="AZ39" i="17"/>
  <c r="AW39" i="17"/>
  <c r="AT39" i="17"/>
  <c r="AR39" i="17"/>
  <c r="EK39" i="17" s="1"/>
  <c r="AQ39" i="17"/>
  <c r="AN39" i="17"/>
  <c r="AK39" i="17"/>
  <c r="AI39" i="17"/>
  <c r="AB39" i="17"/>
  <c r="Y39" i="17"/>
  <c r="V39" i="17"/>
  <c r="S39" i="17"/>
  <c r="P39" i="17"/>
  <c r="M39" i="17"/>
  <c r="J39" i="17"/>
  <c r="G39" i="17"/>
  <c r="D39" i="17"/>
  <c r="ED39" i="17" s="1"/>
  <c r="EL38" i="17"/>
  <c r="EG38" i="17"/>
  <c r="EI38" i="17" s="1"/>
  <c r="EB38" i="17"/>
  <c r="DW38" i="17"/>
  <c r="DT38" i="17"/>
  <c r="DQ38" i="17"/>
  <c r="DN38" i="17"/>
  <c r="DK38" i="17"/>
  <c r="DH38" i="17"/>
  <c r="DE38" i="17"/>
  <c r="DB38" i="17"/>
  <c r="CY38" i="17"/>
  <c r="CV38" i="17"/>
  <c r="CS38" i="17"/>
  <c r="CP38" i="17"/>
  <c r="CM38" i="17"/>
  <c r="CJ38" i="17"/>
  <c r="CG38" i="17"/>
  <c r="CD38" i="17"/>
  <c r="CA38" i="17"/>
  <c r="BX38" i="17"/>
  <c r="BU38" i="17"/>
  <c r="BR38" i="17"/>
  <c r="BO38" i="17"/>
  <c r="BL38" i="17"/>
  <c r="BI38" i="17"/>
  <c r="BF38" i="17"/>
  <c r="BC38" i="17"/>
  <c r="AZ38" i="17"/>
  <c r="AW38" i="17"/>
  <c r="AT38" i="17"/>
  <c r="AR38" i="17"/>
  <c r="EK38" i="17" s="1"/>
  <c r="AQ38" i="17"/>
  <c r="AN38" i="17"/>
  <c r="AK38" i="17"/>
  <c r="AI38" i="17"/>
  <c r="AB38" i="17"/>
  <c r="Y38" i="17"/>
  <c r="V38" i="17"/>
  <c r="S38" i="17"/>
  <c r="P38" i="17"/>
  <c r="M38" i="17"/>
  <c r="J38" i="17"/>
  <c r="G38" i="17"/>
  <c r="D38" i="17"/>
  <c r="ED38" i="17" s="1"/>
  <c r="EL37" i="17"/>
  <c r="EG37" i="17"/>
  <c r="EI37" i="17" s="1"/>
  <c r="EB37" i="17"/>
  <c r="DW37" i="17"/>
  <c r="DT37" i="17"/>
  <c r="DQ37" i="17"/>
  <c r="DN37" i="17"/>
  <c r="DK37" i="17"/>
  <c r="DH37" i="17"/>
  <c r="DE37" i="17"/>
  <c r="DB37" i="17"/>
  <c r="CY37" i="17"/>
  <c r="CV37" i="17"/>
  <c r="CS37" i="17"/>
  <c r="CP37" i="17"/>
  <c r="CM37" i="17"/>
  <c r="CJ37" i="17"/>
  <c r="CG37" i="17"/>
  <c r="CD37" i="17"/>
  <c r="CA37" i="17"/>
  <c r="BX37" i="17"/>
  <c r="BU37" i="17"/>
  <c r="BR37" i="17"/>
  <c r="BO37" i="17"/>
  <c r="BL37" i="17"/>
  <c r="BI37" i="17"/>
  <c r="BF37" i="17"/>
  <c r="BC37" i="17"/>
  <c r="AZ37" i="17"/>
  <c r="AW37" i="17"/>
  <c r="AT37" i="17"/>
  <c r="AR37" i="17"/>
  <c r="EK37" i="17" s="1"/>
  <c r="AQ37" i="17"/>
  <c r="AN37" i="17"/>
  <c r="AK37" i="17"/>
  <c r="AI37" i="17"/>
  <c r="AB37" i="17"/>
  <c r="Y37" i="17"/>
  <c r="V37" i="17"/>
  <c r="S37" i="17"/>
  <c r="P37" i="17"/>
  <c r="M37" i="17"/>
  <c r="J37" i="17"/>
  <c r="G37" i="17"/>
  <c r="D37" i="17"/>
  <c r="ED37" i="17" s="1"/>
  <c r="EL36" i="17"/>
  <c r="EG36" i="17"/>
  <c r="EI36" i="17" s="1"/>
  <c r="EB36" i="17"/>
  <c r="DW36" i="17"/>
  <c r="DT36" i="17"/>
  <c r="DQ36" i="17"/>
  <c r="EM36" i="17" s="1"/>
  <c r="DN36" i="17"/>
  <c r="DK36" i="17"/>
  <c r="DH36" i="17"/>
  <c r="DE36" i="17"/>
  <c r="DB36" i="17"/>
  <c r="CY36" i="17"/>
  <c r="CV36" i="17"/>
  <c r="CS36" i="17"/>
  <c r="CP36" i="17"/>
  <c r="CM36" i="17"/>
  <c r="CJ36" i="17"/>
  <c r="CG36" i="17"/>
  <c r="CD36" i="17"/>
  <c r="CA36" i="17"/>
  <c r="BX36" i="17"/>
  <c r="BU36" i="17"/>
  <c r="BR36" i="17"/>
  <c r="BO36" i="17"/>
  <c r="BL36" i="17"/>
  <c r="BI36" i="17"/>
  <c r="BF36" i="17"/>
  <c r="BC36" i="17"/>
  <c r="AZ36" i="17"/>
  <c r="AW36" i="17"/>
  <c r="AT36" i="17"/>
  <c r="AR36" i="17"/>
  <c r="EK36" i="17" s="1"/>
  <c r="AQ36" i="17"/>
  <c r="AN36" i="17"/>
  <c r="AK36" i="17"/>
  <c r="AI36" i="17"/>
  <c r="AB36" i="17"/>
  <c r="Y36" i="17"/>
  <c r="V36" i="17"/>
  <c r="S36" i="17"/>
  <c r="EH36" i="17" s="1"/>
  <c r="P36" i="17"/>
  <c r="M36" i="17"/>
  <c r="J36" i="17"/>
  <c r="G36" i="17"/>
  <c r="D36" i="17"/>
  <c r="ED36" i="17" s="1"/>
  <c r="EL35" i="17"/>
  <c r="EG35" i="17"/>
  <c r="EI35" i="17" s="1"/>
  <c r="EB35" i="17"/>
  <c r="DW35" i="17"/>
  <c r="DT35" i="17"/>
  <c r="DQ35" i="17"/>
  <c r="DN35" i="17"/>
  <c r="DK35" i="17"/>
  <c r="DH35" i="17"/>
  <c r="DE35" i="17"/>
  <c r="DB35" i="17"/>
  <c r="CY35" i="17"/>
  <c r="CV35" i="17"/>
  <c r="CS35" i="17"/>
  <c r="CP35" i="17"/>
  <c r="CM35" i="17"/>
  <c r="CJ35" i="17"/>
  <c r="CG35" i="17"/>
  <c r="CD35" i="17"/>
  <c r="CA35" i="17"/>
  <c r="BX35" i="17"/>
  <c r="BU35" i="17"/>
  <c r="BR35" i="17"/>
  <c r="BO35" i="17"/>
  <c r="BL35" i="17"/>
  <c r="BI35" i="17"/>
  <c r="BF35" i="17"/>
  <c r="BC35" i="17"/>
  <c r="AZ35" i="17"/>
  <c r="AW35" i="17"/>
  <c r="AT35" i="17"/>
  <c r="AR35" i="17"/>
  <c r="EK35" i="17" s="1"/>
  <c r="AQ35" i="17"/>
  <c r="AN35" i="17"/>
  <c r="AK35" i="17"/>
  <c r="AI35" i="17"/>
  <c r="AB35" i="17"/>
  <c r="Y35" i="17"/>
  <c r="V35" i="17"/>
  <c r="S35" i="17"/>
  <c r="P35" i="17"/>
  <c r="M35" i="17"/>
  <c r="J35" i="17"/>
  <c r="G35" i="17"/>
  <c r="D35" i="17"/>
  <c r="ED35" i="17" s="1"/>
  <c r="EL34" i="17"/>
  <c r="EG34" i="17"/>
  <c r="EI34" i="17" s="1"/>
  <c r="EB34" i="17"/>
  <c r="DW34" i="17"/>
  <c r="DT34" i="17"/>
  <c r="DQ34" i="17"/>
  <c r="DN34" i="17"/>
  <c r="DK34" i="17"/>
  <c r="DH34" i="17"/>
  <c r="DE34" i="17"/>
  <c r="DB34" i="17"/>
  <c r="CY34" i="17"/>
  <c r="CV34" i="17"/>
  <c r="CS34" i="17"/>
  <c r="CP34" i="17"/>
  <c r="CM34" i="17"/>
  <c r="CJ34" i="17"/>
  <c r="CG34" i="17"/>
  <c r="CD34" i="17"/>
  <c r="CA34" i="17"/>
  <c r="BX34" i="17"/>
  <c r="BU34" i="17"/>
  <c r="BR34" i="17"/>
  <c r="BO34" i="17"/>
  <c r="BL34" i="17"/>
  <c r="BI34" i="17"/>
  <c r="BF34" i="17"/>
  <c r="BC34" i="17"/>
  <c r="AZ34" i="17"/>
  <c r="AW34" i="17"/>
  <c r="AT34" i="17"/>
  <c r="AR34" i="17"/>
  <c r="EK34" i="17" s="1"/>
  <c r="AQ34" i="17"/>
  <c r="AN34" i="17"/>
  <c r="AK34" i="17"/>
  <c r="AI34" i="17"/>
  <c r="AB34" i="17"/>
  <c r="Y34" i="17"/>
  <c r="V34" i="17"/>
  <c r="S34" i="17"/>
  <c r="P34" i="17"/>
  <c r="M34" i="17"/>
  <c r="J34" i="17"/>
  <c r="G34" i="17"/>
  <c r="D34" i="17"/>
  <c r="ED34" i="17" s="1"/>
  <c r="EL33" i="17"/>
  <c r="EG33" i="17"/>
  <c r="EI33" i="17" s="1"/>
  <c r="EB33" i="17"/>
  <c r="DW33" i="17"/>
  <c r="DT33" i="17"/>
  <c r="DQ33" i="17"/>
  <c r="DN33" i="17"/>
  <c r="DK33" i="17"/>
  <c r="DH33" i="17"/>
  <c r="DE33" i="17"/>
  <c r="DB33" i="17"/>
  <c r="CY33" i="17"/>
  <c r="CV33" i="17"/>
  <c r="CS33" i="17"/>
  <c r="CP33" i="17"/>
  <c r="CM33" i="17"/>
  <c r="CJ33" i="17"/>
  <c r="CG33" i="17"/>
  <c r="CD33" i="17"/>
  <c r="CA33" i="17"/>
  <c r="BX33" i="17"/>
  <c r="BU33" i="17"/>
  <c r="BR33" i="17"/>
  <c r="BO33" i="17"/>
  <c r="BL33" i="17"/>
  <c r="BI33" i="17"/>
  <c r="BF33" i="17"/>
  <c r="BC33" i="17"/>
  <c r="AZ33" i="17"/>
  <c r="AW33" i="17"/>
  <c r="AT33" i="17"/>
  <c r="AR33" i="17"/>
  <c r="EK33" i="17" s="1"/>
  <c r="AQ33" i="17"/>
  <c r="AN33" i="17"/>
  <c r="AK33" i="17"/>
  <c r="AI33" i="17"/>
  <c r="AB33" i="17"/>
  <c r="Y33" i="17"/>
  <c r="V33" i="17"/>
  <c r="S33" i="17"/>
  <c r="P33" i="17"/>
  <c r="M33" i="17"/>
  <c r="J33" i="17"/>
  <c r="G33" i="17"/>
  <c r="D33" i="17"/>
  <c r="ED33" i="17" s="1"/>
  <c r="EL32" i="17"/>
  <c r="EG32" i="17"/>
  <c r="EI32" i="17" s="1"/>
  <c r="EB32" i="17"/>
  <c r="DW32" i="17"/>
  <c r="DT32" i="17"/>
  <c r="DQ32" i="17"/>
  <c r="EM32" i="17" s="1"/>
  <c r="DN32" i="17"/>
  <c r="DK32" i="17"/>
  <c r="DH32" i="17"/>
  <c r="DE32" i="17"/>
  <c r="DB32" i="17"/>
  <c r="CY32" i="17"/>
  <c r="CV32" i="17"/>
  <c r="CS32" i="17"/>
  <c r="CP32" i="17"/>
  <c r="CM32" i="17"/>
  <c r="CJ32" i="17"/>
  <c r="CG32" i="17"/>
  <c r="CD32" i="17"/>
  <c r="CA32" i="17"/>
  <c r="BX32" i="17"/>
  <c r="BU32" i="17"/>
  <c r="BR32" i="17"/>
  <c r="BO32" i="17"/>
  <c r="BL32" i="17"/>
  <c r="BI32" i="17"/>
  <c r="BF32" i="17"/>
  <c r="BC32" i="17"/>
  <c r="AZ32" i="17"/>
  <c r="AW32" i="17"/>
  <c r="AT32" i="17"/>
  <c r="AR32" i="17"/>
  <c r="EK32" i="17" s="1"/>
  <c r="AQ32" i="17"/>
  <c r="AN32" i="17"/>
  <c r="AK32" i="17"/>
  <c r="AI32" i="17"/>
  <c r="AB32" i="17"/>
  <c r="Y32" i="17"/>
  <c r="V32" i="17"/>
  <c r="S32" i="17"/>
  <c r="EH32" i="17" s="1"/>
  <c r="P32" i="17"/>
  <c r="M32" i="17"/>
  <c r="J32" i="17"/>
  <c r="G32" i="17"/>
  <c r="D32" i="17"/>
  <c r="ED32" i="17" s="1"/>
  <c r="EL31" i="17"/>
  <c r="EG31" i="17"/>
  <c r="EI31" i="17" s="1"/>
  <c r="EB31" i="17"/>
  <c r="DW31" i="17"/>
  <c r="DT31" i="17"/>
  <c r="DQ31" i="17"/>
  <c r="DN31" i="17"/>
  <c r="DK31" i="17"/>
  <c r="DH31" i="17"/>
  <c r="DE31" i="17"/>
  <c r="DB31" i="17"/>
  <c r="CY31" i="17"/>
  <c r="CV31" i="17"/>
  <c r="CS31" i="17"/>
  <c r="CP31" i="17"/>
  <c r="CM31" i="17"/>
  <c r="CJ31" i="17"/>
  <c r="CG31" i="17"/>
  <c r="CD31" i="17"/>
  <c r="CA31" i="17"/>
  <c r="BX31" i="17"/>
  <c r="BU31" i="17"/>
  <c r="BR31" i="17"/>
  <c r="BO31" i="17"/>
  <c r="BL31" i="17"/>
  <c r="BI31" i="17"/>
  <c r="BF31" i="17"/>
  <c r="BC31" i="17"/>
  <c r="AZ31" i="17"/>
  <c r="AW31" i="17"/>
  <c r="AT31" i="17"/>
  <c r="AR31" i="17"/>
  <c r="EK31" i="17" s="1"/>
  <c r="AQ31" i="17"/>
  <c r="AN31" i="17"/>
  <c r="AK31" i="17"/>
  <c r="AI31" i="17"/>
  <c r="AB31" i="17"/>
  <c r="Y31" i="17"/>
  <c r="V31" i="17"/>
  <c r="S31" i="17"/>
  <c r="P31" i="17"/>
  <c r="M31" i="17"/>
  <c r="J31" i="17"/>
  <c r="G31" i="17"/>
  <c r="D31" i="17"/>
  <c r="ED31" i="17" s="1"/>
  <c r="EL30" i="17"/>
  <c r="EG30" i="17"/>
  <c r="EI30" i="17" s="1"/>
  <c r="EB30" i="17"/>
  <c r="DW30" i="17"/>
  <c r="DT30" i="17"/>
  <c r="DQ30" i="17"/>
  <c r="DN30" i="17"/>
  <c r="DK30" i="17"/>
  <c r="DH30" i="17"/>
  <c r="DE30" i="17"/>
  <c r="DB30" i="17"/>
  <c r="CY30" i="17"/>
  <c r="CV30" i="17"/>
  <c r="CS30" i="17"/>
  <c r="CP30" i="17"/>
  <c r="CM30" i="17"/>
  <c r="CJ30" i="17"/>
  <c r="CG30" i="17"/>
  <c r="CD30" i="17"/>
  <c r="CA30" i="17"/>
  <c r="BX30" i="17"/>
  <c r="BU30" i="17"/>
  <c r="BR30" i="17"/>
  <c r="BO30" i="17"/>
  <c r="BL30" i="17"/>
  <c r="BI30" i="17"/>
  <c r="BF30" i="17"/>
  <c r="BC30" i="17"/>
  <c r="AZ30" i="17"/>
  <c r="AW30" i="17"/>
  <c r="AT30" i="17"/>
  <c r="AR30" i="17"/>
  <c r="EK30" i="17" s="1"/>
  <c r="AQ30" i="17"/>
  <c r="AN30" i="17"/>
  <c r="AK30" i="17"/>
  <c r="AI30" i="17"/>
  <c r="AB30" i="17"/>
  <c r="Y30" i="17"/>
  <c r="V30" i="17"/>
  <c r="S30" i="17"/>
  <c r="P30" i="17"/>
  <c r="M30" i="17"/>
  <c r="J30" i="17"/>
  <c r="G30" i="17"/>
  <c r="D30" i="17"/>
  <c r="ED30" i="17" s="1"/>
  <c r="EL29" i="17"/>
  <c r="EG29" i="17"/>
  <c r="EI29" i="17" s="1"/>
  <c r="EB29" i="17"/>
  <c r="DW29" i="17"/>
  <c r="DT29" i="17"/>
  <c r="DQ29" i="17"/>
  <c r="DN29" i="17"/>
  <c r="DK29" i="17"/>
  <c r="DH29" i="17"/>
  <c r="DE29" i="17"/>
  <c r="DB29" i="17"/>
  <c r="CY29" i="17"/>
  <c r="CV29" i="17"/>
  <c r="CS29" i="17"/>
  <c r="CP29" i="17"/>
  <c r="CM29" i="17"/>
  <c r="CJ29" i="17"/>
  <c r="CG29" i="17"/>
  <c r="CD29" i="17"/>
  <c r="CA29" i="17"/>
  <c r="BX29" i="17"/>
  <c r="BU29" i="17"/>
  <c r="BR29" i="17"/>
  <c r="BO29" i="17"/>
  <c r="BL29" i="17"/>
  <c r="BI29" i="17"/>
  <c r="BF29" i="17"/>
  <c r="BC29" i="17"/>
  <c r="AZ29" i="17"/>
  <c r="AW29" i="17"/>
  <c r="AT29" i="17"/>
  <c r="AR29" i="17"/>
  <c r="EK29" i="17" s="1"/>
  <c r="AQ29" i="17"/>
  <c r="AN29" i="17"/>
  <c r="AK29" i="17"/>
  <c r="AI29" i="17"/>
  <c r="AB29" i="17"/>
  <c r="Y29" i="17"/>
  <c r="V29" i="17"/>
  <c r="S29" i="17"/>
  <c r="P29" i="17"/>
  <c r="M29" i="17"/>
  <c r="J29" i="17"/>
  <c r="G29" i="17"/>
  <c r="D29" i="17"/>
  <c r="ED29" i="17" s="1"/>
  <c r="EL28" i="17"/>
  <c r="EG28" i="17"/>
  <c r="EI28" i="17" s="1"/>
  <c r="EB28" i="17"/>
  <c r="DW28" i="17"/>
  <c r="DT28" i="17"/>
  <c r="DQ28" i="17"/>
  <c r="EM28" i="17" s="1"/>
  <c r="DN28" i="17"/>
  <c r="DK28" i="17"/>
  <c r="DH28" i="17"/>
  <c r="DE28" i="17"/>
  <c r="DB28" i="17"/>
  <c r="CY28" i="17"/>
  <c r="CV28" i="17"/>
  <c r="CS28" i="17"/>
  <c r="CP28" i="17"/>
  <c r="CM28" i="17"/>
  <c r="CJ28" i="17"/>
  <c r="CG28" i="17"/>
  <c r="CD28" i="17"/>
  <c r="CA28" i="17"/>
  <c r="BX28" i="17"/>
  <c r="BU28" i="17"/>
  <c r="BR28" i="17"/>
  <c r="BO28" i="17"/>
  <c r="BL28" i="17"/>
  <c r="BI28" i="17"/>
  <c r="BF28" i="17"/>
  <c r="BC28" i="17"/>
  <c r="AZ28" i="17"/>
  <c r="AW28" i="17"/>
  <c r="AT28" i="17"/>
  <c r="AR28" i="17"/>
  <c r="EK28" i="17" s="1"/>
  <c r="AQ28" i="17"/>
  <c r="AN28" i="17"/>
  <c r="AK28" i="17"/>
  <c r="AI28" i="17"/>
  <c r="AB28" i="17"/>
  <c r="Y28" i="17"/>
  <c r="V28" i="17"/>
  <c r="S28" i="17"/>
  <c r="EH28" i="17" s="1"/>
  <c r="P28" i="17"/>
  <c r="M28" i="17"/>
  <c r="J28" i="17"/>
  <c r="G28" i="17"/>
  <c r="D28" i="17"/>
  <c r="ED28" i="17" s="1"/>
  <c r="EL27" i="17"/>
  <c r="EG27" i="17"/>
  <c r="EI27" i="17" s="1"/>
  <c r="EB27" i="17"/>
  <c r="DW27" i="17"/>
  <c r="DT27" i="17"/>
  <c r="DQ27" i="17"/>
  <c r="DN27" i="17"/>
  <c r="DK27" i="17"/>
  <c r="DH27" i="17"/>
  <c r="DE27" i="17"/>
  <c r="DB27" i="17"/>
  <c r="CY27" i="17"/>
  <c r="CV27" i="17"/>
  <c r="CS27" i="17"/>
  <c r="CP27" i="17"/>
  <c r="CM27" i="17"/>
  <c r="CJ27" i="17"/>
  <c r="CG27" i="17"/>
  <c r="CD27" i="17"/>
  <c r="CA27" i="17"/>
  <c r="BX27" i="17"/>
  <c r="BU27" i="17"/>
  <c r="BR27" i="17"/>
  <c r="BO27" i="17"/>
  <c r="BL27" i="17"/>
  <c r="BI27" i="17"/>
  <c r="BF27" i="17"/>
  <c r="BC27" i="17"/>
  <c r="AZ27" i="17"/>
  <c r="AW27" i="17"/>
  <c r="AT27" i="17"/>
  <c r="AR27" i="17"/>
  <c r="EK27" i="17" s="1"/>
  <c r="AQ27" i="17"/>
  <c r="AN27" i="17"/>
  <c r="AK27" i="17"/>
  <c r="AI27" i="17"/>
  <c r="AB27" i="17"/>
  <c r="Y27" i="17"/>
  <c r="V27" i="17"/>
  <c r="S27" i="17"/>
  <c r="P27" i="17"/>
  <c r="M27" i="17"/>
  <c r="J27" i="17"/>
  <c r="G27" i="17"/>
  <c r="D27" i="17"/>
  <c r="ED27" i="17" s="1"/>
  <c r="EL26" i="17"/>
  <c r="EG26" i="17"/>
  <c r="EI26" i="17" s="1"/>
  <c r="EB26" i="17"/>
  <c r="DW26" i="17"/>
  <c r="DT26" i="17"/>
  <c r="DQ26" i="17"/>
  <c r="DN26" i="17"/>
  <c r="DK26" i="17"/>
  <c r="DH26" i="17"/>
  <c r="DE26" i="17"/>
  <c r="DB26" i="17"/>
  <c r="CY26" i="17"/>
  <c r="CV26" i="17"/>
  <c r="CS26" i="17"/>
  <c r="CP26" i="17"/>
  <c r="CM26" i="17"/>
  <c r="CJ26" i="17"/>
  <c r="CG26" i="17"/>
  <c r="CD26" i="17"/>
  <c r="CA26" i="17"/>
  <c r="BX26" i="17"/>
  <c r="BU26" i="17"/>
  <c r="BR26" i="17"/>
  <c r="BO26" i="17"/>
  <c r="BL26" i="17"/>
  <c r="BI26" i="17"/>
  <c r="BF26" i="17"/>
  <c r="BC26" i="17"/>
  <c r="AZ26" i="17"/>
  <c r="AW26" i="17"/>
  <c r="AT26" i="17"/>
  <c r="AR26" i="17"/>
  <c r="EK26" i="17" s="1"/>
  <c r="AQ26" i="17"/>
  <c r="AN26" i="17"/>
  <c r="AK26" i="17"/>
  <c r="AI26" i="17"/>
  <c r="AB26" i="17"/>
  <c r="Y26" i="17"/>
  <c r="V26" i="17"/>
  <c r="S26" i="17"/>
  <c r="P26" i="17"/>
  <c r="M26" i="17"/>
  <c r="J26" i="17"/>
  <c r="G26" i="17"/>
  <c r="D26" i="17"/>
  <c r="ED26" i="17" s="1"/>
  <c r="EL25" i="17"/>
  <c r="EG25" i="17"/>
  <c r="EI25" i="17" s="1"/>
  <c r="EB25" i="17"/>
  <c r="DW25" i="17"/>
  <c r="DT25" i="17"/>
  <c r="DQ25" i="17"/>
  <c r="DN25" i="17"/>
  <c r="DK25" i="17"/>
  <c r="DH25" i="17"/>
  <c r="DE25" i="17"/>
  <c r="DB25" i="17"/>
  <c r="CY25" i="17"/>
  <c r="CV25" i="17"/>
  <c r="CS25" i="17"/>
  <c r="CP25" i="17"/>
  <c r="CM25" i="17"/>
  <c r="CJ25" i="17"/>
  <c r="CG25" i="17"/>
  <c r="CD25" i="17"/>
  <c r="CA25" i="17"/>
  <c r="BX25" i="17"/>
  <c r="BU25" i="17"/>
  <c r="BR25" i="17"/>
  <c r="BO25" i="17"/>
  <c r="BL25" i="17"/>
  <c r="BI25" i="17"/>
  <c r="BF25" i="17"/>
  <c r="BC25" i="17"/>
  <c r="AZ25" i="17"/>
  <c r="AW25" i="17"/>
  <c r="AT25" i="17"/>
  <c r="AR25" i="17"/>
  <c r="EK25" i="17" s="1"/>
  <c r="AQ25" i="17"/>
  <c r="AN25" i="17"/>
  <c r="AK25" i="17"/>
  <c r="AI25" i="17"/>
  <c r="AB25" i="17"/>
  <c r="Y25" i="17"/>
  <c r="V25" i="17"/>
  <c r="S25" i="17"/>
  <c r="P25" i="17"/>
  <c r="M25" i="17"/>
  <c r="J25" i="17"/>
  <c r="G25" i="17"/>
  <c r="D25" i="17"/>
  <c r="ED25" i="17" s="1"/>
  <c r="EL24" i="17"/>
  <c r="EG24" i="17"/>
  <c r="EI24" i="17" s="1"/>
  <c r="EB24" i="17"/>
  <c r="DW24" i="17"/>
  <c r="DT24" i="17"/>
  <c r="DQ24" i="17"/>
  <c r="EM24" i="17" s="1"/>
  <c r="DN24" i="17"/>
  <c r="DK24" i="17"/>
  <c r="DH24" i="17"/>
  <c r="DE24" i="17"/>
  <c r="DB24" i="17"/>
  <c r="CY24" i="17"/>
  <c r="CV24" i="17"/>
  <c r="CS24" i="17"/>
  <c r="CP24" i="17"/>
  <c r="CM24" i="17"/>
  <c r="CJ24" i="17"/>
  <c r="CG24" i="17"/>
  <c r="CD24" i="17"/>
  <c r="CA24" i="17"/>
  <c r="BX24" i="17"/>
  <c r="BU24" i="17"/>
  <c r="BR24" i="17"/>
  <c r="BO24" i="17"/>
  <c r="BL24" i="17"/>
  <c r="BI24" i="17"/>
  <c r="BF24" i="17"/>
  <c r="BC24" i="17"/>
  <c r="AZ24" i="17"/>
  <c r="AW24" i="17"/>
  <c r="AT24" i="17"/>
  <c r="AR24" i="17"/>
  <c r="EK24" i="17" s="1"/>
  <c r="AQ24" i="17"/>
  <c r="AN24" i="17"/>
  <c r="AK24" i="17"/>
  <c r="AI24" i="17"/>
  <c r="AB24" i="17"/>
  <c r="Y24" i="17"/>
  <c r="V24" i="17"/>
  <c r="S24" i="17"/>
  <c r="EH24" i="17" s="1"/>
  <c r="P24" i="17"/>
  <c r="M24" i="17"/>
  <c r="J24" i="17"/>
  <c r="G24" i="17"/>
  <c r="D24" i="17"/>
  <c r="ED24" i="17" s="1"/>
  <c r="EL23" i="17"/>
  <c r="EG23" i="17"/>
  <c r="EI23" i="17" s="1"/>
  <c r="EB23" i="17"/>
  <c r="DW23" i="17"/>
  <c r="DT23" i="17"/>
  <c r="DQ23" i="17"/>
  <c r="DN23" i="17"/>
  <c r="DK23" i="17"/>
  <c r="DH23" i="17"/>
  <c r="DE23" i="17"/>
  <c r="DB23" i="17"/>
  <c r="CY23" i="17"/>
  <c r="CV23" i="17"/>
  <c r="CS23" i="17"/>
  <c r="CP23" i="17"/>
  <c r="CM23" i="17"/>
  <c r="CJ23" i="17"/>
  <c r="CG23" i="17"/>
  <c r="CD23" i="17"/>
  <c r="CA23" i="17"/>
  <c r="BX23" i="17"/>
  <c r="BU23" i="17"/>
  <c r="BR23" i="17"/>
  <c r="BO23" i="17"/>
  <c r="BL23" i="17"/>
  <c r="BI23" i="17"/>
  <c r="BF23" i="17"/>
  <c r="BC23" i="17"/>
  <c r="AZ23" i="17"/>
  <c r="AW23" i="17"/>
  <c r="AT23" i="17"/>
  <c r="AR23" i="17"/>
  <c r="EK23" i="17" s="1"/>
  <c r="AQ23" i="17"/>
  <c r="AN23" i="17"/>
  <c r="AK23" i="17"/>
  <c r="AI23" i="17"/>
  <c r="AB23" i="17"/>
  <c r="Y23" i="17"/>
  <c r="V23" i="17"/>
  <c r="S23" i="17"/>
  <c r="P23" i="17"/>
  <c r="M23" i="17"/>
  <c r="J23" i="17"/>
  <c r="G23" i="17"/>
  <c r="D23" i="17"/>
  <c r="ED23" i="17" s="1"/>
  <c r="EL22" i="17"/>
  <c r="EG22" i="17"/>
  <c r="EI22" i="17" s="1"/>
  <c r="EB22" i="17"/>
  <c r="DW22" i="17"/>
  <c r="DT22" i="17"/>
  <c r="DQ22" i="17"/>
  <c r="DN22" i="17"/>
  <c r="DK22" i="17"/>
  <c r="DH22" i="17"/>
  <c r="DE22" i="17"/>
  <c r="DB22" i="17"/>
  <c r="CY22" i="17"/>
  <c r="CV22" i="17"/>
  <c r="CS22" i="17"/>
  <c r="CP22" i="17"/>
  <c r="CM22" i="17"/>
  <c r="CJ22" i="17"/>
  <c r="CG22" i="17"/>
  <c r="CD22" i="17"/>
  <c r="CA22" i="17"/>
  <c r="BX22" i="17"/>
  <c r="BU22" i="17"/>
  <c r="BR22" i="17"/>
  <c r="BO22" i="17"/>
  <c r="BL22" i="17"/>
  <c r="BI22" i="17"/>
  <c r="BF22" i="17"/>
  <c r="BC22" i="17"/>
  <c r="AZ22" i="17"/>
  <c r="AW22" i="17"/>
  <c r="AT22" i="17"/>
  <c r="AR22" i="17"/>
  <c r="EK22" i="17" s="1"/>
  <c r="AQ22" i="17"/>
  <c r="AN22" i="17"/>
  <c r="AK22" i="17"/>
  <c r="AI22" i="17"/>
  <c r="AB22" i="17"/>
  <c r="Y22" i="17"/>
  <c r="V22" i="17"/>
  <c r="S22" i="17"/>
  <c r="P22" i="17"/>
  <c r="M22" i="17"/>
  <c r="J22" i="17"/>
  <c r="G22" i="17"/>
  <c r="D22" i="17"/>
  <c r="ED22" i="17" s="1"/>
  <c r="EL21" i="17"/>
  <c r="EG21" i="17"/>
  <c r="EI21" i="17" s="1"/>
  <c r="EB21" i="17"/>
  <c r="DW21" i="17"/>
  <c r="DT21" i="17"/>
  <c r="DQ21" i="17"/>
  <c r="DN21" i="17"/>
  <c r="DK21" i="17"/>
  <c r="DH21" i="17"/>
  <c r="DE21" i="17"/>
  <c r="DB21" i="17"/>
  <c r="CY21" i="17"/>
  <c r="CV21" i="17"/>
  <c r="CS21" i="17"/>
  <c r="CP21" i="17"/>
  <c r="CM21" i="17"/>
  <c r="CJ21" i="17"/>
  <c r="CG21" i="17"/>
  <c r="CD21" i="17"/>
  <c r="CA21" i="17"/>
  <c r="BX21" i="17"/>
  <c r="BU21" i="17"/>
  <c r="BR21" i="17"/>
  <c r="BO21" i="17"/>
  <c r="BL21" i="17"/>
  <c r="BI21" i="17"/>
  <c r="BF21" i="17"/>
  <c r="BC21" i="17"/>
  <c r="AZ21" i="17"/>
  <c r="AW21" i="17"/>
  <c r="AT21" i="17"/>
  <c r="AR21" i="17"/>
  <c r="EK21" i="17" s="1"/>
  <c r="AQ21" i="17"/>
  <c r="AN21" i="17"/>
  <c r="AK21" i="17"/>
  <c r="AI21" i="17"/>
  <c r="AB21" i="17"/>
  <c r="Y21" i="17"/>
  <c r="V21" i="17"/>
  <c r="S21" i="17"/>
  <c r="P21" i="17"/>
  <c r="M21" i="17"/>
  <c r="J21" i="17"/>
  <c r="G21" i="17"/>
  <c r="D21" i="17"/>
  <c r="ED21" i="17" s="1"/>
  <c r="EL20" i="17"/>
  <c r="EG20" i="17"/>
  <c r="EI20" i="17" s="1"/>
  <c r="EB20" i="17"/>
  <c r="DW20" i="17"/>
  <c r="DT20" i="17"/>
  <c r="EM20" i="17" s="1"/>
  <c r="DQ20" i="17"/>
  <c r="DN20" i="17"/>
  <c r="DK20" i="17"/>
  <c r="DH20" i="17"/>
  <c r="DE20" i="17"/>
  <c r="DB20" i="17"/>
  <c r="CY20" i="17"/>
  <c r="CV20" i="17"/>
  <c r="CS20" i="17"/>
  <c r="CP20" i="17"/>
  <c r="CM20" i="17"/>
  <c r="CJ20" i="17"/>
  <c r="CG20" i="17"/>
  <c r="CD20" i="17"/>
  <c r="CA20" i="17"/>
  <c r="BX20" i="17"/>
  <c r="BU20" i="17"/>
  <c r="BR20" i="17"/>
  <c r="BO20" i="17"/>
  <c r="BL20" i="17"/>
  <c r="BI20" i="17"/>
  <c r="BF20" i="17"/>
  <c r="BC20" i="17"/>
  <c r="AZ20" i="17"/>
  <c r="AW20" i="17"/>
  <c r="AT20" i="17"/>
  <c r="AR20" i="17"/>
  <c r="EK20" i="17" s="1"/>
  <c r="EN20" i="17" s="1"/>
  <c r="AQ20" i="17"/>
  <c r="AN20" i="17"/>
  <c r="AK20" i="17"/>
  <c r="AI20" i="17"/>
  <c r="AB20" i="17"/>
  <c r="Y20" i="17"/>
  <c r="V20" i="17"/>
  <c r="S20" i="17"/>
  <c r="EH20" i="17" s="1"/>
  <c r="P20" i="17"/>
  <c r="M20" i="17"/>
  <c r="J20" i="17"/>
  <c r="G20" i="17"/>
  <c r="D20" i="17"/>
  <c r="ED20" i="17" s="1"/>
  <c r="EL19" i="17"/>
  <c r="EG19" i="17"/>
  <c r="EI19" i="17" s="1"/>
  <c r="EB19" i="17"/>
  <c r="DW19" i="17"/>
  <c r="DT19" i="17"/>
  <c r="DQ19" i="17"/>
  <c r="DN19" i="17"/>
  <c r="DK19" i="17"/>
  <c r="DH19" i="17"/>
  <c r="DE19" i="17"/>
  <c r="DB19" i="17"/>
  <c r="CY19" i="17"/>
  <c r="CV19" i="17"/>
  <c r="CS19" i="17"/>
  <c r="CP19" i="17"/>
  <c r="CM19" i="17"/>
  <c r="CJ19" i="17"/>
  <c r="CG19" i="17"/>
  <c r="CD19" i="17"/>
  <c r="CA19" i="17"/>
  <c r="BX19" i="17"/>
  <c r="BU19" i="17"/>
  <c r="BR19" i="17"/>
  <c r="BO19" i="17"/>
  <c r="BL19" i="17"/>
  <c r="BI19" i="17"/>
  <c r="BF19" i="17"/>
  <c r="BC19" i="17"/>
  <c r="AZ19" i="17"/>
  <c r="AW19" i="17"/>
  <c r="AT19" i="17"/>
  <c r="AR19" i="17"/>
  <c r="EK19" i="17" s="1"/>
  <c r="AQ19" i="17"/>
  <c r="AN19" i="17"/>
  <c r="AK19" i="17"/>
  <c r="AI19" i="17"/>
  <c r="AB19" i="17"/>
  <c r="Y19" i="17"/>
  <c r="V19" i="17"/>
  <c r="S19" i="17"/>
  <c r="P19" i="17"/>
  <c r="M19" i="17"/>
  <c r="J19" i="17"/>
  <c r="G19" i="17"/>
  <c r="D19" i="17"/>
  <c r="ED19" i="17" s="1"/>
  <c r="EL18" i="17"/>
  <c r="EG18" i="17"/>
  <c r="EI18" i="17" s="1"/>
  <c r="EB18" i="17"/>
  <c r="DW18" i="17"/>
  <c r="DT18" i="17"/>
  <c r="DQ18" i="17"/>
  <c r="DN18" i="17"/>
  <c r="DK18" i="17"/>
  <c r="DH18" i="17"/>
  <c r="DE18" i="17"/>
  <c r="DB18" i="17"/>
  <c r="CY18" i="17"/>
  <c r="CV18" i="17"/>
  <c r="CS18" i="17"/>
  <c r="CP18" i="17"/>
  <c r="CM18" i="17"/>
  <c r="CJ18" i="17"/>
  <c r="CG18" i="17"/>
  <c r="CD18" i="17"/>
  <c r="CA18" i="17"/>
  <c r="BX18" i="17"/>
  <c r="BU18" i="17"/>
  <c r="BR18" i="17"/>
  <c r="BO18" i="17"/>
  <c r="BL18" i="17"/>
  <c r="BI18" i="17"/>
  <c r="BF18" i="17"/>
  <c r="BC18" i="17"/>
  <c r="AZ18" i="17"/>
  <c r="AW18" i="17"/>
  <c r="AT18" i="17"/>
  <c r="AR18" i="17"/>
  <c r="EK18" i="17" s="1"/>
  <c r="AQ18" i="17"/>
  <c r="AN18" i="17"/>
  <c r="AK18" i="17"/>
  <c r="AI18" i="17"/>
  <c r="AB18" i="17"/>
  <c r="Y18" i="17"/>
  <c r="V18" i="17"/>
  <c r="S18" i="17"/>
  <c r="P18" i="17"/>
  <c r="M18" i="17"/>
  <c r="J18" i="17"/>
  <c r="G18" i="17"/>
  <c r="D18" i="17"/>
  <c r="ED18" i="17" s="1"/>
  <c r="EL17" i="17"/>
  <c r="EG17" i="17"/>
  <c r="EI17" i="17" s="1"/>
  <c r="DW17" i="17"/>
  <c r="DT17" i="17"/>
  <c r="DQ17" i="17"/>
  <c r="DN17" i="17"/>
  <c r="DK17" i="17"/>
  <c r="DH17" i="17"/>
  <c r="DE17" i="17"/>
  <c r="DB17" i="17"/>
  <c r="CY17" i="17"/>
  <c r="CV17" i="17"/>
  <c r="CS17" i="17"/>
  <c r="CP17" i="17"/>
  <c r="CM17" i="17"/>
  <c r="CJ17" i="17"/>
  <c r="CG17" i="17"/>
  <c r="CD17" i="17"/>
  <c r="CA17" i="17"/>
  <c r="BX17" i="17"/>
  <c r="BU17" i="17"/>
  <c r="BR17" i="17"/>
  <c r="BO17" i="17"/>
  <c r="BL17" i="17"/>
  <c r="BI17" i="17"/>
  <c r="BF17" i="17"/>
  <c r="BC17" i="17"/>
  <c r="AZ17" i="17"/>
  <c r="AW17" i="17"/>
  <c r="AT17" i="17"/>
  <c r="AR17" i="17"/>
  <c r="AQ17" i="17"/>
  <c r="AL17" i="17"/>
  <c r="EK17" i="17" s="1"/>
  <c r="AI17" i="17"/>
  <c r="AK17" i="17" s="1"/>
  <c r="AB17" i="17"/>
  <c r="Y17" i="17"/>
  <c r="V17" i="17"/>
  <c r="S17" i="17"/>
  <c r="EH17" i="17" s="1"/>
  <c r="P17" i="17"/>
  <c r="M17" i="17"/>
  <c r="J17" i="17"/>
  <c r="G17" i="17"/>
  <c r="D17" i="17"/>
  <c r="EL16" i="17"/>
  <c r="EI16" i="17"/>
  <c r="EG16" i="17"/>
  <c r="DW16" i="17"/>
  <c r="DT16" i="17"/>
  <c r="DQ16" i="17"/>
  <c r="DN16" i="17"/>
  <c r="DK16" i="17"/>
  <c r="DH16" i="17"/>
  <c r="DE16" i="17"/>
  <c r="DB16" i="17"/>
  <c r="CY16" i="17"/>
  <c r="CV16" i="17"/>
  <c r="CS16" i="17"/>
  <c r="CP16" i="17"/>
  <c r="CM16" i="17"/>
  <c r="CJ16" i="17"/>
  <c r="CG16" i="17"/>
  <c r="CD16" i="17"/>
  <c r="CA16" i="17"/>
  <c r="BX16" i="17"/>
  <c r="BU16" i="17"/>
  <c r="BR16" i="17"/>
  <c r="BO16" i="17"/>
  <c r="BL16" i="17"/>
  <c r="BI16" i="17"/>
  <c r="BF16" i="17"/>
  <c r="BC16" i="17"/>
  <c r="AZ16" i="17"/>
  <c r="AW16" i="17"/>
  <c r="AR16" i="17"/>
  <c r="AT16" i="17" s="1"/>
  <c r="AQ16" i="17"/>
  <c r="AN16" i="17"/>
  <c r="AL16" i="17"/>
  <c r="EB16" i="17" s="1"/>
  <c r="AI16" i="17"/>
  <c r="AK16" i="17" s="1"/>
  <c r="AB16" i="17"/>
  <c r="Y16" i="17"/>
  <c r="V16" i="17"/>
  <c r="EH16" i="17" s="1"/>
  <c r="S16" i="17"/>
  <c r="P16" i="17"/>
  <c r="M16" i="17"/>
  <c r="J16" i="17"/>
  <c r="G16" i="17"/>
  <c r="D16" i="17"/>
  <c r="EL15" i="17"/>
  <c r="EI15" i="17"/>
  <c r="EG15" i="17"/>
  <c r="DW15" i="17"/>
  <c r="DT15" i="17"/>
  <c r="DQ15" i="17"/>
  <c r="DN15" i="17"/>
  <c r="DK15" i="17"/>
  <c r="DH15" i="17"/>
  <c r="DE15" i="17"/>
  <c r="DB15" i="17"/>
  <c r="CY15" i="17"/>
  <c r="CV15" i="17"/>
  <c r="CS15" i="17"/>
  <c r="CP15" i="17"/>
  <c r="CM15" i="17"/>
  <c r="CJ15" i="17"/>
  <c r="CG15" i="17"/>
  <c r="CD15" i="17"/>
  <c r="CA15" i="17"/>
  <c r="BX15" i="17"/>
  <c r="BU15" i="17"/>
  <c r="BR15" i="17"/>
  <c r="BO15" i="17"/>
  <c r="BL15" i="17"/>
  <c r="BI15" i="17"/>
  <c r="BF15" i="17"/>
  <c r="BC15" i="17"/>
  <c r="AZ15" i="17"/>
  <c r="AW15" i="17"/>
  <c r="AR15" i="17"/>
  <c r="AT15" i="17" s="1"/>
  <c r="AQ15" i="17"/>
  <c r="AL15" i="17"/>
  <c r="AN15" i="17" s="1"/>
  <c r="AI15" i="17"/>
  <c r="AK15" i="17" s="1"/>
  <c r="AB15" i="17"/>
  <c r="Y15" i="17"/>
  <c r="V15" i="17"/>
  <c r="S15" i="17"/>
  <c r="EH15" i="17" s="1"/>
  <c r="P15" i="17"/>
  <c r="M15" i="17"/>
  <c r="J15" i="17"/>
  <c r="G15" i="17"/>
  <c r="D15" i="17"/>
  <c r="EL14" i="17"/>
  <c r="EG14" i="17"/>
  <c r="EI14" i="17" s="1"/>
  <c r="DW14" i="17"/>
  <c r="DT14" i="17"/>
  <c r="DQ14" i="17"/>
  <c r="DN14" i="17"/>
  <c r="DK14" i="17"/>
  <c r="DH14" i="17"/>
  <c r="DE14" i="17"/>
  <c r="DB14" i="17"/>
  <c r="CY14" i="17"/>
  <c r="CV14" i="17"/>
  <c r="CS14" i="17"/>
  <c r="CP14" i="17"/>
  <c r="CM14" i="17"/>
  <c r="CM42" i="17" s="1"/>
  <c r="CJ14" i="17"/>
  <c r="CG14" i="17"/>
  <c r="CD14" i="17"/>
  <c r="CA14" i="17"/>
  <c r="BX14" i="17"/>
  <c r="BU14" i="17"/>
  <c r="BR14" i="17"/>
  <c r="BO14" i="17"/>
  <c r="BL14" i="17"/>
  <c r="BI14" i="17"/>
  <c r="BF14" i="17"/>
  <c r="BC14" i="17"/>
  <c r="AZ14" i="17"/>
  <c r="AW14" i="17"/>
  <c r="AR14" i="17"/>
  <c r="AT14" i="17" s="1"/>
  <c r="AQ14" i="17"/>
  <c r="AL14" i="17"/>
  <c r="AN14" i="17" s="1"/>
  <c r="AK14" i="17"/>
  <c r="AI14" i="17"/>
  <c r="AB14" i="17"/>
  <c r="Y14" i="17"/>
  <c r="V14" i="17"/>
  <c r="S14" i="17"/>
  <c r="EH14" i="17" s="1"/>
  <c r="P14" i="17"/>
  <c r="M14" i="17"/>
  <c r="J14" i="17"/>
  <c r="G14" i="17"/>
  <c r="D14" i="17"/>
  <c r="EL13" i="17"/>
  <c r="EG13" i="17"/>
  <c r="EI13" i="17" s="1"/>
  <c r="DW13" i="17"/>
  <c r="DT13" i="17"/>
  <c r="DQ13" i="17"/>
  <c r="DN13" i="17"/>
  <c r="DK13" i="17"/>
  <c r="DH13" i="17"/>
  <c r="DE13" i="17"/>
  <c r="DB13" i="17"/>
  <c r="CY13" i="17"/>
  <c r="CV13" i="17"/>
  <c r="CS13" i="17"/>
  <c r="CP13" i="17"/>
  <c r="CM13" i="17"/>
  <c r="CJ13" i="17"/>
  <c r="CG13" i="17"/>
  <c r="CD13" i="17"/>
  <c r="CA13" i="17"/>
  <c r="BX13" i="17"/>
  <c r="BU13" i="17"/>
  <c r="BR13" i="17"/>
  <c r="BO13" i="17"/>
  <c r="BL13" i="17"/>
  <c r="BI13" i="17"/>
  <c r="BF13" i="17"/>
  <c r="BC13" i="17"/>
  <c r="AZ13" i="17"/>
  <c r="AW13" i="17"/>
  <c r="AT13" i="17"/>
  <c r="AR13" i="17"/>
  <c r="EK13" i="17" s="1"/>
  <c r="AQ13" i="17"/>
  <c r="AL13" i="17"/>
  <c r="AN13" i="17" s="1"/>
  <c r="AI13" i="17"/>
  <c r="AK13" i="17" s="1"/>
  <c r="AB13" i="17"/>
  <c r="Y13" i="17"/>
  <c r="V13" i="17"/>
  <c r="S13" i="17"/>
  <c r="EH13" i="17" s="1"/>
  <c r="P13" i="17"/>
  <c r="M13" i="17"/>
  <c r="J13" i="17"/>
  <c r="G13" i="17"/>
  <c r="D13" i="17"/>
  <c r="EL12" i="17"/>
  <c r="EI12" i="17"/>
  <c r="EG12" i="17"/>
  <c r="DW12" i="17"/>
  <c r="DT12" i="17"/>
  <c r="DQ12" i="17"/>
  <c r="EM12" i="17" s="1"/>
  <c r="DN12" i="17"/>
  <c r="DK12" i="17"/>
  <c r="DH12" i="17"/>
  <c r="DE12" i="17"/>
  <c r="DB12" i="17"/>
  <c r="CY12" i="17"/>
  <c r="CV12" i="17"/>
  <c r="CS12" i="17"/>
  <c r="CP12" i="17"/>
  <c r="CM12" i="17"/>
  <c r="CJ12" i="17"/>
  <c r="CG12" i="17"/>
  <c r="CD12" i="17"/>
  <c r="CA12" i="17"/>
  <c r="BX12" i="17"/>
  <c r="BU12" i="17"/>
  <c r="BR12" i="17"/>
  <c r="BO12" i="17"/>
  <c r="BL12" i="17"/>
  <c r="BI12" i="17"/>
  <c r="BF12" i="17"/>
  <c r="BC12" i="17"/>
  <c r="AZ12" i="17"/>
  <c r="AW12" i="17"/>
  <c r="AR12" i="17"/>
  <c r="AT12" i="17" s="1"/>
  <c r="AQ12" i="17"/>
  <c r="AN12" i="17"/>
  <c r="AL12" i="17"/>
  <c r="EB12" i="17" s="1"/>
  <c r="AI12" i="17"/>
  <c r="AK12" i="17" s="1"/>
  <c r="AB12" i="17"/>
  <c r="Y12" i="17"/>
  <c r="V12" i="17"/>
  <c r="EH12" i="17" s="1"/>
  <c r="S12" i="17"/>
  <c r="P12" i="17"/>
  <c r="M12" i="17"/>
  <c r="J12" i="17"/>
  <c r="G12" i="17"/>
  <c r="D12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EL11" i="17"/>
  <c r="EI11" i="17"/>
  <c r="EG11" i="17"/>
  <c r="DW11" i="17"/>
  <c r="DW42" i="17" s="1"/>
  <c r="DT11" i="17"/>
  <c r="DT42" i="17" s="1"/>
  <c r="DQ11" i="17"/>
  <c r="DN11" i="17"/>
  <c r="DK11" i="17"/>
  <c r="DK42" i="17" s="1"/>
  <c r="DH11" i="17"/>
  <c r="DH42" i="17" s="1"/>
  <c r="DE11" i="17"/>
  <c r="DB11" i="17"/>
  <c r="CY11" i="17"/>
  <c r="CY42" i="17" s="1"/>
  <c r="CV11" i="17"/>
  <c r="CV42" i="17" s="1"/>
  <c r="CS11" i="17"/>
  <c r="CP11" i="17"/>
  <c r="CM11" i="17"/>
  <c r="CJ11" i="17"/>
  <c r="CJ42" i="17" s="1"/>
  <c r="CG11" i="17"/>
  <c r="CD11" i="17"/>
  <c r="CA11" i="17"/>
  <c r="CA42" i="17" s="1"/>
  <c r="BX11" i="17"/>
  <c r="BX42" i="17" s="1"/>
  <c r="BU11" i="17"/>
  <c r="BR11" i="17"/>
  <c r="BO11" i="17"/>
  <c r="BO42" i="17" s="1"/>
  <c r="BL11" i="17"/>
  <c r="BL42" i="17" s="1"/>
  <c r="BI11" i="17"/>
  <c r="BF11" i="17"/>
  <c r="BC11" i="17"/>
  <c r="BC42" i="17" s="1"/>
  <c r="AZ11" i="17"/>
  <c r="AZ42" i="17" s="1"/>
  <c r="AW11" i="17"/>
  <c r="AR11" i="17"/>
  <c r="AT11" i="17" s="1"/>
  <c r="AT42" i="17" s="1"/>
  <c r="AQ11" i="17"/>
  <c r="AQ42" i="17" s="1"/>
  <c r="AO11" i="17"/>
  <c r="AL11" i="17"/>
  <c r="EB11" i="17" s="1"/>
  <c r="AK11" i="17"/>
  <c r="AI11" i="17"/>
  <c r="AE42" i="17"/>
  <c r="AB11" i="17"/>
  <c r="AB42" i="17" s="1"/>
  <c r="Y11" i="17"/>
  <c r="V11" i="17"/>
  <c r="S11" i="17"/>
  <c r="EH11" i="17" s="1"/>
  <c r="P11" i="17"/>
  <c r="P42" i="17" s="1"/>
  <c r="M11" i="17"/>
  <c r="J11" i="17"/>
  <c r="G11" i="17"/>
  <c r="G42" i="17" s="1"/>
  <c r="D11" i="17"/>
  <c r="D42" i="17" s="1"/>
  <c r="EI5" i="17"/>
  <c r="EI3" i="17"/>
  <c r="EI4" i="17" s="1"/>
  <c r="EN2" i="17"/>
  <c r="EP2" i="17" s="1"/>
  <c r="EE2" i="17"/>
  <c r="EQ2" i="17" s="1"/>
  <c r="G4" i="17" s="1"/>
  <c r="H33" i="31" l="1"/>
  <c r="I29" i="31" s="1"/>
  <c r="I33" i="31" s="1"/>
  <c r="J29" i="31" s="1"/>
  <c r="J33" i="31" s="1"/>
  <c r="K29" i="31" s="1"/>
  <c r="K33" i="31" s="1"/>
  <c r="L29" i="31" s="1"/>
  <c r="L33" i="31" s="1"/>
  <c r="M29" i="31" s="1"/>
  <c r="M33" i="31" s="1"/>
  <c r="N29" i="31" s="1"/>
  <c r="N33" i="31" s="1"/>
  <c r="EC13" i="18"/>
  <c r="ED16" i="18"/>
  <c r="EM13" i="18"/>
  <c r="ED21" i="18"/>
  <c r="EC11" i="18"/>
  <c r="EC22" i="18"/>
  <c r="EE22" i="18"/>
  <c r="ED38" i="18"/>
  <c r="D41" i="18"/>
  <c r="ED11" i="18"/>
  <c r="EM11" i="18"/>
  <c r="EK16" i="18"/>
  <c r="EE17" i="18"/>
  <c r="EC18" i="18"/>
  <c r="EC25" i="18"/>
  <c r="EC28" i="18"/>
  <c r="EC29" i="18"/>
  <c r="EE29" i="18"/>
  <c r="EE36" i="18"/>
  <c r="EI3" i="18"/>
  <c r="EI4" i="18" s="1"/>
  <c r="EI5" i="18"/>
  <c r="BF41" i="18"/>
  <c r="CD41" i="18"/>
  <c r="EH16" i="18"/>
  <c r="EB16" i="18"/>
  <c r="AN16" i="18"/>
  <c r="EC17" i="18"/>
  <c r="EN22" i="18"/>
  <c r="EM23" i="18"/>
  <c r="EN23" i="18" s="1"/>
  <c r="ED26" i="18"/>
  <c r="EK34" i="18"/>
  <c r="EN34" i="18" s="1"/>
  <c r="EM35" i="18"/>
  <c r="EM36" i="18"/>
  <c r="AN37" i="18"/>
  <c r="EB37" i="18"/>
  <c r="EB39" i="18"/>
  <c r="ED40" i="18"/>
  <c r="EB40" i="18"/>
  <c r="J41" i="18"/>
  <c r="AH41" i="18"/>
  <c r="AN11" i="18"/>
  <c r="AW41" i="18"/>
  <c r="BI41" i="18"/>
  <c r="BU41" i="18"/>
  <c r="CG41" i="18"/>
  <c r="CS41" i="18"/>
  <c r="DE41" i="18"/>
  <c r="DQ41" i="18"/>
  <c r="EK11" i="18"/>
  <c r="EB12" i="18"/>
  <c r="EK14" i="18"/>
  <c r="ED15" i="18"/>
  <c r="EB15" i="18"/>
  <c r="EM16" i="18"/>
  <c r="EM19" i="18"/>
  <c r="EN19" i="18" s="1"/>
  <c r="ED23" i="18"/>
  <c r="EM24" i="18"/>
  <c r="EN24" i="18" s="1"/>
  <c r="EM26" i="18"/>
  <c r="EB32" i="18"/>
  <c r="EB33" i="18"/>
  <c r="AT33" i="18"/>
  <c r="AT41" i="18" s="1"/>
  <c r="EH34" i="18"/>
  <c r="EB34" i="18"/>
  <c r="EK38" i="18"/>
  <c r="EN38" i="18" s="1"/>
  <c r="EM39" i="18"/>
  <c r="S41" i="18"/>
  <c r="AK41" i="18"/>
  <c r="EE13" i="18"/>
  <c r="EM14" i="18"/>
  <c r="EC19" i="18"/>
  <c r="EK27" i="18"/>
  <c r="EN27" i="18" s="1"/>
  <c r="EM33" i="18"/>
  <c r="DB41" i="18"/>
  <c r="AQ12" i="18"/>
  <c r="AQ41" i="18" s="1"/>
  <c r="EK15" i="18"/>
  <c r="EN15" i="18" s="1"/>
  <c r="EH25" i="18"/>
  <c r="EE25" i="18"/>
  <c r="EM30" i="18"/>
  <c r="EM37" i="18"/>
  <c r="EH12" i="18"/>
  <c r="EH41" i="18" s="1"/>
  <c r="ED13" i="18"/>
  <c r="EK13" i="18"/>
  <c r="EH14" i="18"/>
  <c r="EB14" i="18"/>
  <c r="AN14" i="18"/>
  <c r="ED14" i="18" s="1"/>
  <c r="EK17" i="18"/>
  <c r="EN17" i="18" s="1"/>
  <c r="EH18" i="18"/>
  <c r="ED19" i="18"/>
  <c r="EE19" i="18" s="1"/>
  <c r="AN22" i="18"/>
  <c r="EE23" i="18"/>
  <c r="EC23" i="18"/>
  <c r="EK25" i="18"/>
  <c r="ED27" i="18"/>
  <c r="EE30" i="18"/>
  <c r="EK33" i="18"/>
  <c r="EN33" i="18" s="1"/>
  <c r="EE35" i="18"/>
  <c r="EK36" i="18"/>
  <c r="EN36" i="18" s="1"/>
  <c r="EH39" i="18"/>
  <c r="EK20" i="18"/>
  <c r="EB21" i="18"/>
  <c r="EK21" i="18"/>
  <c r="EN21" i="18" s="1"/>
  <c r="EB24" i="18"/>
  <c r="EM25" i="18"/>
  <c r="EK26" i="18"/>
  <c r="EB27" i="18"/>
  <c r="ED28" i="18"/>
  <c r="EE28" i="18" s="1"/>
  <c r="EN28" i="18"/>
  <c r="EH29" i="18"/>
  <c r="EK31" i="18"/>
  <c r="EN31" i="18" s="1"/>
  <c r="ED33" i="18"/>
  <c r="EM34" i="18"/>
  <c r="EK37" i="18"/>
  <c r="EH38" i="18"/>
  <c r="EB38" i="18"/>
  <c r="M41" i="18"/>
  <c r="Y41" i="18"/>
  <c r="AZ41" i="18"/>
  <c r="BL41" i="18"/>
  <c r="BX41" i="18"/>
  <c r="CJ41" i="18"/>
  <c r="CV41" i="18"/>
  <c r="DH41" i="18"/>
  <c r="DT41" i="18"/>
  <c r="ED18" i="18"/>
  <c r="EE18" i="18" s="1"/>
  <c r="EM18" i="18"/>
  <c r="EN18" i="18" s="1"/>
  <c r="AN20" i="18"/>
  <c r="ED20" i="18" s="1"/>
  <c r="EE20" i="18" s="1"/>
  <c r="ED22" i="18"/>
  <c r="EM22" i="18"/>
  <c r="EH26" i="18"/>
  <c r="EB26" i="18"/>
  <c r="EM29" i="18"/>
  <c r="EN29" i="18" s="1"/>
  <c r="EK30" i="18"/>
  <c r="EN30" i="18" s="1"/>
  <c r="EB31" i="18"/>
  <c r="ED32" i="18"/>
  <c r="EK32" i="18"/>
  <c r="EN32" i="18" s="1"/>
  <c r="EH33" i="18"/>
  <c r="EK35" i="18"/>
  <c r="ED37" i="18"/>
  <c r="EM38" i="18"/>
  <c r="EK40" i="18"/>
  <c r="EK39" i="18"/>
  <c r="EM16" i="17"/>
  <c r="EM15" i="17"/>
  <c r="ED12" i="17"/>
  <c r="EE12" i="17" s="1"/>
  <c r="EM13" i="17"/>
  <c r="EN13" i="17" s="1"/>
  <c r="ED17" i="17"/>
  <c r="ED13" i="17"/>
  <c r="ED14" i="17"/>
  <c r="EM14" i="17"/>
  <c r="ED15" i="17"/>
  <c r="ED16" i="17"/>
  <c r="EE16" i="17" s="1"/>
  <c r="AK42" i="17"/>
  <c r="EB13" i="17"/>
  <c r="EK14" i="17"/>
  <c r="EN14" i="17" s="1"/>
  <c r="EK11" i="17"/>
  <c r="EB14" i="17"/>
  <c r="EK15" i="17"/>
  <c r="EN15" i="17" s="1"/>
  <c r="AN17" i="17"/>
  <c r="EE18" i="17"/>
  <c r="EC18" i="17"/>
  <c r="EH19" i="17"/>
  <c r="EE22" i="17"/>
  <c r="EC22" i="17"/>
  <c r="EH23" i="17"/>
  <c r="EM23" i="17"/>
  <c r="EE26" i="17"/>
  <c r="EC26" i="17"/>
  <c r="EH27" i="17"/>
  <c r="EM27" i="17"/>
  <c r="EN29" i="17"/>
  <c r="EE30" i="17"/>
  <c r="EC30" i="17"/>
  <c r="EH31" i="17"/>
  <c r="EM31" i="17"/>
  <c r="EE34" i="17"/>
  <c r="EC34" i="17"/>
  <c r="EH35" i="17"/>
  <c r="EM35" i="17"/>
  <c r="EE38" i="17"/>
  <c r="EC38" i="17"/>
  <c r="EH39" i="17"/>
  <c r="EM39" i="17"/>
  <c r="EB17" i="17"/>
  <c r="EE19" i="17"/>
  <c r="EC19" i="17"/>
  <c r="EE23" i="17"/>
  <c r="EC23" i="17"/>
  <c r="EE27" i="17"/>
  <c r="EC27" i="17"/>
  <c r="EE35" i="17"/>
  <c r="EC35" i="17"/>
  <c r="J42" i="17"/>
  <c r="V42" i="17"/>
  <c r="AH42" i="17"/>
  <c r="AN11" i="17"/>
  <c r="AN42" i="17" s="1"/>
  <c r="BF42" i="17"/>
  <c r="BR42" i="17"/>
  <c r="CD42" i="17"/>
  <c r="CP42" i="17"/>
  <c r="DB42" i="17"/>
  <c r="DN42" i="17"/>
  <c r="EK12" i="17"/>
  <c r="EN12" i="17" s="1"/>
  <c r="EB15" i="17"/>
  <c r="EK16" i="17"/>
  <c r="EM17" i="17"/>
  <c r="EN17" i="17" s="1"/>
  <c r="EH18" i="17"/>
  <c r="EM19" i="17"/>
  <c r="EE21" i="17"/>
  <c r="EC21" i="17"/>
  <c r="EH22" i="17"/>
  <c r="EM22" i="17"/>
  <c r="EN22" i="17" s="1"/>
  <c r="EN24" i="17"/>
  <c r="EE25" i="17"/>
  <c r="EC25" i="17"/>
  <c r="EH26" i="17"/>
  <c r="EM26" i="17"/>
  <c r="EN28" i="17"/>
  <c r="EE29" i="17"/>
  <c r="EC29" i="17"/>
  <c r="EH30" i="17"/>
  <c r="EM30" i="17"/>
  <c r="EN30" i="17" s="1"/>
  <c r="EN32" i="17"/>
  <c r="EE33" i="17"/>
  <c r="EC33" i="17"/>
  <c r="EH34" i="17"/>
  <c r="EM34" i="17"/>
  <c r="EN36" i="17"/>
  <c r="EE37" i="17"/>
  <c r="EC37" i="17"/>
  <c r="EH38" i="17"/>
  <c r="EM38" i="17"/>
  <c r="EN38" i="17" s="1"/>
  <c r="EE41" i="17"/>
  <c r="EC41" i="17"/>
  <c r="S42" i="17"/>
  <c r="EN26" i="17"/>
  <c r="EE31" i="17"/>
  <c r="EC31" i="17"/>
  <c r="EN34" i="17"/>
  <c r="EE39" i="17"/>
  <c r="EC39" i="17"/>
  <c r="EI2" i="17"/>
  <c r="M42" i="17"/>
  <c r="Y42" i="17"/>
  <c r="AW42" i="17"/>
  <c r="BI42" i="17"/>
  <c r="BU42" i="17"/>
  <c r="CG42" i="17"/>
  <c r="CS42" i="17"/>
  <c r="DE42" i="17"/>
  <c r="DQ42" i="17"/>
  <c r="EM11" i="17"/>
  <c r="EM18" i="17"/>
  <c r="EN18" i="17" s="1"/>
  <c r="EN19" i="17"/>
  <c r="EE20" i="17"/>
  <c r="EC20" i="17"/>
  <c r="EH21" i="17"/>
  <c r="EH42" i="17" s="1"/>
  <c r="EM21" i="17"/>
  <c r="EN21" i="17" s="1"/>
  <c r="EN23" i="17"/>
  <c r="EE24" i="17"/>
  <c r="EC24" i="17"/>
  <c r="EH25" i="17"/>
  <c r="EM25" i="17"/>
  <c r="EN25" i="17" s="1"/>
  <c r="EN27" i="17"/>
  <c r="EE28" i="17"/>
  <c r="EC28" i="17"/>
  <c r="EH29" i="17"/>
  <c r="EM29" i="17"/>
  <c r="EN31" i="17"/>
  <c r="EE32" i="17"/>
  <c r="EC32" i="17"/>
  <c r="EH33" i="17"/>
  <c r="EM33" i="17"/>
  <c r="EN33" i="17" s="1"/>
  <c r="EN35" i="17"/>
  <c r="EE36" i="17"/>
  <c r="EC36" i="17"/>
  <c r="EH37" i="17"/>
  <c r="EM37" i="17"/>
  <c r="EN37" i="17" s="1"/>
  <c r="EN39" i="17"/>
  <c r="EE40" i="17"/>
  <c r="EC40" i="17"/>
  <c r="EH41" i="17"/>
  <c r="EM41" i="17"/>
  <c r="EN41" i="17" s="1"/>
  <c r="EC26" i="18" l="1"/>
  <c r="EE26" i="18"/>
  <c r="EE24" i="18"/>
  <c r="EC24" i="18"/>
  <c r="EC14" i="18"/>
  <c r="EE14" i="18"/>
  <c r="EE39" i="18"/>
  <c r="EC39" i="18"/>
  <c r="EN35" i="18"/>
  <c r="EE27" i="18"/>
  <c r="EC27" i="18"/>
  <c r="EC37" i="18"/>
  <c r="EE37" i="18"/>
  <c r="EE11" i="18"/>
  <c r="EN40" i="18"/>
  <c r="EN2" i="18"/>
  <c r="EP2" i="18" s="1"/>
  <c r="EN37" i="18"/>
  <c r="EN26" i="18"/>
  <c r="EE21" i="18"/>
  <c r="EC21" i="18"/>
  <c r="EC35" i="18"/>
  <c r="EN13" i="18"/>
  <c r="EC34" i="18"/>
  <c r="EE34" i="18"/>
  <c r="EE32" i="18"/>
  <c r="EC32" i="18"/>
  <c r="EC12" i="18"/>
  <c r="EE40" i="18"/>
  <c r="EE2" i="18"/>
  <c r="EQ2" i="18" s="1"/>
  <c r="G4" i="18" s="1"/>
  <c r="EC40" i="18"/>
  <c r="EM20" i="18"/>
  <c r="EN16" i="18"/>
  <c r="EE3" i="18"/>
  <c r="ED12" i="18"/>
  <c r="EE12" i="18" s="1"/>
  <c r="EC38" i="18"/>
  <c r="EE38" i="18"/>
  <c r="EN39" i="18"/>
  <c r="EE31" i="18"/>
  <c r="EC31" i="18"/>
  <c r="EC33" i="18"/>
  <c r="EE33" i="18"/>
  <c r="EN14" i="18"/>
  <c r="EC36" i="18"/>
  <c r="EN20" i="18"/>
  <c r="EN25" i="18"/>
  <c r="EC20" i="18"/>
  <c r="EE15" i="18"/>
  <c r="EC15" i="18"/>
  <c r="EN11" i="18"/>
  <c r="EN5" i="18"/>
  <c r="EN3" i="18"/>
  <c r="AN41" i="18"/>
  <c r="EC16" i="18"/>
  <c r="EE16" i="18"/>
  <c r="EC30" i="18"/>
  <c r="EM12" i="18"/>
  <c r="EN12" i="18" s="1"/>
  <c r="EE5" i="18"/>
  <c r="G7" i="18" s="1"/>
  <c r="EE17" i="17"/>
  <c r="EC17" i="17"/>
  <c r="EE13" i="17"/>
  <c r="EC13" i="17"/>
  <c r="EE3" i="17"/>
  <c r="EM42" i="17"/>
  <c r="EN16" i="17"/>
  <c r="EN3" i="17"/>
  <c r="EN4" i="17" s="1"/>
  <c r="EN5" i="17"/>
  <c r="EN11" i="17"/>
  <c r="ED11" i="17"/>
  <c r="EC16" i="17"/>
  <c r="EE5" i="17"/>
  <c r="G7" i="17" s="1"/>
  <c r="EC15" i="17"/>
  <c r="EE15" i="17"/>
  <c r="EC12" i="17"/>
  <c r="EC11" i="17"/>
  <c r="EE14" i="17"/>
  <c r="EC14" i="17"/>
  <c r="EM41" i="18" l="1"/>
  <c r="G5" i="18"/>
  <c r="EE4" i="18"/>
  <c r="G6" i="18" s="1"/>
  <c r="EN4" i="18"/>
  <c r="ED41" i="18"/>
  <c r="ED42" i="17"/>
  <c r="EE11" i="17"/>
  <c r="EE4" i="17"/>
  <c r="G6" i="17" s="1"/>
  <c r="G5" i="17"/>
  <c r="EL41" i="16" l="1"/>
  <c r="EG41" i="16"/>
  <c r="EI41" i="16" s="1"/>
  <c r="EB41" i="16"/>
  <c r="DW41" i="16"/>
  <c r="DT41" i="16"/>
  <c r="DQ41" i="16"/>
  <c r="DN41" i="16"/>
  <c r="DK41" i="16"/>
  <c r="DH41" i="16"/>
  <c r="DE41" i="16"/>
  <c r="DB41" i="16"/>
  <c r="CY41" i="16"/>
  <c r="CV41" i="16"/>
  <c r="CS41" i="16"/>
  <c r="CP41" i="16"/>
  <c r="CM41" i="16"/>
  <c r="CJ41" i="16"/>
  <c r="CG41" i="16"/>
  <c r="CD41" i="16"/>
  <c r="CA41" i="16"/>
  <c r="BX41" i="16"/>
  <c r="BU41" i="16"/>
  <c r="BR41" i="16"/>
  <c r="BO41" i="16"/>
  <c r="BL41" i="16"/>
  <c r="BI41" i="16"/>
  <c r="BF41" i="16"/>
  <c r="BC41" i="16"/>
  <c r="AZ41" i="16"/>
  <c r="AW41" i="16"/>
  <c r="AT41" i="16"/>
  <c r="AQ41" i="16"/>
  <c r="AN41" i="16"/>
  <c r="AI41" i="16"/>
  <c r="AB41" i="16"/>
  <c r="Y41" i="16"/>
  <c r="V41" i="16"/>
  <c r="S41" i="16"/>
  <c r="EH41" i="16" s="1"/>
  <c r="P41" i="16"/>
  <c r="M41" i="16"/>
  <c r="J41" i="16"/>
  <c r="G41" i="16"/>
  <c r="D41" i="16"/>
  <c r="EL40" i="16"/>
  <c r="EK40" i="16"/>
  <c r="EI40" i="16"/>
  <c r="EG40" i="16"/>
  <c r="DW40" i="16"/>
  <c r="DT40" i="16"/>
  <c r="EM40" i="16" s="1"/>
  <c r="DQ40" i="16"/>
  <c r="DN40" i="16"/>
  <c r="DK40" i="16"/>
  <c r="DH40" i="16"/>
  <c r="DE40" i="16"/>
  <c r="DB40" i="16"/>
  <c r="CY40" i="16"/>
  <c r="CV40" i="16"/>
  <c r="CS40" i="16"/>
  <c r="CP40" i="16"/>
  <c r="CM40" i="16"/>
  <c r="CJ40" i="16"/>
  <c r="CG40" i="16"/>
  <c r="CD40" i="16"/>
  <c r="CA40" i="16"/>
  <c r="BX40" i="16"/>
  <c r="BU40" i="16"/>
  <c r="BR40" i="16"/>
  <c r="BO40" i="16"/>
  <c r="BL40" i="16"/>
  <c r="BI40" i="16"/>
  <c r="BF40" i="16"/>
  <c r="BC40" i="16"/>
  <c r="AZ40" i="16"/>
  <c r="AW40" i="16"/>
  <c r="AT40" i="16"/>
  <c r="AQ40" i="16"/>
  <c r="AN40" i="16"/>
  <c r="AK40" i="16"/>
  <c r="AI40" i="16"/>
  <c r="EB40" i="16" s="1"/>
  <c r="AB40" i="16"/>
  <c r="Y40" i="16"/>
  <c r="V40" i="16"/>
  <c r="S40" i="16"/>
  <c r="EH40" i="16" s="1"/>
  <c r="P40" i="16"/>
  <c r="M40" i="16"/>
  <c r="J40" i="16"/>
  <c r="G40" i="16"/>
  <c r="D40" i="16"/>
  <c r="EL39" i="16"/>
  <c r="EI39" i="16"/>
  <c r="EG39" i="16"/>
  <c r="DW39" i="16"/>
  <c r="DT39" i="16"/>
  <c r="DQ39" i="16"/>
  <c r="DN39" i="16"/>
  <c r="DK39" i="16"/>
  <c r="DH39" i="16"/>
  <c r="DE39" i="16"/>
  <c r="DB39" i="16"/>
  <c r="CY39" i="16"/>
  <c r="CV39" i="16"/>
  <c r="CS39" i="16"/>
  <c r="CP39" i="16"/>
  <c r="CM39" i="16"/>
  <c r="CJ39" i="16"/>
  <c r="CG39" i="16"/>
  <c r="CD39" i="16"/>
  <c r="CA39" i="16"/>
  <c r="BX39" i="16"/>
  <c r="BU39" i="16"/>
  <c r="BR39" i="16"/>
  <c r="BO39" i="16"/>
  <c r="BL39" i="16"/>
  <c r="BI39" i="16"/>
  <c r="BF39" i="16"/>
  <c r="BC39" i="16"/>
  <c r="AZ39" i="16"/>
  <c r="AW39" i="16"/>
  <c r="AT39" i="16"/>
  <c r="AQ39" i="16"/>
  <c r="AN39" i="16"/>
  <c r="AI39" i="16"/>
  <c r="AK39" i="16" s="1"/>
  <c r="AB39" i="16"/>
  <c r="Y39" i="16"/>
  <c r="V39" i="16"/>
  <c r="S39" i="16"/>
  <c r="EH39" i="16" s="1"/>
  <c r="P39" i="16"/>
  <c r="M39" i="16"/>
  <c r="J39" i="16"/>
  <c r="G39" i="16"/>
  <c r="ED39" i="16" s="1"/>
  <c r="D39" i="16"/>
  <c r="EL38" i="16"/>
  <c r="EG38" i="16"/>
  <c r="EI38" i="16" s="1"/>
  <c r="DW38" i="16"/>
  <c r="DT38" i="16"/>
  <c r="DQ38" i="16"/>
  <c r="EM38" i="16" s="1"/>
  <c r="DN38" i="16"/>
  <c r="DK38" i="16"/>
  <c r="DH38" i="16"/>
  <c r="DE38" i="16"/>
  <c r="DB38" i="16"/>
  <c r="CY38" i="16"/>
  <c r="CV38" i="16"/>
  <c r="CS38" i="16"/>
  <c r="CP38" i="16"/>
  <c r="CM38" i="16"/>
  <c r="CJ38" i="16"/>
  <c r="CG38" i="16"/>
  <c r="CD38" i="16"/>
  <c r="CA38" i="16"/>
  <c r="BX38" i="16"/>
  <c r="BU38" i="16"/>
  <c r="BR38" i="16"/>
  <c r="BO38" i="16"/>
  <c r="BL38" i="16"/>
  <c r="BI38" i="16"/>
  <c r="BF38" i="16"/>
  <c r="BC38" i="16"/>
  <c r="AZ38" i="16"/>
  <c r="AW38" i="16"/>
  <c r="AT38" i="16"/>
  <c r="AQ38" i="16"/>
  <c r="AN38" i="16"/>
  <c r="AK38" i="16"/>
  <c r="AI38" i="16"/>
  <c r="EB38" i="16" s="1"/>
  <c r="AB38" i="16"/>
  <c r="EH38" i="16" s="1"/>
  <c r="Y38" i="16"/>
  <c r="V38" i="16"/>
  <c r="S38" i="16"/>
  <c r="P38" i="16"/>
  <c r="M38" i="16"/>
  <c r="J38" i="16"/>
  <c r="G38" i="16"/>
  <c r="D38" i="16"/>
  <c r="ED38" i="16" s="1"/>
  <c r="EL37" i="16"/>
  <c r="EG37" i="16"/>
  <c r="EI37" i="16" s="1"/>
  <c r="EB37" i="16"/>
  <c r="DW37" i="16"/>
  <c r="DT37" i="16"/>
  <c r="DQ37" i="16"/>
  <c r="DN37" i="16"/>
  <c r="DK37" i="16"/>
  <c r="DH37" i="16"/>
  <c r="DE37" i="16"/>
  <c r="DB37" i="16"/>
  <c r="CY37" i="16"/>
  <c r="CV37" i="16"/>
  <c r="CS37" i="16"/>
  <c r="CP37" i="16"/>
  <c r="CM37" i="16"/>
  <c r="CJ37" i="16"/>
  <c r="CG37" i="16"/>
  <c r="CD37" i="16"/>
  <c r="CA37" i="16"/>
  <c r="BX37" i="16"/>
  <c r="BU37" i="16"/>
  <c r="BR37" i="16"/>
  <c r="BO37" i="16"/>
  <c r="BL37" i="16"/>
  <c r="BI37" i="16"/>
  <c r="BF37" i="16"/>
  <c r="BC37" i="16"/>
  <c r="AZ37" i="16"/>
  <c r="AW37" i="16"/>
  <c r="AT37" i="16"/>
  <c r="AQ37" i="16"/>
  <c r="AN37" i="16"/>
  <c r="AI37" i="16"/>
  <c r="AB37" i="16"/>
  <c r="Y37" i="16"/>
  <c r="V37" i="16"/>
  <c r="S37" i="16"/>
  <c r="EH37" i="16" s="1"/>
  <c r="P37" i="16"/>
  <c r="M37" i="16"/>
  <c r="J37" i="16"/>
  <c r="G37" i="16"/>
  <c r="D37" i="16"/>
  <c r="EL36" i="16"/>
  <c r="EK36" i="16"/>
  <c r="EI36" i="16"/>
  <c r="EG36" i="16"/>
  <c r="DW36" i="16"/>
  <c r="DT36" i="16"/>
  <c r="DQ36" i="16"/>
  <c r="DN36" i="16"/>
  <c r="DK36" i="16"/>
  <c r="DH36" i="16"/>
  <c r="DE36" i="16"/>
  <c r="DB36" i="16"/>
  <c r="CY36" i="16"/>
  <c r="CV36" i="16"/>
  <c r="CS36" i="16"/>
  <c r="CP36" i="16"/>
  <c r="CM36" i="16"/>
  <c r="CJ36" i="16"/>
  <c r="CG36" i="16"/>
  <c r="CD36" i="16"/>
  <c r="CA36" i="16"/>
  <c r="BX36" i="16"/>
  <c r="BU36" i="16"/>
  <c r="BR36" i="16"/>
  <c r="BO36" i="16"/>
  <c r="BL36" i="16"/>
  <c r="BI36" i="16"/>
  <c r="BF36" i="16"/>
  <c r="BC36" i="16"/>
  <c r="AZ36" i="16"/>
  <c r="AW36" i="16"/>
  <c r="AT36" i="16"/>
  <c r="AQ36" i="16"/>
  <c r="AN36" i="16"/>
  <c r="AI36" i="16"/>
  <c r="AK36" i="16" s="1"/>
  <c r="AB36" i="16"/>
  <c r="Y36" i="16"/>
  <c r="V36" i="16"/>
  <c r="S36" i="16"/>
  <c r="EH36" i="16" s="1"/>
  <c r="P36" i="16"/>
  <c r="M36" i="16"/>
  <c r="J36" i="16"/>
  <c r="G36" i="16"/>
  <c r="D36" i="16"/>
  <c r="EL35" i="16"/>
  <c r="EI35" i="16"/>
  <c r="EG35" i="16"/>
  <c r="DW35" i="16"/>
  <c r="DT35" i="16"/>
  <c r="DQ35" i="16"/>
  <c r="DN35" i="16"/>
  <c r="DK35" i="16"/>
  <c r="DH35" i="16"/>
  <c r="DE35" i="16"/>
  <c r="DB35" i="16"/>
  <c r="CY35" i="16"/>
  <c r="CV35" i="16"/>
  <c r="CS35" i="16"/>
  <c r="CP35" i="16"/>
  <c r="CM35" i="16"/>
  <c r="CJ35" i="16"/>
  <c r="CG35" i="16"/>
  <c r="CD35" i="16"/>
  <c r="CA35" i="16"/>
  <c r="BX35" i="16"/>
  <c r="BU35" i="16"/>
  <c r="BR35" i="16"/>
  <c r="BO35" i="16"/>
  <c r="BL35" i="16"/>
  <c r="BI35" i="16"/>
  <c r="BF35" i="16"/>
  <c r="BC35" i="16"/>
  <c r="AZ35" i="16"/>
  <c r="AW35" i="16"/>
  <c r="AT35" i="16"/>
  <c r="AQ35" i="16"/>
  <c r="AN35" i="16"/>
  <c r="AK35" i="16"/>
  <c r="AI35" i="16"/>
  <c r="EB35" i="16" s="1"/>
  <c r="AB35" i="16"/>
  <c r="Y35" i="16"/>
  <c r="V35" i="16"/>
  <c r="S35" i="16"/>
  <c r="P35" i="16"/>
  <c r="M35" i="16"/>
  <c r="J35" i="16"/>
  <c r="G35" i="16"/>
  <c r="ED35" i="16" s="1"/>
  <c r="D35" i="16"/>
  <c r="EM34" i="16"/>
  <c r="EL34" i="16"/>
  <c r="EH34" i="16"/>
  <c r="EG34" i="16"/>
  <c r="EI34" i="16" s="1"/>
  <c r="DW34" i="16"/>
  <c r="DT34" i="16"/>
  <c r="DQ34" i="16"/>
  <c r="DN34" i="16"/>
  <c r="DK34" i="16"/>
  <c r="DH34" i="16"/>
  <c r="DE34" i="16"/>
  <c r="DB34" i="16"/>
  <c r="CY34" i="16"/>
  <c r="CV34" i="16"/>
  <c r="CS34" i="16"/>
  <c r="CP34" i="16"/>
  <c r="CM34" i="16"/>
  <c r="CJ34" i="16"/>
  <c r="CG34" i="16"/>
  <c r="CD34" i="16"/>
  <c r="CA34" i="16"/>
  <c r="BX34" i="16"/>
  <c r="BU34" i="16"/>
  <c r="BR34" i="16"/>
  <c r="BO34" i="16"/>
  <c r="BL34" i="16"/>
  <c r="BI34" i="16"/>
  <c r="BF34" i="16"/>
  <c r="BC34" i="16"/>
  <c r="AZ34" i="16"/>
  <c r="AW34" i="16"/>
  <c r="AT34" i="16"/>
  <c r="AQ34" i="16"/>
  <c r="AN34" i="16"/>
  <c r="AK34" i="16"/>
  <c r="AI34" i="16"/>
  <c r="EB34" i="16" s="1"/>
  <c r="EE34" i="16" s="1"/>
  <c r="AB34" i="16"/>
  <c r="Y34" i="16"/>
  <c r="V34" i="16"/>
  <c r="S34" i="16"/>
  <c r="P34" i="16"/>
  <c r="M34" i="16"/>
  <c r="J34" i="16"/>
  <c r="G34" i="16"/>
  <c r="D34" i="16"/>
  <c r="ED34" i="16" s="1"/>
  <c r="EL33" i="16"/>
  <c r="EG33" i="16"/>
  <c r="EI33" i="16" s="1"/>
  <c r="EB33" i="16"/>
  <c r="DW33" i="16"/>
  <c r="DT33" i="16"/>
  <c r="DQ33" i="16"/>
  <c r="DN33" i="16"/>
  <c r="DK33" i="16"/>
  <c r="DH33" i="16"/>
  <c r="DE33" i="16"/>
  <c r="DB33" i="16"/>
  <c r="CY33" i="16"/>
  <c r="CV33" i="16"/>
  <c r="CS33" i="16"/>
  <c r="CP33" i="16"/>
  <c r="CM33" i="16"/>
  <c r="CJ33" i="16"/>
  <c r="CG33" i="16"/>
  <c r="CD33" i="16"/>
  <c r="CA33" i="16"/>
  <c r="BX33" i="16"/>
  <c r="BU33" i="16"/>
  <c r="BR33" i="16"/>
  <c r="BO33" i="16"/>
  <c r="BL33" i="16"/>
  <c r="BI33" i="16"/>
  <c r="BF33" i="16"/>
  <c r="BC33" i="16"/>
  <c r="AZ33" i="16"/>
  <c r="AW33" i="16"/>
  <c r="AT33" i="16"/>
  <c r="AQ33" i="16"/>
  <c r="AN33" i="16"/>
  <c r="AI33" i="16"/>
  <c r="AB33" i="16"/>
  <c r="Y33" i="16"/>
  <c r="V33" i="16"/>
  <c r="S33" i="16"/>
  <c r="P33" i="16"/>
  <c r="M33" i="16"/>
  <c r="J33" i="16"/>
  <c r="G33" i="16"/>
  <c r="D33" i="16"/>
  <c r="EL32" i="16"/>
  <c r="EK32" i="16"/>
  <c r="EG32" i="16"/>
  <c r="EI32" i="16" s="1"/>
  <c r="DW32" i="16"/>
  <c r="DT32" i="16"/>
  <c r="DQ32" i="16"/>
  <c r="DN32" i="16"/>
  <c r="DK32" i="16"/>
  <c r="DH32" i="16"/>
  <c r="DE32" i="16"/>
  <c r="DB32" i="16"/>
  <c r="CY32" i="16"/>
  <c r="CV32" i="16"/>
  <c r="CS32" i="16"/>
  <c r="CP32" i="16"/>
  <c r="CM32" i="16"/>
  <c r="CM42" i="16" s="1"/>
  <c r="CJ32" i="16"/>
  <c r="CG32" i="16"/>
  <c r="CD32" i="16"/>
  <c r="CA32" i="16"/>
  <c r="BX32" i="16"/>
  <c r="BU32" i="16"/>
  <c r="BR32" i="16"/>
  <c r="BO32" i="16"/>
  <c r="BL32" i="16"/>
  <c r="BI32" i="16"/>
  <c r="BF32" i="16"/>
  <c r="BC32" i="16"/>
  <c r="AZ32" i="16"/>
  <c r="AW32" i="16"/>
  <c r="AT32" i="16"/>
  <c r="AQ32" i="16"/>
  <c r="AN32" i="16"/>
  <c r="AI32" i="16"/>
  <c r="AK32" i="16" s="1"/>
  <c r="AB32" i="16"/>
  <c r="Y32" i="16"/>
  <c r="V32" i="16"/>
  <c r="S32" i="16"/>
  <c r="EH32" i="16" s="1"/>
  <c r="P32" i="16"/>
  <c r="M32" i="16"/>
  <c r="J32" i="16"/>
  <c r="G32" i="16"/>
  <c r="D32" i="16"/>
  <c r="EL31" i="16"/>
  <c r="EI31" i="16"/>
  <c r="EG31" i="16"/>
  <c r="DW31" i="16"/>
  <c r="DT31" i="16"/>
  <c r="DQ31" i="16"/>
  <c r="DN31" i="16"/>
  <c r="DK31" i="16"/>
  <c r="DH31" i="16"/>
  <c r="DE31" i="16"/>
  <c r="DB31" i="16"/>
  <c r="CY31" i="16"/>
  <c r="CV31" i="16"/>
  <c r="CS31" i="16"/>
  <c r="CP31" i="16"/>
  <c r="CM31" i="16"/>
  <c r="CJ31" i="16"/>
  <c r="CG31" i="16"/>
  <c r="CD31" i="16"/>
  <c r="CA31" i="16"/>
  <c r="BX31" i="16"/>
  <c r="BU31" i="16"/>
  <c r="BR31" i="16"/>
  <c r="BO31" i="16"/>
  <c r="BL31" i="16"/>
  <c r="BI31" i="16"/>
  <c r="BF31" i="16"/>
  <c r="BC31" i="16"/>
  <c r="AZ31" i="16"/>
  <c r="AW31" i="16"/>
  <c r="AT31" i="16"/>
  <c r="AQ31" i="16"/>
  <c r="AN31" i="16"/>
  <c r="AK31" i="16"/>
  <c r="AI31" i="16"/>
  <c r="EB31" i="16" s="1"/>
  <c r="AB31" i="16"/>
  <c r="Y31" i="16"/>
  <c r="V31" i="16"/>
  <c r="S31" i="16"/>
  <c r="P31" i="16"/>
  <c r="M31" i="16"/>
  <c r="J31" i="16"/>
  <c r="G31" i="16"/>
  <c r="ED31" i="16" s="1"/>
  <c r="D31" i="16"/>
  <c r="EM30" i="16"/>
  <c r="EL30" i="16"/>
  <c r="EH30" i="16"/>
  <c r="EG30" i="16"/>
  <c r="EI30" i="16" s="1"/>
  <c r="DW30" i="16"/>
  <c r="DT30" i="16"/>
  <c r="DQ30" i="16"/>
  <c r="DN30" i="16"/>
  <c r="DK30" i="16"/>
  <c r="DH30" i="16"/>
  <c r="DE30" i="16"/>
  <c r="DB30" i="16"/>
  <c r="CY30" i="16"/>
  <c r="CV30" i="16"/>
  <c r="CS30" i="16"/>
  <c r="CP30" i="16"/>
  <c r="CM30" i="16"/>
  <c r="CJ30" i="16"/>
  <c r="CG30" i="16"/>
  <c r="CD30" i="16"/>
  <c r="CA30" i="16"/>
  <c r="BX30" i="16"/>
  <c r="BU30" i="16"/>
  <c r="BR30" i="16"/>
  <c r="BO30" i="16"/>
  <c r="BL30" i="16"/>
  <c r="BI30" i="16"/>
  <c r="BF30" i="16"/>
  <c r="BC30" i="16"/>
  <c r="AZ30" i="16"/>
  <c r="AW30" i="16"/>
  <c r="AT30" i="16"/>
  <c r="AQ30" i="16"/>
  <c r="AN30" i="16"/>
  <c r="AK30" i="16"/>
  <c r="AI30" i="16"/>
  <c r="EB30" i="16" s="1"/>
  <c r="EE30" i="16" s="1"/>
  <c r="AB30" i="16"/>
  <c r="Y30" i="16"/>
  <c r="V30" i="16"/>
  <c r="S30" i="16"/>
  <c r="P30" i="16"/>
  <c r="M30" i="16"/>
  <c r="J30" i="16"/>
  <c r="G30" i="16"/>
  <c r="D30" i="16"/>
  <c r="ED30" i="16" s="1"/>
  <c r="EL29" i="16"/>
  <c r="EG29" i="16"/>
  <c r="EI29" i="16" s="1"/>
  <c r="EB29" i="16"/>
  <c r="DW29" i="16"/>
  <c r="DT29" i="16"/>
  <c r="DQ29" i="16"/>
  <c r="DN29" i="16"/>
  <c r="DK29" i="16"/>
  <c r="DH29" i="16"/>
  <c r="DE29" i="16"/>
  <c r="DB29" i="16"/>
  <c r="CY29" i="16"/>
  <c r="CV29" i="16"/>
  <c r="CS29" i="16"/>
  <c r="CP29" i="16"/>
  <c r="CM29" i="16"/>
  <c r="CJ29" i="16"/>
  <c r="CG29" i="16"/>
  <c r="CD29" i="16"/>
  <c r="CA29" i="16"/>
  <c r="BX29" i="16"/>
  <c r="BU29" i="16"/>
  <c r="BR29" i="16"/>
  <c r="BO29" i="16"/>
  <c r="BL29" i="16"/>
  <c r="BI29" i="16"/>
  <c r="BF29" i="16"/>
  <c r="BC29" i="16"/>
  <c r="AZ29" i="16"/>
  <c r="AW29" i="16"/>
  <c r="AT29" i="16"/>
  <c r="AQ29" i="16"/>
  <c r="AN29" i="16"/>
  <c r="AI29" i="16"/>
  <c r="AB29" i="16"/>
  <c r="Y29" i="16"/>
  <c r="V29" i="16"/>
  <c r="S29" i="16"/>
  <c r="P29" i="16"/>
  <c r="M29" i="16"/>
  <c r="J29" i="16"/>
  <c r="G29" i="16"/>
  <c r="D29" i="16"/>
  <c r="EL28" i="16"/>
  <c r="EK28" i="16"/>
  <c r="EI28" i="16"/>
  <c r="EG28" i="16"/>
  <c r="DW28" i="16"/>
  <c r="DT28" i="16"/>
  <c r="EM28" i="16" s="1"/>
  <c r="DQ28" i="16"/>
  <c r="DN28" i="16"/>
  <c r="DK28" i="16"/>
  <c r="DH28" i="16"/>
  <c r="DE28" i="16"/>
  <c r="DB28" i="16"/>
  <c r="CY28" i="16"/>
  <c r="CV28" i="16"/>
  <c r="CS28" i="16"/>
  <c r="CP28" i="16"/>
  <c r="CM28" i="16"/>
  <c r="CJ28" i="16"/>
  <c r="CG28" i="16"/>
  <c r="CD28" i="16"/>
  <c r="CA28" i="16"/>
  <c r="BX28" i="16"/>
  <c r="BU28" i="16"/>
  <c r="BR28" i="16"/>
  <c r="BO28" i="16"/>
  <c r="BL28" i="16"/>
  <c r="BI28" i="16"/>
  <c r="BF28" i="16"/>
  <c r="BC28" i="16"/>
  <c r="AZ28" i="16"/>
  <c r="AW28" i="16"/>
  <c r="AT28" i="16"/>
  <c r="AQ28" i="16"/>
  <c r="AN28" i="16"/>
  <c r="AK28" i="16"/>
  <c r="AI28" i="16"/>
  <c r="EB28" i="16" s="1"/>
  <c r="EC28" i="16" s="1"/>
  <c r="AB28" i="16"/>
  <c r="Y28" i="16"/>
  <c r="V28" i="16"/>
  <c r="S28" i="16"/>
  <c r="EH28" i="16" s="1"/>
  <c r="P28" i="16"/>
  <c r="M28" i="16"/>
  <c r="J28" i="16"/>
  <c r="G28" i="16"/>
  <c r="D28" i="16"/>
  <c r="EL27" i="16"/>
  <c r="EI27" i="16"/>
  <c r="EG27" i="16"/>
  <c r="ED27" i="16"/>
  <c r="DW27" i="16"/>
  <c r="DT27" i="16"/>
  <c r="DQ27" i="16"/>
  <c r="DN27" i="16"/>
  <c r="DK27" i="16"/>
  <c r="DH27" i="16"/>
  <c r="DE27" i="16"/>
  <c r="DB27" i="16"/>
  <c r="CY27" i="16"/>
  <c r="CV27" i="16"/>
  <c r="CS27" i="16"/>
  <c r="CP27" i="16"/>
  <c r="CM27" i="16"/>
  <c r="CJ27" i="16"/>
  <c r="CG27" i="16"/>
  <c r="CD27" i="16"/>
  <c r="CA27" i="16"/>
  <c r="BX27" i="16"/>
  <c r="BU27" i="16"/>
  <c r="BR27" i="16"/>
  <c r="BO27" i="16"/>
  <c r="BL27" i="16"/>
  <c r="BI27" i="16"/>
  <c r="BF27" i="16"/>
  <c r="BC27" i="16"/>
  <c r="AZ27" i="16"/>
  <c r="AW27" i="16"/>
  <c r="AT27" i="16"/>
  <c r="AQ27" i="16"/>
  <c r="AN27" i="16"/>
  <c r="AI27" i="16"/>
  <c r="AK27" i="16" s="1"/>
  <c r="AB27" i="16"/>
  <c r="Y27" i="16"/>
  <c r="V27" i="16"/>
  <c r="S27" i="16"/>
  <c r="EH27" i="16" s="1"/>
  <c r="P27" i="16"/>
  <c r="M27" i="16"/>
  <c r="J27" i="16"/>
  <c r="G27" i="16"/>
  <c r="D27" i="16"/>
  <c r="EL26" i="16"/>
  <c r="EI26" i="16"/>
  <c r="EH26" i="16"/>
  <c r="EG26" i="16"/>
  <c r="DW26" i="16"/>
  <c r="DT26" i="16"/>
  <c r="DQ26" i="16"/>
  <c r="EM26" i="16" s="1"/>
  <c r="DN26" i="16"/>
  <c r="DK26" i="16"/>
  <c r="DH26" i="16"/>
  <c r="DE26" i="16"/>
  <c r="DB26" i="16"/>
  <c r="CY26" i="16"/>
  <c r="CV26" i="16"/>
  <c r="CS26" i="16"/>
  <c r="CP26" i="16"/>
  <c r="CM26" i="16"/>
  <c r="CJ26" i="16"/>
  <c r="CG26" i="16"/>
  <c r="CD26" i="16"/>
  <c r="CA26" i="16"/>
  <c r="BX26" i="16"/>
  <c r="BU26" i="16"/>
  <c r="BR26" i="16"/>
  <c r="BO26" i="16"/>
  <c r="BL26" i="16"/>
  <c r="BI26" i="16"/>
  <c r="BF26" i="16"/>
  <c r="BC26" i="16"/>
  <c r="AZ26" i="16"/>
  <c r="AW26" i="16"/>
  <c r="AT26" i="16"/>
  <c r="AQ26" i="16"/>
  <c r="AN26" i="16"/>
  <c r="AK26" i="16"/>
  <c r="AI26" i="16"/>
  <c r="EB26" i="16" s="1"/>
  <c r="EE26" i="16" s="1"/>
  <c r="AB26" i="16"/>
  <c r="Y26" i="16"/>
  <c r="V26" i="16"/>
  <c r="S26" i="16"/>
  <c r="P26" i="16"/>
  <c r="M26" i="16"/>
  <c r="J26" i="16"/>
  <c r="G26" i="16"/>
  <c r="D26" i="16"/>
  <c r="ED26" i="16" s="1"/>
  <c r="EL25" i="16"/>
  <c r="EG25" i="16"/>
  <c r="EI25" i="16" s="1"/>
  <c r="EB25" i="16"/>
  <c r="DW25" i="16"/>
  <c r="DT25" i="16"/>
  <c r="DQ25" i="16"/>
  <c r="DN25" i="16"/>
  <c r="DK25" i="16"/>
  <c r="DH25" i="16"/>
  <c r="DE25" i="16"/>
  <c r="DB25" i="16"/>
  <c r="CY25" i="16"/>
  <c r="CV25" i="16"/>
  <c r="CS25" i="16"/>
  <c r="CP25" i="16"/>
  <c r="CM25" i="16"/>
  <c r="CJ25" i="16"/>
  <c r="CG25" i="16"/>
  <c r="CD25" i="16"/>
  <c r="CA25" i="16"/>
  <c r="BX25" i="16"/>
  <c r="BU25" i="16"/>
  <c r="BR25" i="16"/>
  <c r="BO25" i="16"/>
  <c r="BL25" i="16"/>
  <c r="BI25" i="16"/>
  <c r="BF25" i="16"/>
  <c r="BC25" i="16"/>
  <c r="AZ25" i="16"/>
  <c r="AW25" i="16"/>
  <c r="AT25" i="16"/>
  <c r="AQ25" i="16"/>
  <c r="AN25" i="16"/>
  <c r="AI25" i="16"/>
  <c r="AB25" i="16"/>
  <c r="Y25" i="16"/>
  <c r="V25" i="16"/>
  <c r="S25" i="16"/>
  <c r="EH25" i="16" s="1"/>
  <c r="P25" i="16"/>
  <c r="M25" i="16"/>
  <c r="J25" i="16"/>
  <c r="G25" i="16"/>
  <c r="D25" i="16"/>
  <c r="EL24" i="16"/>
  <c r="EK24" i="16"/>
  <c r="EG24" i="16"/>
  <c r="EI24" i="16" s="1"/>
  <c r="DW24" i="16"/>
  <c r="DT24" i="16"/>
  <c r="DQ24" i="16"/>
  <c r="EM24" i="16" s="1"/>
  <c r="DN24" i="16"/>
  <c r="DK24" i="16"/>
  <c r="DH24" i="16"/>
  <c r="DE24" i="16"/>
  <c r="DB24" i="16"/>
  <c r="CY24" i="16"/>
  <c r="CV24" i="16"/>
  <c r="CS24" i="16"/>
  <c r="CP24" i="16"/>
  <c r="CM24" i="16"/>
  <c r="CJ24" i="16"/>
  <c r="CG24" i="16"/>
  <c r="CD24" i="16"/>
  <c r="CA24" i="16"/>
  <c r="BX24" i="16"/>
  <c r="BU24" i="16"/>
  <c r="BR24" i="16"/>
  <c r="BO24" i="16"/>
  <c r="BL24" i="16"/>
  <c r="BI24" i="16"/>
  <c r="BF24" i="16"/>
  <c r="BC24" i="16"/>
  <c r="AZ24" i="16"/>
  <c r="AW24" i="16"/>
  <c r="AT24" i="16"/>
  <c r="AQ24" i="16"/>
  <c r="AN24" i="16"/>
  <c r="AK24" i="16"/>
  <c r="AI24" i="16"/>
  <c r="EB24" i="16" s="1"/>
  <c r="EC24" i="16" s="1"/>
  <c r="AB24" i="16"/>
  <c r="Y24" i="16"/>
  <c r="V24" i="16"/>
  <c r="S24" i="16"/>
  <c r="P24" i="16"/>
  <c r="M24" i="16"/>
  <c r="J24" i="16"/>
  <c r="G24" i="16"/>
  <c r="D24" i="16"/>
  <c r="ED24" i="16" s="1"/>
  <c r="EL23" i="16"/>
  <c r="EI23" i="16"/>
  <c r="EG23" i="16"/>
  <c r="DW23" i="16"/>
  <c r="DT23" i="16"/>
  <c r="DQ23" i="16"/>
  <c r="DN23" i="16"/>
  <c r="DK23" i="16"/>
  <c r="DH23" i="16"/>
  <c r="DE23" i="16"/>
  <c r="DB23" i="16"/>
  <c r="CY23" i="16"/>
  <c r="CV23" i="16"/>
  <c r="CS23" i="16"/>
  <c r="CP23" i="16"/>
  <c r="CM23" i="16"/>
  <c r="CJ23" i="16"/>
  <c r="CG23" i="16"/>
  <c r="CD23" i="16"/>
  <c r="CA23" i="16"/>
  <c r="BX23" i="16"/>
  <c r="BU23" i="16"/>
  <c r="BR23" i="16"/>
  <c r="BO23" i="16"/>
  <c r="BL23" i="16"/>
  <c r="BI23" i="16"/>
  <c r="BF23" i="16"/>
  <c r="BC23" i="16"/>
  <c r="AZ23" i="16"/>
  <c r="AW23" i="16"/>
  <c r="AT23" i="16"/>
  <c r="AQ23" i="16"/>
  <c r="AN23" i="16"/>
  <c r="AI23" i="16"/>
  <c r="AK23" i="16" s="1"/>
  <c r="AB23" i="16"/>
  <c r="Y23" i="16"/>
  <c r="V23" i="16"/>
  <c r="S23" i="16"/>
  <c r="EH23" i="16" s="1"/>
  <c r="P23" i="16"/>
  <c r="M23" i="16"/>
  <c r="J23" i="16"/>
  <c r="G23" i="16"/>
  <c r="ED23" i="16" s="1"/>
  <c r="D23" i="16"/>
  <c r="EL22" i="16"/>
  <c r="EI22" i="16"/>
  <c r="EG22" i="16"/>
  <c r="DW22" i="16"/>
  <c r="DT22" i="16"/>
  <c r="DQ22" i="16"/>
  <c r="EM22" i="16" s="1"/>
  <c r="DN22" i="16"/>
  <c r="DK22" i="16"/>
  <c r="DH22" i="16"/>
  <c r="DE22" i="16"/>
  <c r="DB22" i="16"/>
  <c r="CY22" i="16"/>
  <c r="CV22" i="16"/>
  <c r="CS22" i="16"/>
  <c r="CP22" i="16"/>
  <c r="CM22" i="16"/>
  <c r="CJ22" i="16"/>
  <c r="CG22" i="16"/>
  <c r="CD22" i="16"/>
  <c r="CA22" i="16"/>
  <c r="BX22" i="16"/>
  <c r="BU22" i="16"/>
  <c r="BR22" i="16"/>
  <c r="BO22" i="16"/>
  <c r="BL22" i="16"/>
  <c r="BI22" i="16"/>
  <c r="BF22" i="16"/>
  <c r="BC22" i="16"/>
  <c r="AZ22" i="16"/>
  <c r="AW22" i="16"/>
  <c r="AT22" i="16"/>
  <c r="AQ22" i="16"/>
  <c r="AN22" i="16"/>
  <c r="AK22" i="16"/>
  <c r="AI22" i="16"/>
  <c r="EB22" i="16" s="1"/>
  <c r="AB22" i="16"/>
  <c r="EH22" i="16" s="1"/>
  <c r="Y22" i="16"/>
  <c r="V22" i="16"/>
  <c r="S22" i="16"/>
  <c r="P22" i="16"/>
  <c r="M22" i="16"/>
  <c r="J22" i="16"/>
  <c r="G22" i="16"/>
  <c r="D22" i="16"/>
  <c r="ED22" i="16" s="1"/>
  <c r="EL21" i="16"/>
  <c r="EG21" i="16"/>
  <c r="EI21" i="16" s="1"/>
  <c r="DW21" i="16"/>
  <c r="DT21" i="16"/>
  <c r="DQ21" i="16"/>
  <c r="DN21" i="16"/>
  <c r="DK21" i="16"/>
  <c r="DH21" i="16"/>
  <c r="DE21" i="16"/>
  <c r="DB21" i="16"/>
  <c r="CY21" i="16"/>
  <c r="CV21" i="16"/>
  <c r="CS21" i="16"/>
  <c r="CP21" i="16"/>
  <c r="CM21" i="16"/>
  <c r="CJ21" i="16"/>
  <c r="CG21" i="16"/>
  <c r="CD21" i="16"/>
  <c r="CA21" i="16"/>
  <c r="BX21" i="16"/>
  <c r="BU21" i="16"/>
  <c r="BR21" i="16"/>
  <c r="BO21" i="16"/>
  <c r="BL21" i="16"/>
  <c r="BI21" i="16"/>
  <c r="BF21" i="16"/>
  <c r="BC21" i="16"/>
  <c r="AZ21" i="16"/>
  <c r="AW21" i="16"/>
  <c r="AT21" i="16"/>
  <c r="AQ21" i="16"/>
  <c r="AN21" i="16"/>
  <c r="AI21" i="16"/>
  <c r="EB21" i="16" s="1"/>
  <c r="AB21" i="16"/>
  <c r="Y21" i="16"/>
  <c r="V21" i="16"/>
  <c r="S21" i="16"/>
  <c r="EH21" i="16" s="1"/>
  <c r="P21" i="16"/>
  <c r="M21" i="16"/>
  <c r="J21" i="16"/>
  <c r="G21" i="16"/>
  <c r="D21" i="16"/>
  <c r="EL20" i="16"/>
  <c r="EK20" i="16"/>
  <c r="EG20" i="16"/>
  <c r="EI20" i="16" s="1"/>
  <c r="DW20" i="16"/>
  <c r="DT20" i="16"/>
  <c r="EM20" i="16" s="1"/>
  <c r="DQ20" i="16"/>
  <c r="DN20" i="16"/>
  <c r="DK20" i="16"/>
  <c r="DH20" i="16"/>
  <c r="DE20" i="16"/>
  <c r="DB20" i="16"/>
  <c r="CY20" i="16"/>
  <c r="CV20" i="16"/>
  <c r="CS20" i="16"/>
  <c r="CP20" i="16"/>
  <c r="CM20" i="16"/>
  <c r="CJ20" i="16"/>
  <c r="CG20" i="16"/>
  <c r="CD20" i="16"/>
  <c r="CA20" i="16"/>
  <c r="BX20" i="16"/>
  <c r="BU20" i="16"/>
  <c r="BR20" i="16"/>
  <c r="BO20" i="16"/>
  <c r="BL20" i="16"/>
  <c r="BI20" i="16"/>
  <c r="BF20" i="16"/>
  <c r="BC20" i="16"/>
  <c r="AZ20" i="16"/>
  <c r="AW20" i="16"/>
  <c r="AT20" i="16"/>
  <c r="AQ20" i="16"/>
  <c r="AN20" i="16"/>
  <c r="AI20" i="16"/>
  <c r="AK20" i="16" s="1"/>
  <c r="AB20" i="16"/>
  <c r="Y20" i="16"/>
  <c r="V20" i="16"/>
  <c r="S20" i="16"/>
  <c r="P20" i="16"/>
  <c r="M20" i="16"/>
  <c r="J20" i="16"/>
  <c r="G20" i="16"/>
  <c r="D20" i="16"/>
  <c r="ED20" i="16" s="1"/>
  <c r="EL19" i="16"/>
  <c r="EI19" i="16"/>
  <c r="EG19" i="16"/>
  <c r="DW19" i="16"/>
  <c r="DT19" i="16"/>
  <c r="DQ19" i="16"/>
  <c r="DN19" i="16"/>
  <c r="DK19" i="16"/>
  <c r="DH19" i="16"/>
  <c r="DE19" i="16"/>
  <c r="DB19" i="16"/>
  <c r="CY19" i="16"/>
  <c r="CV19" i="16"/>
  <c r="CS19" i="16"/>
  <c r="CP19" i="16"/>
  <c r="CM19" i="16"/>
  <c r="CJ19" i="16"/>
  <c r="CG19" i="16"/>
  <c r="CD19" i="16"/>
  <c r="CA19" i="16"/>
  <c r="BX19" i="16"/>
  <c r="BU19" i="16"/>
  <c r="BR19" i="16"/>
  <c r="BO19" i="16"/>
  <c r="BL19" i="16"/>
  <c r="BI19" i="16"/>
  <c r="BF19" i="16"/>
  <c r="BC19" i="16"/>
  <c r="AZ19" i="16"/>
  <c r="AW19" i="16"/>
  <c r="AT19" i="16"/>
  <c r="AQ19" i="16"/>
  <c r="AN19" i="16"/>
  <c r="AI19" i="16"/>
  <c r="AK19" i="16" s="1"/>
  <c r="AB19" i="16"/>
  <c r="Y19" i="16"/>
  <c r="V19" i="16"/>
  <c r="S19" i="16"/>
  <c r="EH19" i="16" s="1"/>
  <c r="P19" i="16"/>
  <c r="M19" i="16"/>
  <c r="J19" i="16"/>
  <c r="G19" i="16"/>
  <c r="ED19" i="16" s="1"/>
  <c r="D19" i="16"/>
  <c r="EM18" i="16"/>
  <c r="EL18" i="16"/>
  <c r="EH18" i="16"/>
  <c r="EG18" i="16"/>
  <c r="EI18" i="16" s="1"/>
  <c r="DW18" i="16"/>
  <c r="DT18" i="16"/>
  <c r="DQ18" i="16"/>
  <c r="DN18" i="16"/>
  <c r="DK18" i="16"/>
  <c r="DH18" i="16"/>
  <c r="DE18" i="16"/>
  <c r="DB18" i="16"/>
  <c r="CY18" i="16"/>
  <c r="CV18" i="16"/>
  <c r="CS18" i="16"/>
  <c r="CP18" i="16"/>
  <c r="CM18" i="16"/>
  <c r="CJ18" i="16"/>
  <c r="CG18" i="16"/>
  <c r="CD18" i="16"/>
  <c r="CA18" i="16"/>
  <c r="BX18" i="16"/>
  <c r="BU18" i="16"/>
  <c r="BR18" i="16"/>
  <c r="BO18" i="16"/>
  <c r="BL18" i="16"/>
  <c r="BI18" i="16"/>
  <c r="BF18" i="16"/>
  <c r="BC18" i="16"/>
  <c r="AZ18" i="16"/>
  <c r="AW18" i="16"/>
  <c r="AT18" i="16"/>
  <c r="AQ18" i="16"/>
  <c r="AN18" i="16"/>
  <c r="AK18" i="16"/>
  <c r="AI18" i="16"/>
  <c r="EB18" i="16" s="1"/>
  <c r="EE18" i="16" s="1"/>
  <c r="AB18" i="16"/>
  <c r="Y18" i="16"/>
  <c r="V18" i="16"/>
  <c r="S18" i="16"/>
  <c r="P18" i="16"/>
  <c r="M18" i="16"/>
  <c r="J18" i="16"/>
  <c r="G18" i="16"/>
  <c r="D18" i="16"/>
  <c r="ED18" i="16" s="1"/>
  <c r="EL17" i="16"/>
  <c r="EG17" i="16"/>
  <c r="EI17" i="16" s="1"/>
  <c r="EB17" i="16"/>
  <c r="DW17" i="16"/>
  <c r="DT17" i="16"/>
  <c r="DQ17" i="16"/>
  <c r="DN17" i="16"/>
  <c r="DK17" i="16"/>
  <c r="DH17" i="16"/>
  <c r="DE17" i="16"/>
  <c r="DB17" i="16"/>
  <c r="CY17" i="16"/>
  <c r="CV17" i="16"/>
  <c r="CS17" i="16"/>
  <c r="CP17" i="16"/>
  <c r="CM17" i="16"/>
  <c r="CJ17" i="16"/>
  <c r="CG17" i="16"/>
  <c r="CD17" i="16"/>
  <c r="CA17" i="16"/>
  <c r="BX17" i="16"/>
  <c r="BU17" i="16"/>
  <c r="BR17" i="16"/>
  <c r="BO17" i="16"/>
  <c r="BL17" i="16"/>
  <c r="BI17" i="16"/>
  <c r="BF17" i="16"/>
  <c r="BC17" i="16"/>
  <c r="AZ17" i="16"/>
  <c r="AW17" i="16"/>
  <c r="AT17" i="16"/>
  <c r="AQ17" i="16"/>
  <c r="AN17" i="16"/>
  <c r="AI17" i="16"/>
  <c r="AB17" i="16"/>
  <c r="Y17" i="16"/>
  <c r="V17" i="16"/>
  <c r="S17" i="16"/>
  <c r="EH17" i="16" s="1"/>
  <c r="P17" i="16"/>
  <c r="M17" i="16"/>
  <c r="J17" i="16"/>
  <c r="G17" i="16"/>
  <c r="D17" i="16"/>
  <c r="EL16" i="16"/>
  <c r="EK16" i="16"/>
  <c r="EI16" i="16"/>
  <c r="EG16" i="16"/>
  <c r="DW16" i="16"/>
  <c r="DT16" i="16"/>
  <c r="EM16" i="16" s="1"/>
  <c r="DQ16" i="16"/>
  <c r="DN16" i="16"/>
  <c r="DK16" i="16"/>
  <c r="DH16" i="16"/>
  <c r="DE16" i="16"/>
  <c r="DB16" i="16"/>
  <c r="CY16" i="16"/>
  <c r="CV16" i="16"/>
  <c r="CS16" i="16"/>
  <c r="CP16" i="16"/>
  <c r="CM16" i="16"/>
  <c r="CJ16" i="16"/>
  <c r="CG16" i="16"/>
  <c r="CD16" i="16"/>
  <c r="CA16" i="16"/>
  <c r="BX16" i="16"/>
  <c r="BU16" i="16"/>
  <c r="BR16" i="16"/>
  <c r="BO16" i="16"/>
  <c r="BL16" i="16"/>
  <c r="BI16" i="16"/>
  <c r="BF16" i="16"/>
  <c r="BC16" i="16"/>
  <c r="AZ16" i="16"/>
  <c r="AW16" i="16"/>
  <c r="AT16" i="16"/>
  <c r="AQ16" i="16"/>
  <c r="AN16" i="16"/>
  <c r="AK16" i="16"/>
  <c r="AI16" i="16"/>
  <c r="EB16" i="16" s="1"/>
  <c r="EC16" i="16" s="1"/>
  <c r="AB16" i="16"/>
  <c r="Y16" i="16"/>
  <c r="V16" i="16"/>
  <c r="S16" i="16"/>
  <c r="EH16" i="16" s="1"/>
  <c r="P16" i="16"/>
  <c r="M16" i="16"/>
  <c r="J16" i="16"/>
  <c r="G16" i="16"/>
  <c r="D16" i="16"/>
  <c r="EL15" i="16"/>
  <c r="EI15" i="16"/>
  <c r="EG15" i="16"/>
  <c r="DW15" i="16"/>
  <c r="DT15" i="16"/>
  <c r="DQ15" i="16"/>
  <c r="DN15" i="16"/>
  <c r="DK15" i="16"/>
  <c r="DH15" i="16"/>
  <c r="DE15" i="16"/>
  <c r="DB15" i="16"/>
  <c r="CY15" i="16"/>
  <c r="CV15" i="16"/>
  <c r="CS15" i="16"/>
  <c r="CP15" i="16"/>
  <c r="CM15" i="16"/>
  <c r="CJ15" i="16"/>
  <c r="CG15" i="16"/>
  <c r="CD15" i="16"/>
  <c r="CA15" i="16"/>
  <c r="BX15" i="16"/>
  <c r="BU15" i="16"/>
  <c r="BR15" i="16"/>
  <c r="BO15" i="16"/>
  <c r="BL15" i="16"/>
  <c r="BI15" i="16"/>
  <c r="BF15" i="16"/>
  <c r="BC15" i="16"/>
  <c r="AZ15" i="16"/>
  <c r="AW15" i="16"/>
  <c r="AR15" i="16"/>
  <c r="AT15" i="16" s="1"/>
  <c r="AQ15" i="16"/>
  <c r="AO15" i="16"/>
  <c r="AL15" i="16"/>
  <c r="EB15" i="16" s="1"/>
  <c r="AK15" i="16"/>
  <c r="AI15" i="16"/>
  <c r="AB15" i="16"/>
  <c r="Y15" i="16"/>
  <c r="V15" i="16"/>
  <c r="S15" i="16"/>
  <c r="P15" i="16"/>
  <c r="M15" i="16"/>
  <c r="J15" i="16"/>
  <c r="G15" i="16"/>
  <c r="D15" i="16"/>
  <c r="EL14" i="16"/>
  <c r="EG14" i="16"/>
  <c r="EI14" i="16" s="1"/>
  <c r="EB14" i="16"/>
  <c r="DW14" i="16"/>
  <c r="DT14" i="16"/>
  <c r="EM14" i="16" s="1"/>
  <c r="DQ14" i="16"/>
  <c r="DN14" i="16"/>
  <c r="DK14" i="16"/>
  <c r="DH14" i="16"/>
  <c r="DE14" i="16"/>
  <c r="DB14" i="16"/>
  <c r="CY14" i="16"/>
  <c r="CV14" i="16"/>
  <c r="CS14" i="16"/>
  <c r="CP14" i="16"/>
  <c r="CM14" i="16"/>
  <c r="CJ14" i="16"/>
  <c r="CG14" i="16"/>
  <c r="CD14" i="16"/>
  <c r="CA14" i="16"/>
  <c r="BX14" i="16"/>
  <c r="BU14" i="16"/>
  <c r="BR14" i="16"/>
  <c r="BO14" i="16"/>
  <c r="BL14" i="16"/>
  <c r="BI14" i="16"/>
  <c r="BF14" i="16"/>
  <c r="BC14" i="16"/>
  <c r="AZ14" i="16"/>
  <c r="AW14" i="16"/>
  <c r="AT14" i="16"/>
  <c r="AR14" i="16"/>
  <c r="AQ14" i="16"/>
  <c r="AO14" i="16"/>
  <c r="AN14" i="16"/>
  <c r="AL14" i="16"/>
  <c r="AK14" i="16"/>
  <c r="AI14" i="16"/>
  <c r="AB14" i="16"/>
  <c r="Y14" i="16"/>
  <c r="V14" i="16"/>
  <c r="S14" i="16"/>
  <c r="EH14" i="16" s="1"/>
  <c r="P14" i="16"/>
  <c r="M14" i="16"/>
  <c r="J14" i="16"/>
  <c r="G14" i="16"/>
  <c r="D14" i="16"/>
  <c r="ED14" i="16" s="1"/>
  <c r="EL13" i="16"/>
  <c r="EG13" i="16"/>
  <c r="EI13" i="16" s="1"/>
  <c r="EB13" i="16"/>
  <c r="EE13" i="16" s="1"/>
  <c r="DW13" i="16"/>
  <c r="DT13" i="16"/>
  <c r="EM13" i="16" s="1"/>
  <c r="DQ13" i="16"/>
  <c r="DN13" i="16"/>
  <c r="DK13" i="16"/>
  <c r="DH13" i="16"/>
  <c r="DE13" i="16"/>
  <c r="DB13" i="16"/>
  <c r="CY13" i="16"/>
  <c r="CV13" i="16"/>
  <c r="CS13" i="16"/>
  <c r="CP13" i="16"/>
  <c r="CM13" i="16"/>
  <c r="CJ13" i="16"/>
  <c r="CG13" i="16"/>
  <c r="CD13" i="16"/>
  <c r="CA13" i="16"/>
  <c r="BX13" i="16"/>
  <c r="BU13" i="16"/>
  <c r="BR13" i="16"/>
  <c r="BO13" i="16"/>
  <c r="BL13" i="16"/>
  <c r="BI13" i="16"/>
  <c r="BF13" i="16"/>
  <c r="BC13" i="16"/>
  <c r="AZ13" i="16"/>
  <c r="AW13" i="16"/>
  <c r="AT13" i="16"/>
  <c r="AR13" i="16"/>
  <c r="EK13" i="16" s="1"/>
  <c r="EN13" i="16" s="1"/>
  <c r="AQ13" i="16"/>
  <c r="AO13" i="16"/>
  <c r="AN13" i="16"/>
  <c r="AL13" i="16"/>
  <c r="AK13" i="16"/>
  <c r="AI13" i="16"/>
  <c r="AB13" i="16"/>
  <c r="Y13" i="16"/>
  <c r="V13" i="16"/>
  <c r="EH13" i="16" s="1"/>
  <c r="S13" i="16"/>
  <c r="P13" i="16"/>
  <c r="M13" i="16"/>
  <c r="J13" i="16"/>
  <c r="G13" i="16"/>
  <c r="D13" i="16"/>
  <c r="ED13" i="16" s="1"/>
  <c r="A13" i="16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EL12" i="16"/>
  <c r="EI12" i="16"/>
  <c r="EG12" i="16"/>
  <c r="EB12" i="16"/>
  <c r="DW12" i="16"/>
  <c r="DT12" i="16"/>
  <c r="EM12" i="16" s="1"/>
  <c r="DQ12" i="16"/>
  <c r="DN12" i="16"/>
  <c r="DK12" i="16"/>
  <c r="DH12" i="16"/>
  <c r="DE12" i="16"/>
  <c r="DB12" i="16"/>
  <c r="CY12" i="16"/>
  <c r="CV12" i="16"/>
  <c r="CS12" i="16"/>
  <c r="CP12" i="16"/>
  <c r="CM12" i="16"/>
  <c r="CJ12" i="16"/>
  <c r="CG12" i="16"/>
  <c r="CD12" i="16"/>
  <c r="CA12" i="16"/>
  <c r="BX12" i="16"/>
  <c r="BU12" i="16"/>
  <c r="BR12" i="16"/>
  <c r="BO12" i="16"/>
  <c r="BL12" i="16"/>
  <c r="BI12" i="16"/>
  <c r="BF12" i="16"/>
  <c r="BC12" i="16"/>
  <c r="AZ12" i="16"/>
  <c r="AW12" i="16"/>
  <c r="AT12" i="16"/>
  <c r="AR12" i="16"/>
  <c r="EK12" i="16" s="1"/>
  <c r="EN12" i="16" s="1"/>
  <c r="AQ12" i="16"/>
  <c r="AQ42" i="16" s="1"/>
  <c r="AO12" i="16"/>
  <c r="AN12" i="16"/>
  <c r="AL12" i="16"/>
  <c r="AK12" i="16"/>
  <c r="AI12" i="16"/>
  <c r="AB12" i="16"/>
  <c r="Y12" i="16"/>
  <c r="V12" i="16"/>
  <c r="S12" i="16"/>
  <c r="EH12" i="16" s="1"/>
  <c r="P12" i="16"/>
  <c r="M12" i="16"/>
  <c r="J12" i="16"/>
  <c r="G12" i="16"/>
  <c r="D12" i="16"/>
  <c r="ED12" i="16" s="1"/>
  <c r="A12" i="16"/>
  <c r="EL11" i="16"/>
  <c r="EG11" i="16"/>
  <c r="EI11" i="16" s="1"/>
  <c r="EB11" i="16"/>
  <c r="DW11" i="16"/>
  <c r="DW42" i="16" s="1"/>
  <c r="DT11" i="16"/>
  <c r="EM11" i="16" s="1"/>
  <c r="DQ11" i="16"/>
  <c r="DN11" i="16"/>
  <c r="DN42" i="16" s="1"/>
  <c r="DK11" i="16"/>
  <c r="DK42" i="16" s="1"/>
  <c r="DH11" i="16"/>
  <c r="DE11" i="16"/>
  <c r="DB11" i="16"/>
  <c r="DB42" i="16" s="1"/>
  <c r="CY11" i="16"/>
  <c r="CY42" i="16" s="1"/>
  <c r="CV11" i="16"/>
  <c r="CS11" i="16"/>
  <c r="CP11" i="16"/>
  <c r="CP42" i="16" s="1"/>
  <c r="CM11" i="16"/>
  <c r="CJ11" i="16"/>
  <c r="CG11" i="16"/>
  <c r="CD11" i="16"/>
  <c r="CD42" i="16" s="1"/>
  <c r="CA11" i="16"/>
  <c r="CA42" i="16" s="1"/>
  <c r="BX11" i="16"/>
  <c r="BU11" i="16"/>
  <c r="BR11" i="16"/>
  <c r="BR42" i="16" s="1"/>
  <c r="BO11" i="16"/>
  <c r="BO42" i="16" s="1"/>
  <c r="BL11" i="16"/>
  <c r="BI11" i="16"/>
  <c r="BF11" i="16"/>
  <c r="BF42" i="16" s="1"/>
  <c r="BC11" i="16"/>
  <c r="BC42" i="16" s="1"/>
  <c r="AZ11" i="16"/>
  <c r="AW11" i="16"/>
  <c r="AT11" i="16"/>
  <c r="AT42" i="16" s="1"/>
  <c r="AR11" i="16"/>
  <c r="EK11" i="16" s="1"/>
  <c r="AQ11" i="16"/>
  <c r="AO11" i="16"/>
  <c r="AN11" i="16"/>
  <c r="AL11" i="16"/>
  <c r="AK11" i="16"/>
  <c r="AI11" i="16"/>
  <c r="AH42" i="16"/>
  <c r="AE42" i="16"/>
  <c r="AB11" i="16"/>
  <c r="Y11" i="16"/>
  <c r="Y42" i="16" s="1"/>
  <c r="V11" i="16"/>
  <c r="V42" i="16" s="1"/>
  <c r="S11" i="16"/>
  <c r="S42" i="16" s="1"/>
  <c r="P11" i="16"/>
  <c r="M11" i="16"/>
  <c r="M42" i="16" s="1"/>
  <c r="J11" i="16"/>
  <c r="J42" i="16" s="1"/>
  <c r="G11" i="16"/>
  <c r="G42" i="16" s="1"/>
  <c r="D11" i="16"/>
  <c r="EQ2" i="16"/>
  <c r="G4" i="16" s="1"/>
  <c r="EI2" i="16"/>
  <c r="EE2" i="16"/>
  <c r="EL38" i="15"/>
  <c r="EG38" i="15"/>
  <c r="EI38" i="15" s="1"/>
  <c r="EB38" i="15"/>
  <c r="DW38" i="15"/>
  <c r="DT38" i="15"/>
  <c r="DQ38" i="15"/>
  <c r="DN38" i="15"/>
  <c r="DK38" i="15"/>
  <c r="DH38" i="15"/>
  <c r="DE38" i="15"/>
  <c r="DB38" i="15"/>
  <c r="CY38" i="15"/>
  <c r="CV38" i="15"/>
  <c r="CS38" i="15"/>
  <c r="CP38" i="15"/>
  <c r="CM38" i="15"/>
  <c r="CJ38" i="15"/>
  <c r="CG38" i="15"/>
  <c r="CD38" i="15"/>
  <c r="CA38" i="15"/>
  <c r="BX38" i="15"/>
  <c r="BU38" i="15"/>
  <c r="BR38" i="15"/>
  <c r="BO38" i="15"/>
  <c r="BL38" i="15"/>
  <c r="BI38" i="15"/>
  <c r="BF38" i="15"/>
  <c r="BC38" i="15"/>
  <c r="AX38" i="15"/>
  <c r="EK38" i="15" s="1"/>
  <c r="AW38" i="15"/>
  <c r="AU38" i="15"/>
  <c r="AR38" i="15"/>
  <c r="AT38" i="15" s="1"/>
  <c r="AQ38" i="15"/>
  <c r="AN38" i="15"/>
  <c r="AI38" i="15"/>
  <c r="AK38" i="15" s="1"/>
  <c r="AB38" i="15"/>
  <c r="Y38" i="15"/>
  <c r="V38" i="15"/>
  <c r="S38" i="15"/>
  <c r="EH38" i="15" s="1"/>
  <c r="P38" i="15"/>
  <c r="M38" i="15"/>
  <c r="J38" i="15"/>
  <c r="G38" i="15"/>
  <c r="D38" i="15"/>
  <c r="EL37" i="15"/>
  <c r="EI37" i="15"/>
  <c r="EG37" i="15"/>
  <c r="DW37" i="15"/>
  <c r="DT37" i="15"/>
  <c r="DQ37" i="15"/>
  <c r="DN37" i="15"/>
  <c r="DK37" i="15"/>
  <c r="DH37" i="15"/>
  <c r="DE37" i="15"/>
  <c r="DB37" i="15"/>
  <c r="CY37" i="15"/>
  <c r="CV37" i="15"/>
  <c r="CS37" i="15"/>
  <c r="CP37" i="15"/>
  <c r="CM37" i="15"/>
  <c r="CJ37" i="15"/>
  <c r="CG37" i="15"/>
  <c r="CD37" i="15"/>
  <c r="CA37" i="15"/>
  <c r="BX37" i="15"/>
  <c r="BU37" i="15"/>
  <c r="BR37" i="15"/>
  <c r="BO37" i="15"/>
  <c r="BL37" i="15"/>
  <c r="BI37" i="15"/>
  <c r="BF37" i="15"/>
  <c r="BC37" i="15"/>
  <c r="AZ37" i="15"/>
  <c r="AX37" i="15"/>
  <c r="EK37" i="15" s="1"/>
  <c r="AU37" i="15"/>
  <c r="AW37" i="15" s="1"/>
  <c r="AT37" i="15"/>
  <c r="AR37" i="15"/>
  <c r="EB37" i="15" s="1"/>
  <c r="AQ37" i="15"/>
  <c r="AN37" i="15"/>
  <c r="AK37" i="15"/>
  <c r="AI37" i="15"/>
  <c r="AB37" i="15"/>
  <c r="Y37" i="15"/>
  <c r="V37" i="15"/>
  <c r="S37" i="15"/>
  <c r="P37" i="15"/>
  <c r="M37" i="15"/>
  <c r="J37" i="15"/>
  <c r="G37" i="15"/>
  <c r="D37" i="15"/>
  <c r="ED37" i="15" s="1"/>
  <c r="EL36" i="15"/>
  <c r="EG36" i="15"/>
  <c r="EI36" i="15" s="1"/>
  <c r="EB36" i="15"/>
  <c r="DW36" i="15"/>
  <c r="DT36" i="15"/>
  <c r="DQ36" i="15"/>
  <c r="DN36" i="15"/>
  <c r="DK36" i="15"/>
  <c r="DH36" i="15"/>
  <c r="DE36" i="15"/>
  <c r="DB36" i="15"/>
  <c r="CY36" i="15"/>
  <c r="CV36" i="15"/>
  <c r="CS36" i="15"/>
  <c r="CP36" i="15"/>
  <c r="CM36" i="15"/>
  <c r="CJ36" i="15"/>
  <c r="CG36" i="15"/>
  <c r="CD36" i="15"/>
  <c r="CA36" i="15"/>
  <c r="BX36" i="15"/>
  <c r="BU36" i="15"/>
  <c r="BR36" i="15"/>
  <c r="BO36" i="15"/>
  <c r="BL36" i="15"/>
  <c r="BI36" i="15"/>
  <c r="BF36" i="15"/>
  <c r="BC36" i="15"/>
  <c r="AX36" i="15"/>
  <c r="EK36" i="15" s="1"/>
  <c r="AW36" i="15"/>
  <c r="AU36" i="15"/>
  <c r="AR36" i="15"/>
  <c r="AT36" i="15" s="1"/>
  <c r="AQ36" i="15"/>
  <c r="AN36" i="15"/>
  <c r="AI36" i="15"/>
  <c r="AK36" i="15" s="1"/>
  <c r="AB36" i="15"/>
  <c r="Y36" i="15"/>
  <c r="V36" i="15"/>
  <c r="S36" i="15"/>
  <c r="EH36" i="15" s="1"/>
  <c r="P36" i="15"/>
  <c r="M36" i="15"/>
  <c r="J36" i="15"/>
  <c r="G36" i="15"/>
  <c r="D36" i="15"/>
  <c r="EL35" i="15"/>
  <c r="EI35" i="15"/>
  <c r="EG35" i="15"/>
  <c r="DW35" i="15"/>
  <c r="DT35" i="15"/>
  <c r="DQ35" i="15"/>
  <c r="DN35" i="15"/>
  <c r="DK35" i="15"/>
  <c r="DH35" i="15"/>
  <c r="DE35" i="15"/>
  <c r="DB35" i="15"/>
  <c r="CY35" i="15"/>
  <c r="CV35" i="15"/>
  <c r="CS35" i="15"/>
  <c r="CP35" i="15"/>
  <c r="CM35" i="15"/>
  <c r="CJ35" i="15"/>
  <c r="CG35" i="15"/>
  <c r="CD35" i="15"/>
  <c r="CA35" i="15"/>
  <c r="BX35" i="15"/>
  <c r="BU35" i="15"/>
  <c r="BR35" i="15"/>
  <c r="BO35" i="15"/>
  <c r="BL35" i="15"/>
  <c r="BI35" i="15"/>
  <c r="BF35" i="15"/>
  <c r="BC35" i="15"/>
  <c r="AZ35" i="15"/>
  <c r="AX35" i="15"/>
  <c r="EK35" i="15" s="1"/>
  <c r="AU35" i="15"/>
  <c r="AW35" i="15" s="1"/>
  <c r="AT35" i="15"/>
  <c r="AR35" i="15"/>
  <c r="EB35" i="15" s="1"/>
  <c r="AQ35" i="15"/>
  <c r="AN35" i="15"/>
  <c r="AK35" i="15"/>
  <c r="AI35" i="15"/>
  <c r="AB35" i="15"/>
  <c r="Y35" i="15"/>
  <c r="V35" i="15"/>
  <c r="S35" i="15"/>
  <c r="P35" i="15"/>
  <c r="M35" i="15"/>
  <c r="J35" i="15"/>
  <c r="G35" i="15"/>
  <c r="D35" i="15"/>
  <c r="ED35" i="15" s="1"/>
  <c r="EL34" i="15"/>
  <c r="EG34" i="15"/>
  <c r="EI34" i="15" s="1"/>
  <c r="EB34" i="15"/>
  <c r="DW34" i="15"/>
  <c r="DT34" i="15"/>
  <c r="DQ34" i="15"/>
  <c r="DN34" i="15"/>
  <c r="DK34" i="15"/>
  <c r="DH34" i="15"/>
  <c r="DE34" i="15"/>
  <c r="DB34" i="15"/>
  <c r="CY34" i="15"/>
  <c r="CV34" i="15"/>
  <c r="CS34" i="15"/>
  <c r="CP34" i="15"/>
  <c r="CM34" i="15"/>
  <c r="CJ34" i="15"/>
  <c r="CG34" i="15"/>
  <c r="CD34" i="15"/>
  <c r="CA34" i="15"/>
  <c r="BX34" i="15"/>
  <c r="BU34" i="15"/>
  <c r="BR34" i="15"/>
  <c r="BO34" i="15"/>
  <c r="BL34" i="15"/>
  <c r="BI34" i="15"/>
  <c r="BF34" i="15"/>
  <c r="BC34" i="15"/>
  <c r="AX34" i="15"/>
  <c r="EK34" i="15" s="1"/>
  <c r="AW34" i="15"/>
  <c r="AU34" i="15"/>
  <c r="AR34" i="15"/>
  <c r="AT34" i="15" s="1"/>
  <c r="AQ34" i="15"/>
  <c r="AN34" i="15"/>
  <c r="AI34" i="15"/>
  <c r="AK34" i="15" s="1"/>
  <c r="AB34" i="15"/>
  <c r="Y34" i="15"/>
  <c r="V34" i="15"/>
  <c r="S34" i="15"/>
  <c r="EH34" i="15" s="1"/>
  <c r="P34" i="15"/>
  <c r="M34" i="15"/>
  <c r="J34" i="15"/>
  <c r="G34" i="15"/>
  <c r="D34" i="15"/>
  <c r="EL33" i="15"/>
  <c r="EI33" i="15"/>
  <c r="EG33" i="15"/>
  <c r="DW33" i="15"/>
  <c r="DT33" i="15"/>
  <c r="DQ33" i="15"/>
  <c r="DN33" i="15"/>
  <c r="DK33" i="15"/>
  <c r="DH33" i="15"/>
  <c r="DE33" i="15"/>
  <c r="DB33" i="15"/>
  <c r="CY33" i="15"/>
  <c r="CV33" i="15"/>
  <c r="CS33" i="15"/>
  <c r="CP33" i="15"/>
  <c r="CM33" i="15"/>
  <c r="CJ33" i="15"/>
  <c r="CG33" i="15"/>
  <c r="CD33" i="15"/>
  <c r="CA33" i="15"/>
  <c r="BX33" i="15"/>
  <c r="BU33" i="15"/>
  <c r="BR33" i="15"/>
  <c r="BO33" i="15"/>
  <c r="BL33" i="15"/>
  <c r="BI33" i="15"/>
  <c r="BF33" i="15"/>
  <c r="BC33" i="15"/>
  <c r="AZ33" i="15"/>
  <c r="AX33" i="15"/>
  <c r="EK33" i="15" s="1"/>
  <c r="AU33" i="15"/>
  <c r="AW33" i="15" s="1"/>
  <c r="ED33" i="15" s="1"/>
  <c r="AT33" i="15"/>
  <c r="AR33" i="15"/>
  <c r="EB33" i="15" s="1"/>
  <c r="AQ33" i="15"/>
  <c r="AN33" i="15"/>
  <c r="AK33" i="15"/>
  <c r="AI33" i="15"/>
  <c r="AB33" i="15"/>
  <c r="Y33" i="15"/>
  <c r="V33" i="15"/>
  <c r="S33" i="15"/>
  <c r="EH33" i="15" s="1"/>
  <c r="P33" i="15"/>
  <c r="M33" i="15"/>
  <c r="J33" i="15"/>
  <c r="G33" i="15"/>
  <c r="D33" i="15"/>
  <c r="EL32" i="15"/>
  <c r="EG32" i="15"/>
  <c r="EI32" i="15" s="1"/>
  <c r="EB32" i="15"/>
  <c r="DW32" i="15"/>
  <c r="DT32" i="15"/>
  <c r="DQ32" i="15"/>
  <c r="DN32" i="15"/>
  <c r="DK32" i="15"/>
  <c r="DH32" i="15"/>
  <c r="DE32" i="15"/>
  <c r="DB32" i="15"/>
  <c r="CY32" i="15"/>
  <c r="CV32" i="15"/>
  <c r="CS32" i="15"/>
  <c r="CP32" i="15"/>
  <c r="CM32" i="15"/>
  <c r="CJ32" i="15"/>
  <c r="CG32" i="15"/>
  <c r="CD32" i="15"/>
  <c r="CA32" i="15"/>
  <c r="BX32" i="15"/>
  <c r="BU32" i="15"/>
  <c r="BR32" i="15"/>
  <c r="BO32" i="15"/>
  <c r="BL32" i="15"/>
  <c r="BI32" i="15"/>
  <c r="BF32" i="15"/>
  <c r="BC32" i="15"/>
  <c r="AX32" i="15"/>
  <c r="EK32" i="15" s="1"/>
  <c r="AW32" i="15"/>
  <c r="AU32" i="15"/>
  <c r="AR32" i="15"/>
  <c r="AT32" i="15" s="1"/>
  <c r="AQ32" i="15"/>
  <c r="AN32" i="15"/>
  <c r="AI32" i="15"/>
  <c r="AK32" i="15" s="1"/>
  <c r="AB32" i="15"/>
  <c r="Y32" i="15"/>
  <c r="V32" i="15"/>
  <c r="S32" i="15"/>
  <c r="EH32" i="15" s="1"/>
  <c r="P32" i="15"/>
  <c r="M32" i="15"/>
  <c r="J32" i="15"/>
  <c r="G32" i="15"/>
  <c r="D32" i="15"/>
  <c r="EL31" i="15"/>
  <c r="EI31" i="15"/>
  <c r="EG31" i="15"/>
  <c r="DW31" i="15"/>
  <c r="DT31" i="15"/>
  <c r="DQ31" i="15"/>
  <c r="DN31" i="15"/>
  <c r="DK31" i="15"/>
  <c r="DH31" i="15"/>
  <c r="DE31" i="15"/>
  <c r="DB31" i="15"/>
  <c r="CY31" i="15"/>
  <c r="CV31" i="15"/>
  <c r="CS31" i="15"/>
  <c r="CP31" i="15"/>
  <c r="CM31" i="15"/>
  <c r="CJ31" i="15"/>
  <c r="CG31" i="15"/>
  <c r="CD31" i="15"/>
  <c r="CA31" i="15"/>
  <c r="BX31" i="15"/>
  <c r="BU31" i="15"/>
  <c r="BR31" i="15"/>
  <c r="BO31" i="15"/>
  <c r="BL31" i="15"/>
  <c r="BI31" i="15"/>
  <c r="BF31" i="15"/>
  <c r="BC31" i="15"/>
  <c r="AZ31" i="15"/>
  <c r="AX31" i="15"/>
  <c r="EK31" i="15" s="1"/>
  <c r="AU31" i="15"/>
  <c r="AW31" i="15" s="1"/>
  <c r="ED31" i="15" s="1"/>
  <c r="AT31" i="15"/>
  <c r="AR31" i="15"/>
  <c r="EB31" i="15" s="1"/>
  <c r="AQ31" i="15"/>
  <c r="AN31" i="15"/>
  <c r="AK31" i="15"/>
  <c r="AI31" i="15"/>
  <c r="AB31" i="15"/>
  <c r="Y31" i="15"/>
  <c r="V31" i="15"/>
  <c r="S31" i="15"/>
  <c r="EH31" i="15" s="1"/>
  <c r="P31" i="15"/>
  <c r="M31" i="15"/>
  <c r="J31" i="15"/>
  <c r="G31" i="15"/>
  <c r="D31" i="15"/>
  <c r="EL30" i="15"/>
  <c r="EG30" i="15"/>
  <c r="EI30" i="15" s="1"/>
  <c r="EB30" i="15"/>
  <c r="DW30" i="15"/>
  <c r="DT30" i="15"/>
  <c r="DQ30" i="15"/>
  <c r="DN30" i="15"/>
  <c r="DK30" i="15"/>
  <c r="DH30" i="15"/>
  <c r="DE30" i="15"/>
  <c r="DB30" i="15"/>
  <c r="CY30" i="15"/>
  <c r="CV30" i="15"/>
  <c r="CS30" i="15"/>
  <c r="CP30" i="15"/>
  <c r="CM30" i="15"/>
  <c r="CJ30" i="15"/>
  <c r="CG30" i="15"/>
  <c r="CD30" i="15"/>
  <c r="CA30" i="15"/>
  <c r="BX30" i="15"/>
  <c r="BU30" i="15"/>
  <c r="BR30" i="15"/>
  <c r="BO30" i="15"/>
  <c r="BL30" i="15"/>
  <c r="BI30" i="15"/>
  <c r="BF30" i="15"/>
  <c r="BC30" i="15"/>
  <c r="AX30" i="15"/>
  <c r="EK30" i="15" s="1"/>
  <c r="AW30" i="15"/>
  <c r="AU30" i="15"/>
  <c r="AR30" i="15"/>
  <c r="AT30" i="15" s="1"/>
  <c r="AQ30" i="15"/>
  <c r="AN30" i="15"/>
  <c r="AI30" i="15"/>
  <c r="AK30" i="15" s="1"/>
  <c r="AB30" i="15"/>
  <c r="Y30" i="15"/>
  <c r="V30" i="15"/>
  <c r="S30" i="15"/>
  <c r="EH30" i="15" s="1"/>
  <c r="P30" i="15"/>
  <c r="M30" i="15"/>
  <c r="J30" i="15"/>
  <c r="G30" i="15"/>
  <c r="D30" i="15"/>
  <c r="EL29" i="15"/>
  <c r="EI29" i="15"/>
  <c r="EG29" i="15"/>
  <c r="DW29" i="15"/>
  <c r="DT29" i="15"/>
  <c r="DQ29" i="15"/>
  <c r="DN29" i="15"/>
  <c r="DK29" i="15"/>
  <c r="DH29" i="15"/>
  <c r="DE29" i="15"/>
  <c r="DB29" i="15"/>
  <c r="CY29" i="15"/>
  <c r="CV29" i="15"/>
  <c r="CS29" i="15"/>
  <c r="CP29" i="15"/>
  <c r="CM29" i="15"/>
  <c r="CJ29" i="15"/>
  <c r="CG29" i="15"/>
  <c r="CD29" i="15"/>
  <c r="CA29" i="15"/>
  <c r="BX29" i="15"/>
  <c r="BU29" i="15"/>
  <c r="BR29" i="15"/>
  <c r="BO29" i="15"/>
  <c r="BL29" i="15"/>
  <c r="BI29" i="15"/>
  <c r="BF29" i="15"/>
  <c r="BC29" i="15"/>
  <c r="AZ29" i="15"/>
  <c r="AX29" i="15"/>
  <c r="EK29" i="15" s="1"/>
  <c r="AU29" i="15"/>
  <c r="AW29" i="15" s="1"/>
  <c r="ED29" i="15" s="1"/>
  <c r="AT29" i="15"/>
  <c r="AR29" i="15"/>
  <c r="EB29" i="15" s="1"/>
  <c r="AQ29" i="15"/>
  <c r="AN29" i="15"/>
  <c r="AK29" i="15"/>
  <c r="AI29" i="15"/>
  <c r="AB29" i="15"/>
  <c r="Y29" i="15"/>
  <c r="V29" i="15"/>
  <c r="S29" i="15"/>
  <c r="EH29" i="15" s="1"/>
  <c r="P29" i="15"/>
  <c r="M29" i="15"/>
  <c r="J29" i="15"/>
  <c r="G29" i="15"/>
  <c r="D29" i="15"/>
  <c r="EL28" i="15"/>
  <c r="EG28" i="15"/>
  <c r="EI28" i="15" s="1"/>
  <c r="EB28" i="15"/>
  <c r="DW28" i="15"/>
  <c r="DT28" i="15"/>
  <c r="DQ28" i="15"/>
  <c r="DN28" i="15"/>
  <c r="DK28" i="15"/>
  <c r="DH28" i="15"/>
  <c r="DE28" i="15"/>
  <c r="DB28" i="15"/>
  <c r="CY28" i="15"/>
  <c r="CV28" i="15"/>
  <c r="CS28" i="15"/>
  <c r="CP28" i="15"/>
  <c r="CM28" i="15"/>
  <c r="CJ28" i="15"/>
  <c r="CG28" i="15"/>
  <c r="CD28" i="15"/>
  <c r="CA28" i="15"/>
  <c r="BX28" i="15"/>
  <c r="BU28" i="15"/>
  <c r="BR28" i="15"/>
  <c r="BO28" i="15"/>
  <c r="BL28" i="15"/>
  <c r="BI28" i="15"/>
  <c r="BF28" i="15"/>
  <c r="BC28" i="15"/>
  <c r="AX28" i="15"/>
  <c r="EK28" i="15" s="1"/>
  <c r="AW28" i="15"/>
  <c r="AU28" i="15"/>
  <c r="AR28" i="15"/>
  <c r="AT28" i="15" s="1"/>
  <c r="AQ28" i="15"/>
  <c r="AN28" i="15"/>
  <c r="AI28" i="15"/>
  <c r="AK28" i="15" s="1"/>
  <c r="AB28" i="15"/>
  <c r="Y28" i="15"/>
  <c r="V28" i="15"/>
  <c r="S28" i="15"/>
  <c r="EH28" i="15" s="1"/>
  <c r="P28" i="15"/>
  <c r="M28" i="15"/>
  <c r="J28" i="15"/>
  <c r="G28" i="15"/>
  <c r="D28" i="15"/>
  <c r="EL27" i="15"/>
  <c r="EI27" i="15"/>
  <c r="EG27" i="15"/>
  <c r="DW27" i="15"/>
  <c r="DT27" i="15"/>
  <c r="DQ27" i="15"/>
  <c r="DN27" i="15"/>
  <c r="DK27" i="15"/>
  <c r="DH27" i="15"/>
  <c r="DE27" i="15"/>
  <c r="DB27" i="15"/>
  <c r="CY27" i="15"/>
  <c r="CV27" i="15"/>
  <c r="CS27" i="15"/>
  <c r="CP27" i="15"/>
  <c r="CM27" i="15"/>
  <c r="CJ27" i="15"/>
  <c r="CG27" i="15"/>
  <c r="CD27" i="15"/>
  <c r="CA27" i="15"/>
  <c r="BX27" i="15"/>
  <c r="BU27" i="15"/>
  <c r="BR27" i="15"/>
  <c r="BO27" i="15"/>
  <c r="BL27" i="15"/>
  <c r="BI27" i="15"/>
  <c r="BF27" i="15"/>
  <c r="BC27" i="15"/>
  <c r="AZ27" i="15"/>
  <c r="AX27" i="15"/>
  <c r="EK27" i="15" s="1"/>
  <c r="AU27" i="15"/>
  <c r="AW27" i="15" s="1"/>
  <c r="ED27" i="15" s="1"/>
  <c r="AT27" i="15"/>
  <c r="AR27" i="15"/>
  <c r="EB27" i="15" s="1"/>
  <c r="AQ27" i="15"/>
  <c r="AN27" i="15"/>
  <c r="AK27" i="15"/>
  <c r="AI27" i="15"/>
  <c r="AB27" i="15"/>
  <c r="Y27" i="15"/>
  <c r="V27" i="15"/>
  <c r="S27" i="15"/>
  <c r="EH27" i="15" s="1"/>
  <c r="P27" i="15"/>
  <c r="M27" i="15"/>
  <c r="J27" i="15"/>
  <c r="G27" i="15"/>
  <c r="D27" i="15"/>
  <c r="EL26" i="15"/>
  <c r="EG26" i="15"/>
  <c r="EI26" i="15" s="1"/>
  <c r="EB26" i="15"/>
  <c r="DW26" i="15"/>
  <c r="DT26" i="15"/>
  <c r="DQ26" i="15"/>
  <c r="DN26" i="15"/>
  <c r="DK26" i="15"/>
  <c r="DH26" i="15"/>
  <c r="DE26" i="15"/>
  <c r="DB26" i="15"/>
  <c r="CY26" i="15"/>
  <c r="CV26" i="15"/>
  <c r="CS26" i="15"/>
  <c r="CP26" i="15"/>
  <c r="CM26" i="15"/>
  <c r="CJ26" i="15"/>
  <c r="CG26" i="15"/>
  <c r="CD26" i="15"/>
  <c r="CA26" i="15"/>
  <c r="BX26" i="15"/>
  <c r="BU26" i="15"/>
  <c r="BR26" i="15"/>
  <c r="BO26" i="15"/>
  <c r="BL26" i="15"/>
  <c r="BI26" i="15"/>
  <c r="BF26" i="15"/>
  <c r="BC26" i="15"/>
  <c r="AX26" i="15"/>
  <c r="EK26" i="15" s="1"/>
  <c r="AW26" i="15"/>
  <c r="AU26" i="15"/>
  <c r="AR26" i="15"/>
  <c r="AT26" i="15" s="1"/>
  <c r="AQ26" i="15"/>
  <c r="AN26" i="15"/>
  <c r="AI26" i="15"/>
  <c r="AK26" i="15" s="1"/>
  <c r="AB26" i="15"/>
  <c r="Y26" i="15"/>
  <c r="V26" i="15"/>
  <c r="S26" i="15"/>
  <c r="EH26" i="15" s="1"/>
  <c r="P26" i="15"/>
  <c r="M26" i="15"/>
  <c r="J26" i="15"/>
  <c r="G26" i="15"/>
  <c r="D26" i="15"/>
  <c r="EL25" i="15"/>
  <c r="EI25" i="15"/>
  <c r="EG25" i="15"/>
  <c r="DW25" i="15"/>
  <c r="DT25" i="15"/>
  <c r="DQ25" i="15"/>
  <c r="DN25" i="15"/>
  <c r="DK25" i="15"/>
  <c r="DH25" i="15"/>
  <c r="DE25" i="15"/>
  <c r="DB25" i="15"/>
  <c r="CY25" i="15"/>
  <c r="CV25" i="15"/>
  <c r="CS25" i="15"/>
  <c r="CP25" i="15"/>
  <c r="CM25" i="15"/>
  <c r="CJ25" i="15"/>
  <c r="CG25" i="15"/>
  <c r="CD25" i="15"/>
  <c r="CA25" i="15"/>
  <c r="BX25" i="15"/>
  <c r="BU25" i="15"/>
  <c r="BR25" i="15"/>
  <c r="BO25" i="15"/>
  <c r="BL25" i="15"/>
  <c r="BI25" i="15"/>
  <c r="BF25" i="15"/>
  <c r="BC25" i="15"/>
  <c r="AZ25" i="15"/>
  <c r="AX25" i="15"/>
  <c r="EK25" i="15" s="1"/>
  <c r="AU25" i="15"/>
  <c r="AW25" i="15" s="1"/>
  <c r="ED25" i="15" s="1"/>
  <c r="AT25" i="15"/>
  <c r="AR25" i="15"/>
  <c r="EB25" i="15" s="1"/>
  <c r="AQ25" i="15"/>
  <c r="AN25" i="15"/>
  <c r="AK25" i="15"/>
  <c r="AI25" i="15"/>
  <c r="AB25" i="15"/>
  <c r="Y25" i="15"/>
  <c r="V25" i="15"/>
  <c r="S25" i="15"/>
  <c r="EH25" i="15" s="1"/>
  <c r="P25" i="15"/>
  <c r="M25" i="15"/>
  <c r="J25" i="15"/>
  <c r="G25" i="15"/>
  <c r="D25" i="15"/>
  <c r="EL24" i="15"/>
  <c r="EG24" i="15"/>
  <c r="EI24" i="15" s="1"/>
  <c r="EB24" i="15"/>
  <c r="DW24" i="15"/>
  <c r="DT24" i="15"/>
  <c r="DQ24" i="15"/>
  <c r="DN24" i="15"/>
  <c r="DK24" i="15"/>
  <c r="DH24" i="15"/>
  <c r="DE24" i="15"/>
  <c r="DB24" i="15"/>
  <c r="CY24" i="15"/>
  <c r="CV24" i="15"/>
  <c r="CS24" i="15"/>
  <c r="CP24" i="15"/>
  <c r="CM24" i="15"/>
  <c r="CJ24" i="15"/>
  <c r="CG24" i="15"/>
  <c r="CD24" i="15"/>
  <c r="CA24" i="15"/>
  <c r="BX24" i="15"/>
  <c r="BU24" i="15"/>
  <c r="BR24" i="15"/>
  <c r="BO24" i="15"/>
  <c r="BL24" i="15"/>
  <c r="BI24" i="15"/>
  <c r="BF24" i="15"/>
  <c r="BC24" i="15"/>
  <c r="AX24" i="15"/>
  <c r="EK24" i="15" s="1"/>
  <c r="AW24" i="15"/>
  <c r="AU24" i="15"/>
  <c r="AR24" i="15"/>
  <c r="AT24" i="15" s="1"/>
  <c r="AQ24" i="15"/>
  <c r="AN24" i="15"/>
  <c r="AL24" i="15"/>
  <c r="AI24" i="15"/>
  <c r="AK24" i="15" s="1"/>
  <c r="AB24" i="15"/>
  <c r="Y24" i="15"/>
  <c r="V24" i="15"/>
  <c r="EH24" i="15" s="1"/>
  <c r="S24" i="15"/>
  <c r="P24" i="15"/>
  <c r="M24" i="15"/>
  <c r="J24" i="15"/>
  <c r="G24" i="15"/>
  <c r="D24" i="15"/>
  <c r="EL23" i="15"/>
  <c r="EK23" i="15"/>
  <c r="EG23" i="15"/>
  <c r="EI23" i="15" s="1"/>
  <c r="DW23" i="15"/>
  <c r="DT23" i="15"/>
  <c r="DQ23" i="15"/>
  <c r="DN23" i="15"/>
  <c r="DK23" i="15"/>
  <c r="DH23" i="15"/>
  <c r="DE23" i="15"/>
  <c r="DB23" i="15"/>
  <c r="CY23" i="15"/>
  <c r="CV23" i="15"/>
  <c r="CS23" i="15"/>
  <c r="CP23" i="15"/>
  <c r="CM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U23" i="15"/>
  <c r="AW23" i="15" s="1"/>
  <c r="AT23" i="15"/>
  <c r="AR23" i="15"/>
  <c r="AO23" i="15"/>
  <c r="AQ23" i="15" s="1"/>
  <c r="AN23" i="15"/>
  <c r="AL23" i="15"/>
  <c r="EB23" i="15" s="1"/>
  <c r="EC23" i="15" s="1"/>
  <c r="AI23" i="15"/>
  <c r="AK23" i="15" s="1"/>
  <c r="AB23" i="15"/>
  <c r="Y23" i="15"/>
  <c r="V23" i="15"/>
  <c r="S23" i="15"/>
  <c r="EH23" i="15" s="1"/>
  <c r="P23" i="15"/>
  <c r="M23" i="15"/>
  <c r="J23" i="15"/>
  <c r="G23" i="15"/>
  <c r="D23" i="15"/>
  <c r="EL22" i="15"/>
  <c r="EI22" i="15"/>
  <c r="EG22" i="15"/>
  <c r="DW22" i="15"/>
  <c r="DT22" i="15"/>
  <c r="DQ22" i="15"/>
  <c r="DN22" i="15"/>
  <c r="DK22" i="15"/>
  <c r="DH22" i="15"/>
  <c r="DE22" i="15"/>
  <c r="DB22" i="15"/>
  <c r="CY22" i="15"/>
  <c r="CV22" i="15"/>
  <c r="CS22" i="15"/>
  <c r="CP22" i="15"/>
  <c r="CM22" i="15"/>
  <c r="CJ22" i="15"/>
  <c r="CG22" i="15"/>
  <c r="CD22" i="15"/>
  <c r="CA22" i="15"/>
  <c r="BX22" i="15"/>
  <c r="BU22" i="15"/>
  <c r="BR22" i="15"/>
  <c r="BO22" i="15"/>
  <c r="BL22" i="15"/>
  <c r="BI22" i="15"/>
  <c r="BF22" i="15"/>
  <c r="BC22" i="15"/>
  <c r="AZ22" i="15"/>
  <c r="AW22" i="15"/>
  <c r="AU22" i="15"/>
  <c r="AR22" i="15"/>
  <c r="AQ22" i="15"/>
  <c r="AO22" i="15"/>
  <c r="AL22" i="15"/>
  <c r="AK22" i="15"/>
  <c r="AI22" i="15"/>
  <c r="AB22" i="15"/>
  <c r="Y22" i="15"/>
  <c r="V22" i="15"/>
  <c r="S22" i="15"/>
  <c r="P22" i="15"/>
  <c r="M22" i="15"/>
  <c r="J22" i="15"/>
  <c r="G22" i="15"/>
  <c r="D22" i="15"/>
  <c r="EL21" i="15"/>
  <c r="EI21" i="15"/>
  <c r="EG21" i="15"/>
  <c r="DW21" i="15"/>
  <c r="DT21" i="15"/>
  <c r="DQ21" i="15"/>
  <c r="DN21" i="15"/>
  <c r="DK21" i="15"/>
  <c r="DH21" i="15"/>
  <c r="DE21" i="15"/>
  <c r="DB21" i="15"/>
  <c r="CY21" i="15"/>
  <c r="CV21" i="15"/>
  <c r="CS21" i="15"/>
  <c r="CP21" i="15"/>
  <c r="CM21" i="15"/>
  <c r="CJ21" i="15"/>
  <c r="CG21" i="15"/>
  <c r="CD21" i="15"/>
  <c r="CA21" i="15"/>
  <c r="BX21" i="15"/>
  <c r="BU21" i="15"/>
  <c r="BR21" i="15"/>
  <c r="BO21" i="15"/>
  <c r="BL21" i="15"/>
  <c r="BI21" i="15"/>
  <c r="BF21" i="15"/>
  <c r="BC21" i="15"/>
  <c r="AZ21" i="15"/>
  <c r="AU21" i="15"/>
  <c r="AR21" i="15"/>
  <c r="AT21" i="15" s="1"/>
  <c r="AQ21" i="15"/>
  <c r="AO21" i="15"/>
  <c r="AL21" i="15"/>
  <c r="AN21" i="15" s="1"/>
  <c r="AI21" i="15"/>
  <c r="AK21" i="15" s="1"/>
  <c r="AB21" i="15"/>
  <c r="Y21" i="15"/>
  <c r="V21" i="15"/>
  <c r="S21" i="15"/>
  <c r="EH21" i="15" s="1"/>
  <c r="P21" i="15"/>
  <c r="M21" i="15"/>
  <c r="J21" i="15"/>
  <c r="G21" i="15"/>
  <c r="D21" i="15"/>
  <c r="EL20" i="15"/>
  <c r="EI20" i="15"/>
  <c r="EG20" i="15"/>
  <c r="DW20" i="15"/>
  <c r="DT20" i="15"/>
  <c r="DQ20" i="15"/>
  <c r="DN20" i="15"/>
  <c r="DK20" i="15"/>
  <c r="DH20" i="15"/>
  <c r="DE20" i="15"/>
  <c r="DB20" i="15"/>
  <c r="CY20" i="15"/>
  <c r="CV20" i="15"/>
  <c r="CS20" i="15"/>
  <c r="CP20" i="15"/>
  <c r="CM20" i="15"/>
  <c r="CJ20" i="15"/>
  <c r="CG20" i="15"/>
  <c r="CD20" i="15"/>
  <c r="CA20" i="15"/>
  <c r="BX20" i="15"/>
  <c r="BU20" i="15"/>
  <c r="BR20" i="15"/>
  <c r="BO20" i="15"/>
  <c r="BL20" i="15"/>
  <c r="BI20" i="15"/>
  <c r="BF20" i="15"/>
  <c r="BC20" i="15"/>
  <c r="AZ20" i="15"/>
  <c r="AU20" i="15"/>
  <c r="AW20" i="15" s="1"/>
  <c r="AR20" i="15"/>
  <c r="AT20" i="15" s="1"/>
  <c r="AO20" i="15"/>
  <c r="AQ20" i="15" s="1"/>
  <c r="AL20" i="15"/>
  <c r="EB20" i="15" s="1"/>
  <c r="AI20" i="15"/>
  <c r="AK20" i="15" s="1"/>
  <c r="AB20" i="15"/>
  <c r="Y20" i="15"/>
  <c r="V20" i="15"/>
  <c r="S20" i="15"/>
  <c r="EH20" i="15" s="1"/>
  <c r="P20" i="15"/>
  <c r="M20" i="15"/>
  <c r="J20" i="15"/>
  <c r="G20" i="15"/>
  <c r="D20" i="15"/>
  <c r="EL19" i="15"/>
  <c r="EK19" i="15"/>
  <c r="EG19" i="15"/>
  <c r="EI19" i="15" s="1"/>
  <c r="DW19" i="15"/>
  <c r="DT19" i="15"/>
  <c r="DQ19" i="15"/>
  <c r="EM19" i="15" s="1"/>
  <c r="DN19" i="15"/>
  <c r="DK19" i="15"/>
  <c r="DH19" i="15"/>
  <c r="DE19" i="15"/>
  <c r="DB19" i="15"/>
  <c r="CY19" i="15"/>
  <c r="CV19" i="15"/>
  <c r="CS19" i="15"/>
  <c r="CP19" i="15"/>
  <c r="CM19" i="15"/>
  <c r="CJ19" i="15"/>
  <c r="CG19" i="15"/>
  <c r="CD19" i="15"/>
  <c r="CA19" i="15"/>
  <c r="BX19" i="15"/>
  <c r="BU19" i="15"/>
  <c r="BR19" i="15"/>
  <c r="BO19" i="15"/>
  <c r="BL19" i="15"/>
  <c r="BI19" i="15"/>
  <c r="BF19" i="15"/>
  <c r="BC19" i="15"/>
  <c r="AZ19" i="15"/>
  <c r="AW19" i="15"/>
  <c r="AU19" i="15"/>
  <c r="AT19" i="15"/>
  <c r="AR19" i="15"/>
  <c r="AQ19" i="15"/>
  <c r="AO19" i="15"/>
  <c r="AN19" i="15"/>
  <c r="AL19" i="15"/>
  <c r="EB19" i="15" s="1"/>
  <c r="AK19" i="15"/>
  <c r="AI19" i="15"/>
  <c r="AB19" i="15"/>
  <c r="EH19" i="15" s="1"/>
  <c r="Y19" i="15"/>
  <c r="V19" i="15"/>
  <c r="S19" i="15"/>
  <c r="P19" i="15"/>
  <c r="M19" i="15"/>
  <c r="J19" i="15"/>
  <c r="G19" i="15"/>
  <c r="D19" i="15"/>
  <c r="ED19" i="15" s="1"/>
  <c r="EL18" i="15"/>
  <c r="EG18" i="15"/>
  <c r="EI18" i="15" s="1"/>
  <c r="DW18" i="15"/>
  <c r="DT18" i="15"/>
  <c r="DQ18" i="15"/>
  <c r="DN18" i="15"/>
  <c r="DK18" i="15"/>
  <c r="DH18" i="15"/>
  <c r="DE18" i="15"/>
  <c r="DB18" i="15"/>
  <c r="CY18" i="15"/>
  <c r="CV18" i="15"/>
  <c r="CS18" i="15"/>
  <c r="CP18" i="15"/>
  <c r="CM18" i="15"/>
  <c r="CJ18" i="15"/>
  <c r="CG18" i="15"/>
  <c r="CD18" i="15"/>
  <c r="CA18" i="15"/>
  <c r="BX18" i="15"/>
  <c r="BU18" i="15"/>
  <c r="BR18" i="15"/>
  <c r="BO18" i="15"/>
  <c r="BL18" i="15"/>
  <c r="BI18" i="15"/>
  <c r="BF18" i="15"/>
  <c r="BC18" i="15"/>
  <c r="AZ18" i="15"/>
  <c r="AU18" i="15"/>
  <c r="EK18" i="15" s="1"/>
  <c r="AR18" i="15"/>
  <c r="AT18" i="15" s="1"/>
  <c r="AO18" i="15"/>
  <c r="EB18" i="15" s="1"/>
  <c r="AL18" i="15"/>
  <c r="AN18" i="15" s="1"/>
  <c r="AI18" i="15"/>
  <c r="AK18" i="15" s="1"/>
  <c r="AB18" i="15"/>
  <c r="Y18" i="15"/>
  <c r="V18" i="15"/>
  <c r="S18" i="15"/>
  <c r="EH18" i="15" s="1"/>
  <c r="P18" i="15"/>
  <c r="M18" i="15"/>
  <c r="J18" i="15"/>
  <c r="G18" i="15"/>
  <c r="D18" i="15"/>
  <c r="EL17" i="15"/>
  <c r="EK17" i="15"/>
  <c r="EI17" i="15"/>
  <c r="EG17" i="15"/>
  <c r="DW17" i="15"/>
  <c r="DT17" i="15"/>
  <c r="DQ17" i="15"/>
  <c r="EM17" i="15" s="1"/>
  <c r="DN17" i="15"/>
  <c r="DK17" i="15"/>
  <c r="DH17" i="15"/>
  <c r="DE17" i="15"/>
  <c r="DB17" i="15"/>
  <c r="CY17" i="15"/>
  <c r="CV17" i="15"/>
  <c r="CS17" i="15"/>
  <c r="CP17" i="15"/>
  <c r="CM17" i="15"/>
  <c r="CJ17" i="15"/>
  <c r="CG17" i="15"/>
  <c r="CD17" i="15"/>
  <c r="CA17" i="15"/>
  <c r="BX17" i="15"/>
  <c r="BU17" i="15"/>
  <c r="BR17" i="15"/>
  <c r="BO17" i="15"/>
  <c r="BL17" i="15"/>
  <c r="BI17" i="15"/>
  <c r="BF17" i="15"/>
  <c r="BC17" i="15"/>
  <c r="AZ17" i="15"/>
  <c r="AW17" i="15"/>
  <c r="AU17" i="15"/>
  <c r="AT17" i="15"/>
  <c r="AR17" i="15"/>
  <c r="AQ17" i="15"/>
  <c r="AO17" i="15"/>
  <c r="AN17" i="15"/>
  <c r="AL17" i="15"/>
  <c r="EB17" i="15" s="1"/>
  <c r="AK17" i="15"/>
  <c r="AB17" i="15"/>
  <c r="Y17" i="15"/>
  <c r="V17" i="15"/>
  <c r="S17" i="15"/>
  <c r="EH17" i="15" s="1"/>
  <c r="P17" i="15"/>
  <c r="M17" i="15"/>
  <c r="J17" i="15"/>
  <c r="G17" i="15"/>
  <c r="D17" i="15"/>
  <c r="ED17" i="15" s="1"/>
  <c r="EL16" i="15"/>
  <c r="EK16" i="15"/>
  <c r="EG16" i="15"/>
  <c r="EI16" i="15" s="1"/>
  <c r="DW16" i="15"/>
  <c r="DT16" i="15"/>
  <c r="DQ16" i="15"/>
  <c r="EM16" i="15" s="1"/>
  <c r="DN16" i="15"/>
  <c r="DK16" i="15"/>
  <c r="DH16" i="15"/>
  <c r="DE16" i="15"/>
  <c r="DB16" i="15"/>
  <c r="CY16" i="15"/>
  <c r="CV16" i="15"/>
  <c r="CS16" i="15"/>
  <c r="CP16" i="15"/>
  <c r="CM16" i="15"/>
  <c r="CJ16" i="15"/>
  <c r="CG16" i="15"/>
  <c r="CD16" i="15"/>
  <c r="CA16" i="15"/>
  <c r="BX16" i="15"/>
  <c r="BU16" i="15"/>
  <c r="BR16" i="15"/>
  <c r="BO16" i="15"/>
  <c r="BL16" i="15"/>
  <c r="BI16" i="15"/>
  <c r="BF16" i="15"/>
  <c r="BC16" i="15"/>
  <c r="AZ16" i="15"/>
  <c r="AW16" i="15"/>
  <c r="AU16" i="15"/>
  <c r="AT16" i="15"/>
  <c r="AR16" i="15"/>
  <c r="AQ16" i="15"/>
  <c r="AO16" i="15"/>
  <c r="AN16" i="15"/>
  <c r="AL16" i="15"/>
  <c r="EB16" i="15" s="1"/>
  <c r="AK16" i="15"/>
  <c r="AI16" i="15"/>
  <c r="AB16" i="15"/>
  <c r="EH16" i="15" s="1"/>
  <c r="Y16" i="15"/>
  <c r="V16" i="15"/>
  <c r="S16" i="15"/>
  <c r="P16" i="15"/>
  <c r="M16" i="15"/>
  <c r="J16" i="15"/>
  <c r="G16" i="15"/>
  <c r="D16" i="15"/>
  <c r="ED16" i="15" s="1"/>
  <c r="EL15" i="15"/>
  <c r="EG15" i="15"/>
  <c r="EI15" i="15" s="1"/>
  <c r="DW15" i="15"/>
  <c r="DT15" i="15"/>
  <c r="DQ15" i="15"/>
  <c r="DN15" i="15"/>
  <c r="DK15" i="15"/>
  <c r="DH15" i="15"/>
  <c r="DE15" i="15"/>
  <c r="DB15" i="15"/>
  <c r="CY15" i="15"/>
  <c r="CV15" i="15"/>
  <c r="CS15" i="15"/>
  <c r="CP15" i="15"/>
  <c r="CM15" i="15"/>
  <c r="CJ15" i="15"/>
  <c r="CG15" i="15"/>
  <c r="CD15" i="15"/>
  <c r="CA15" i="15"/>
  <c r="BX15" i="15"/>
  <c r="BU15" i="15"/>
  <c r="BR15" i="15"/>
  <c r="BO15" i="15"/>
  <c r="BL15" i="15"/>
  <c r="BI15" i="15"/>
  <c r="BF15" i="15"/>
  <c r="BC15" i="15"/>
  <c r="AZ15" i="15"/>
  <c r="AU15" i="15"/>
  <c r="EK15" i="15" s="1"/>
  <c r="AR15" i="15"/>
  <c r="AT15" i="15" s="1"/>
  <c r="AO15" i="15"/>
  <c r="EB15" i="15" s="1"/>
  <c r="AL15" i="15"/>
  <c r="AN15" i="15" s="1"/>
  <c r="AI15" i="15"/>
  <c r="AK15" i="15" s="1"/>
  <c r="AB15" i="15"/>
  <c r="Y15" i="15"/>
  <c r="V15" i="15"/>
  <c r="S15" i="15"/>
  <c r="EH15" i="15" s="1"/>
  <c r="P15" i="15"/>
  <c r="M15" i="15"/>
  <c r="J15" i="15"/>
  <c r="G15" i="15"/>
  <c r="D15" i="15"/>
  <c r="EL14" i="15"/>
  <c r="EI14" i="15"/>
  <c r="EG14" i="15"/>
  <c r="DW14" i="15"/>
  <c r="DT14" i="15"/>
  <c r="DQ14" i="15"/>
  <c r="DN14" i="15"/>
  <c r="DK14" i="15"/>
  <c r="DH14" i="15"/>
  <c r="DE14" i="15"/>
  <c r="DB14" i="15"/>
  <c r="CY14" i="15"/>
  <c r="CV14" i="15"/>
  <c r="CS14" i="15"/>
  <c r="CP14" i="15"/>
  <c r="CM14" i="15"/>
  <c r="CJ14" i="15"/>
  <c r="CG14" i="15"/>
  <c r="CD14" i="15"/>
  <c r="CA14" i="15"/>
  <c r="BX14" i="15"/>
  <c r="BU14" i="15"/>
  <c r="BR14" i="15"/>
  <c r="BO14" i="15"/>
  <c r="BL14" i="15"/>
  <c r="BI14" i="15"/>
  <c r="BF14" i="15"/>
  <c r="BC14" i="15"/>
  <c r="AZ14" i="15"/>
  <c r="AW14" i="15"/>
  <c r="AU14" i="15"/>
  <c r="AT14" i="15"/>
  <c r="AO14" i="15"/>
  <c r="AQ14" i="15" s="1"/>
  <c r="AL14" i="15"/>
  <c r="EB14" i="15" s="1"/>
  <c r="AI14" i="15"/>
  <c r="AK14" i="15" s="1"/>
  <c r="AB14" i="15"/>
  <c r="Y14" i="15"/>
  <c r="V14" i="15"/>
  <c r="S14" i="15"/>
  <c r="EH14" i="15" s="1"/>
  <c r="P14" i="15"/>
  <c r="M14" i="15"/>
  <c r="J14" i="15"/>
  <c r="G14" i="15"/>
  <c r="D14" i="15"/>
  <c r="EL13" i="15"/>
  <c r="EK13" i="15"/>
  <c r="EG13" i="15"/>
  <c r="EI13" i="15" s="1"/>
  <c r="DW13" i="15"/>
  <c r="DT13" i="15"/>
  <c r="DQ13" i="15"/>
  <c r="EM13" i="15" s="1"/>
  <c r="DN13" i="15"/>
  <c r="DK13" i="15"/>
  <c r="DH13" i="15"/>
  <c r="DE13" i="15"/>
  <c r="DB13" i="15"/>
  <c r="CY13" i="15"/>
  <c r="CV13" i="15"/>
  <c r="CS13" i="15"/>
  <c r="CP13" i="15"/>
  <c r="CM13" i="15"/>
  <c r="CJ13" i="15"/>
  <c r="CG13" i="15"/>
  <c r="CD13" i="15"/>
  <c r="CA13" i="15"/>
  <c r="BX13" i="15"/>
  <c r="BU13" i="15"/>
  <c r="BR13" i="15"/>
  <c r="BO13" i="15"/>
  <c r="BL13" i="15"/>
  <c r="BI13" i="15"/>
  <c r="BF13" i="15"/>
  <c r="BC13" i="15"/>
  <c r="AZ13" i="15"/>
  <c r="AW13" i="15"/>
  <c r="AU13" i="15"/>
  <c r="AT13" i="15"/>
  <c r="AR13" i="15"/>
  <c r="AQ13" i="15"/>
  <c r="AO13" i="15"/>
  <c r="EB13" i="15" s="1"/>
  <c r="AN13" i="15"/>
  <c r="AL13" i="15"/>
  <c r="AK13" i="15"/>
  <c r="AI13" i="15"/>
  <c r="AB13" i="15"/>
  <c r="EH13" i="15" s="1"/>
  <c r="Y13" i="15"/>
  <c r="V13" i="15"/>
  <c r="S13" i="15"/>
  <c r="P13" i="15"/>
  <c r="M13" i="15"/>
  <c r="J13" i="15"/>
  <c r="G13" i="15"/>
  <c r="D13" i="15"/>
  <c r="ED13" i="15" s="1"/>
  <c r="EL12" i="15"/>
  <c r="EG12" i="15"/>
  <c r="EI12" i="15" s="1"/>
  <c r="DW12" i="15"/>
  <c r="DT12" i="15"/>
  <c r="DQ12" i="15"/>
  <c r="DN12" i="15"/>
  <c r="DK12" i="15"/>
  <c r="DH12" i="15"/>
  <c r="DE12" i="15"/>
  <c r="DB12" i="15"/>
  <c r="CY12" i="15"/>
  <c r="CV12" i="15"/>
  <c r="CS12" i="15"/>
  <c r="CP12" i="15"/>
  <c r="CM12" i="15"/>
  <c r="CJ12" i="15"/>
  <c r="CG12" i="15"/>
  <c r="CD12" i="15"/>
  <c r="CA12" i="15"/>
  <c r="BX12" i="15"/>
  <c r="BU12" i="15"/>
  <c r="BR12" i="15"/>
  <c r="BO12" i="15"/>
  <c r="BL12" i="15"/>
  <c r="BI12" i="15"/>
  <c r="BF12" i="15"/>
  <c r="BC12" i="15"/>
  <c r="AZ12" i="15"/>
  <c r="AU12" i="15"/>
  <c r="EK12" i="15" s="1"/>
  <c r="AR12" i="15"/>
  <c r="AT12" i="15" s="1"/>
  <c r="AO12" i="15"/>
  <c r="EB12" i="15" s="1"/>
  <c r="AL12" i="15"/>
  <c r="AN12" i="15" s="1"/>
  <c r="AI12" i="15"/>
  <c r="AK12" i="15" s="1"/>
  <c r="AB12" i="15"/>
  <c r="Y12" i="15"/>
  <c r="V12" i="15"/>
  <c r="S12" i="15"/>
  <c r="EH12" i="15" s="1"/>
  <c r="P12" i="15"/>
  <c r="M12" i="15"/>
  <c r="J12" i="15"/>
  <c r="G12" i="15"/>
  <c r="D12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L11" i="15"/>
  <c r="EK11" i="15"/>
  <c r="EI11" i="15"/>
  <c r="EG11" i="15"/>
  <c r="DW11" i="15"/>
  <c r="DW39" i="15" s="1"/>
  <c r="DT11" i="15"/>
  <c r="DQ11" i="15"/>
  <c r="DN11" i="15"/>
  <c r="DK11" i="15"/>
  <c r="DK39" i="15" s="1"/>
  <c r="DH11" i="15"/>
  <c r="DE11" i="15"/>
  <c r="DB11" i="15"/>
  <c r="CY11" i="15"/>
  <c r="CY39" i="15" s="1"/>
  <c r="CV11" i="15"/>
  <c r="CS11" i="15"/>
  <c r="CP11" i="15"/>
  <c r="CM11" i="15"/>
  <c r="CM39" i="15" s="1"/>
  <c r="CJ11" i="15"/>
  <c r="CG11" i="15"/>
  <c r="CD11" i="15"/>
  <c r="CA11" i="15"/>
  <c r="CA39" i="15" s="1"/>
  <c r="BX11" i="15"/>
  <c r="BU11" i="15"/>
  <c r="BR11" i="15"/>
  <c r="BO11" i="15"/>
  <c r="BO39" i="15" s="1"/>
  <c r="BL11" i="15"/>
  <c r="BI11" i="15"/>
  <c r="BF11" i="15"/>
  <c r="BC11" i="15"/>
  <c r="BC39" i="15" s="1"/>
  <c r="AZ11" i="15"/>
  <c r="AW11" i="15"/>
  <c r="AU11" i="15"/>
  <c r="AT11" i="15"/>
  <c r="AR11" i="15"/>
  <c r="AQ11" i="15"/>
  <c r="AO11" i="15"/>
  <c r="AN11" i="15"/>
  <c r="AL11" i="15"/>
  <c r="EB11" i="15" s="1"/>
  <c r="AK11" i="15"/>
  <c r="AI11" i="15"/>
  <c r="AH39" i="15"/>
  <c r="AE39" i="15"/>
  <c r="AB11" i="15"/>
  <c r="Y11" i="15"/>
  <c r="V11" i="15"/>
  <c r="V39" i="15" s="1"/>
  <c r="S11" i="15"/>
  <c r="S39" i="15" s="1"/>
  <c r="P11" i="15"/>
  <c r="M11" i="15"/>
  <c r="J11" i="15"/>
  <c r="J39" i="15" s="1"/>
  <c r="G11" i="15"/>
  <c r="G39" i="15" s="1"/>
  <c r="D11" i="15"/>
  <c r="EQ2" i="15"/>
  <c r="G4" i="15" s="1"/>
  <c r="EI2" i="15"/>
  <c r="EE2" i="15"/>
  <c r="EL40" i="14"/>
  <c r="EG40" i="14"/>
  <c r="EI40" i="14" s="1"/>
  <c r="EB40" i="14"/>
  <c r="DW40" i="14"/>
  <c r="DT40" i="14"/>
  <c r="DQ40" i="14"/>
  <c r="DN40" i="14"/>
  <c r="DK40" i="14"/>
  <c r="DH40" i="14"/>
  <c r="DE40" i="14"/>
  <c r="DB40" i="14"/>
  <c r="CY40" i="14"/>
  <c r="CV40" i="14"/>
  <c r="CS40" i="14"/>
  <c r="CP40" i="14"/>
  <c r="CM40" i="14"/>
  <c r="CJ40" i="14"/>
  <c r="CG40" i="14"/>
  <c r="CD40" i="14"/>
  <c r="CA40" i="14"/>
  <c r="BX40" i="14"/>
  <c r="BU40" i="14"/>
  <c r="BR40" i="14"/>
  <c r="BO40" i="14"/>
  <c r="BL40" i="14"/>
  <c r="BI40" i="14"/>
  <c r="BF40" i="14"/>
  <c r="BC40" i="14"/>
  <c r="AZ40" i="14"/>
  <c r="AW40" i="14"/>
  <c r="AT40" i="14"/>
  <c r="AQ40" i="14"/>
  <c r="AN40" i="14"/>
  <c r="AI40" i="14"/>
  <c r="AB40" i="14"/>
  <c r="Y40" i="14"/>
  <c r="EH40" i="14" s="1"/>
  <c r="V40" i="14"/>
  <c r="S40" i="14"/>
  <c r="P40" i="14"/>
  <c r="M40" i="14"/>
  <c r="J40" i="14"/>
  <c r="G40" i="14"/>
  <c r="D40" i="14"/>
  <c r="EL39" i="14"/>
  <c r="EK39" i="14"/>
  <c r="EG39" i="14"/>
  <c r="EI39" i="14" s="1"/>
  <c r="DW39" i="14"/>
  <c r="DT39" i="14"/>
  <c r="DQ39" i="14"/>
  <c r="EM39" i="14" s="1"/>
  <c r="DN39" i="14"/>
  <c r="DK39" i="14"/>
  <c r="DH39" i="14"/>
  <c r="DE39" i="14"/>
  <c r="DB39" i="14"/>
  <c r="CY39" i="14"/>
  <c r="CV39" i="14"/>
  <c r="CS39" i="14"/>
  <c r="CP39" i="14"/>
  <c r="CM39" i="14"/>
  <c r="CJ39" i="14"/>
  <c r="CG39" i="14"/>
  <c r="CD39" i="14"/>
  <c r="CA39" i="14"/>
  <c r="BX39" i="14"/>
  <c r="BU39" i="14"/>
  <c r="BR39" i="14"/>
  <c r="BO39" i="14"/>
  <c r="BL39" i="14"/>
  <c r="BI39" i="14"/>
  <c r="BF39" i="14"/>
  <c r="BC39" i="14"/>
  <c r="AZ39" i="14"/>
  <c r="AW39" i="14"/>
  <c r="AT39" i="14"/>
  <c r="AQ39" i="14"/>
  <c r="AN39" i="14"/>
  <c r="AI39" i="14"/>
  <c r="AK39" i="14" s="1"/>
  <c r="AB39" i="14"/>
  <c r="Y39" i="14"/>
  <c r="V39" i="14"/>
  <c r="EH39" i="14" s="1"/>
  <c r="S39" i="14"/>
  <c r="P39" i="14"/>
  <c r="M39" i="14"/>
  <c r="J39" i="14"/>
  <c r="G39" i="14"/>
  <c r="D39" i="14"/>
  <c r="EL38" i="14"/>
  <c r="EK38" i="14"/>
  <c r="EI38" i="14"/>
  <c r="EG38" i="14"/>
  <c r="DW38" i="14"/>
  <c r="DT38" i="14"/>
  <c r="DQ38" i="14"/>
  <c r="DN38" i="14"/>
  <c r="DK38" i="14"/>
  <c r="DH38" i="14"/>
  <c r="DE38" i="14"/>
  <c r="DB38" i="14"/>
  <c r="CY38" i="14"/>
  <c r="CV38" i="14"/>
  <c r="CS38" i="14"/>
  <c r="CP38" i="14"/>
  <c r="CM38" i="14"/>
  <c r="CJ38" i="14"/>
  <c r="CG38" i="14"/>
  <c r="CD38" i="14"/>
  <c r="CA38" i="14"/>
  <c r="BX38" i="14"/>
  <c r="BU38" i="14"/>
  <c r="BR38" i="14"/>
  <c r="BO38" i="14"/>
  <c r="BL38" i="14"/>
  <c r="BI38" i="14"/>
  <c r="BF38" i="14"/>
  <c r="BC38" i="14"/>
  <c r="AZ38" i="14"/>
  <c r="AW38" i="14"/>
  <c r="AT38" i="14"/>
  <c r="AQ38" i="14"/>
  <c r="AN38" i="14"/>
  <c r="AI38" i="14"/>
  <c r="AK38" i="14" s="1"/>
  <c r="AB38" i="14"/>
  <c r="Y38" i="14"/>
  <c r="V38" i="14"/>
  <c r="S38" i="14"/>
  <c r="EH38" i="14" s="1"/>
  <c r="P38" i="14"/>
  <c r="M38" i="14"/>
  <c r="J38" i="14"/>
  <c r="G38" i="14"/>
  <c r="ED38" i="14" s="1"/>
  <c r="D38" i="14"/>
  <c r="EL37" i="14"/>
  <c r="EI37" i="14"/>
  <c r="EG37" i="14"/>
  <c r="DW37" i="14"/>
  <c r="DT37" i="14"/>
  <c r="DQ37" i="14"/>
  <c r="EM37" i="14" s="1"/>
  <c r="DN37" i="14"/>
  <c r="DK37" i="14"/>
  <c r="DH37" i="14"/>
  <c r="DE37" i="14"/>
  <c r="DB37" i="14"/>
  <c r="CY37" i="14"/>
  <c r="CV37" i="14"/>
  <c r="CS37" i="14"/>
  <c r="CP37" i="14"/>
  <c r="CM37" i="14"/>
  <c r="CJ37" i="14"/>
  <c r="CG37" i="14"/>
  <c r="CD37" i="14"/>
  <c r="CA37" i="14"/>
  <c r="BX37" i="14"/>
  <c r="BU37" i="14"/>
  <c r="BR37" i="14"/>
  <c r="BO37" i="14"/>
  <c r="BL37" i="14"/>
  <c r="BI37" i="14"/>
  <c r="BF37" i="14"/>
  <c r="BC37" i="14"/>
  <c r="AZ37" i="14"/>
  <c r="AW37" i="14"/>
  <c r="AT37" i="14"/>
  <c r="AQ37" i="14"/>
  <c r="AN37" i="14"/>
  <c r="AK37" i="14"/>
  <c r="AI37" i="14"/>
  <c r="EB37" i="14" s="1"/>
  <c r="AB37" i="14"/>
  <c r="EH37" i="14" s="1"/>
  <c r="Y37" i="14"/>
  <c r="V37" i="14"/>
  <c r="S37" i="14"/>
  <c r="P37" i="14"/>
  <c r="M37" i="14"/>
  <c r="J37" i="14"/>
  <c r="G37" i="14"/>
  <c r="D37" i="14"/>
  <c r="ED37" i="14" s="1"/>
  <c r="EL36" i="14"/>
  <c r="EG36" i="14"/>
  <c r="EI36" i="14" s="1"/>
  <c r="EB36" i="14"/>
  <c r="DW36" i="14"/>
  <c r="DT36" i="14"/>
  <c r="DQ36" i="14"/>
  <c r="DN36" i="14"/>
  <c r="DK36" i="14"/>
  <c r="DH36" i="14"/>
  <c r="DE36" i="14"/>
  <c r="DB36" i="14"/>
  <c r="CY36" i="14"/>
  <c r="CV36" i="14"/>
  <c r="CS36" i="14"/>
  <c r="CP36" i="14"/>
  <c r="CM36" i="14"/>
  <c r="CJ36" i="14"/>
  <c r="CG36" i="14"/>
  <c r="CD36" i="14"/>
  <c r="CA36" i="14"/>
  <c r="BX36" i="14"/>
  <c r="BU36" i="14"/>
  <c r="BR36" i="14"/>
  <c r="BO36" i="14"/>
  <c r="BL36" i="14"/>
  <c r="BI36" i="14"/>
  <c r="BF36" i="14"/>
  <c r="BC36" i="14"/>
  <c r="AZ36" i="14"/>
  <c r="AW36" i="14"/>
  <c r="AT36" i="14"/>
  <c r="AQ36" i="14"/>
  <c r="AN36" i="14"/>
  <c r="AI36" i="14"/>
  <c r="AB36" i="14"/>
  <c r="Y36" i="14"/>
  <c r="EH36" i="14" s="1"/>
  <c r="V36" i="14"/>
  <c r="S36" i="14"/>
  <c r="P36" i="14"/>
  <c r="M36" i="14"/>
  <c r="J36" i="14"/>
  <c r="G36" i="14"/>
  <c r="D36" i="14"/>
  <c r="EL35" i="14"/>
  <c r="EK35" i="14"/>
  <c r="EG35" i="14"/>
  <c r="EI35" i="14" s="1"/>
  <c r="DW35" i="14"/>
  <c r="DT35" i="14"/>
  <c r="DQ35" i="14"/>
  <c r="DN35" i="14"/>
  <c r="DK35" i="14"/>
  <c r="DH35" i="14"/>
  <c r="DE35" i="14"/>
  <c r="DB35" i="14"/>
  <c r="CY35" i="14"/>
  <c r="CV35" i="14"/>
  <c r="CS35" i="14"/>
  <c r="CP35" i="14"/>
  <c r="CM35" i="14"/>
  <c r="CJ35" i="14"/>
  <c r="CG35" i="14"/>
  <c r="CD35" i="14"/>
  <c r="CA35" i="14"/>
  <c r="BX35" i="14"/>
  <c r="BU35" i="14"/>
  <c r="BR35" i="14"/>
  <c r="BO35" i="14"/>
  <c r="BL35" i="14"/>
  <c r="BI35" i="14"/>
  <c r="BF35" i="14"/>
  <c r="BC35" i="14"/>
  <c r="AZ35" i="14"/>
  <c r="AW35" i="14"/>
  <c r="AT35" i="14"/>
  <c r="AQ35" i="14"/>
  <c r="AN35" i="14"/>
  <c r="AI35" i="14"/>
  <c r="AK35" i="14" s="1"/>
  <c r="AB35" i="14"/>
  <c r="Y35" i="14"/>
  <c r="V35" i="14"/>
  <c r="S35" i="14"/>
  <c r="EH35" i="14" s="1"/>
  <c r="P35" i="14"/>
  <c r="M35" i="14"/>
  <c r="J35" i="14"/>
  <c r="G35" i="14"/>
  <c r="D35" i="14"/>
  <c r="ED35" i="14" s="1"/>
  <c r="EL34" i="14"/>
  <c r="EK34" i="14"/>
  <c r="EI34" i="14"/>
  <c r="EG34" i="14"/>
  <c r="DW34" i="14"/>
  <c r="DT34" i="14"/>
  <c r="DQ34" i="14"/>
  <c r="DN34" i="14"/>
  <c r="DK34" i="14"/>
  <c r="DH34" i="14"/>
  <c r="DE34" i="14"/>
  <c r="DB34" i="14"/>
  <c r="CY34" i="14"/>
  <c r="CV34" i="14"/>
  <c r="CS34" i="14"/>
  <c r="CP34" i="14"/>
  <c r="CM34" i="14"/>
  <c r="CJ34" i="14"/>
  <c r="CG34" i="14"/>
  <c r="CD34" i="14"/>
  <c r="CA34" i="14"/>
  <c r="BX34" i="14"/>
  <c r="BU34" i="14"/>
  <c r="BR34" i="14"/>
  <c r="BO34" i="14"/>
  <c r="BL34" i="14"/>
  <c r="BI34" i="14"/>
  <c r="BF34" i="14"/>
  <c r="BC34" i="14"/>
  <c r="AZ34" i="14"/>
  <c r="AW34" i="14"/>
  <c r="AT34" i="14"/>
  <c r="AQ34" i="14"/>
  <c r="AN34" i="14"/>
  <c r="AI34" i="14"/>
  <c r="AK34" i="14" s="1"/>
  <c r="AB34" i="14"/>
  <c r="Y34" i="14"/>
  <c r="V34" i="14"/>
  <c r="S34" i="14"/>
  <c r="EH34" i="14" s="1"/>
  <c r="P34" i="14"/>
  <c r="M34" i="14"/>
  <c r="J34" i="14"/>
  <c r="G34" i="14"/>
  <c r="ED34" i="14" s="1"/>
  <c r="D34" i="14"/>
  <c r="EL33" i="14"/>
  <c r="EK33" i="14"/>
  <c r="EI33" i="14"/>
  <c r="EG33" i="14"/>
  <c r="DW33" i="14"/>
  <c r="DT33" i="14"/>
  <c r="DQ33" i="14"/>
  <c r="EM33" i="14" s="1"/>
  <c r="EN33" i="14" s="1"/>
  <c r="DN33" i="14"/>
  <c r="DK33" i="14"/>
  <c r="DH33" i="14"/>
  <c r="DE33" i="14"/>
  <c r="DB33" i="14"/>
  <c r="CY33" i="14"/>
  <c r="CV33" i="14"/>
  <c r="CS33" i="14"/>
  <c r="CP33" i="14"/>
  <c r="CM33" i="14"/>
  <c r="CJ33" i="14"/>
  <c r="CG33" i="14"/>
  <c r="CD33" i="14"/>
  <c r="CA33" i="14"/>
  <c r="BX33" i="14"/>
  <c r="BU33" i="14"/>
  <c r="BR33" i="14"/>
  <c r="BO33" i="14"/>
  <c r="BL33" i="14"/>
  <c r="BI33" i="14"/>
  <c r="BF33" i="14"/>
  <c r="BC33" i="14"/>
  <c r="AZ33" i="14"/>
  <c r="AW33" i="14"/>
  <c r="AT33" i="14"/>
  <c r="AQ33" i="14"/>
  <c r="AN33" i="14"/>
  <c r="AK33" i="14"/>
  <c r="AI33" i="14"/>
  <c r="EB33" i="14" s="1"/>
  <c r="EE33" i="14" s="1"/>
  <c r="AB33" i="14"/>
  <c r="EH33" i="14" s="1"/>
  <c r="Y33" i="14"/>
  <c r="V33" i="14"/>
  <c r="S33" i="14"/>
  <c r="P33" i="14"/>
  <c r="M33" i="14"/>
  <c r="J33" i="14"/>
  <c r="G33" i="14"/>
  <c r="D33" i="14"/>
  <c r="ED33" i="14" s="1"/>
  <c r="EL32" i="14"/>
  <c r="EG32" i="14"/>
  <c r="EI32" i="14" s="1"/>
  <c r="DW32" i="14"/>
  <c r="DT32" i="14"/>
  <c r="DQ32" i="14"/>
  <c r="DN32" i="14"/>
  <c r="DK32" i="14"/>
  <c r="DH32" i="14"/>
  <c r="DE32" i="14"/>
  <c r="DB32" i="14"/>
  <c r="CY32" i="14"/>
  <c r="CV32" i="14"/>
  <c r="CS32" i="14"/>
  <c r="CP32" i="14"/>
  <c r="CM32" i="14"/>
  <c r="CJ32" i="14"/>
  <c r="CG32" i="14"/>
  <c r="CD32" i="14"/>
  <c r="CA32" i="14"/>
  <c r="BX32" i="14"/>
  <c r="BU32" i="14"/>
  <c r="BR32" i="14"/>
  <c r="BO32" i="14"/>
  <c r="BL32" i="14"/>
  <c r="BI32" i="14"/>
  <c r="BF32" i="14"/>
  <c r="BC32" i="14"/>
  <c r="AZ32" i="14"/>
  <c r="AW32" i="14"/>
  <c r="AT32" i="14"/>
  <c r="AQ32" i="14"/>
  <c r="AN32" i="14"/>
  <c r="AI32" i="14"/>
  <c r="AB32" i="14"/>
  <c r="Y32" i="14"/>
  <c r="EH32" i="14" s="1"/>
  <c r="V32" i="14"/>
  <c r="S32" i="14"/>
  <c r="P32" i="14"/>
  <c r="M32" i="14"/>
  <c r="J32" i="14"/>
  <c r="G32" i="14"/>
  <c r="D32" i="14"/>
  <c r="EL31" i="14"/>
  <c r="EK31" i="14"/>
  <c r="EG31" i="14"/>
  <c r="EI31" i="14" s="1"/>
  <c r="DW31" i="14"/>
  <c r="DT31" i="14"/>
  <c r="DQ31" i="14"/>
  <c r="DN31" i="14"/>
  <c r="DK31" i="14"/>
  <c r="DH31" i="14"/>
  <c r="DE31" i="14"/>
  <c r="DB31" i="14"/>
  <c r="CY31" i="14"/>
  <c r="CV31" i="14"/>
  <c r="CS31" i="14"/>
  <c r="CP31" i="14"/>
  <c r="CM31" i="14"/>
  <c r="CJ31" i="14"/>
  <c r="CG31" i="14"/>
  <c r="CD31" i="14"/>
  <c r="CA31" i="14"/>
  <c r="BX31" i="14"/>
  <c r="BU31" i="14"/>
  <c r="BR31" i="14"/>
  <c r="BO31" i="14"/>
  <c r="BL31" i="14"/>
  <c r="BI31" i="14"/>
  <c r="BF31" i="14"/>
  <c r="BC31" i="14"/>
  <c r="AZ31" i="14"/>
  <c r="AW31" i="14"/>
  <c r="AT31" i="14"/>
  <c r="AQ31" i="14"/>
  <c r="AN31" i="14"/>
  <c r="AI31" i="14"/>
  <c r="AK31" i="14" s="1"/>
  <c r="AB31" i="14"/>
  <c r="Y31" i="14"/>
  <c r="V31" i="14"/>
  <c r="EH31" i="14" s="1"/>
  <c r="S31" i="14"/>
  <c r="P31" i="14"/>
  <c r="M31" i="14"/>
  <c r="J31" i="14"/>
  <c r="G31" i="14"/>
  <c r="D31" i="14"/>
  <c r="EL30" i="14"/>
  <c r="EK30" i="14"/>
  <c r="EI30" i="14"/>
  <c r="EG30" i="14"/>
  <c r="ED30" i="14"/>
  <c r="DW30" i="14"/>
  <c r="DT30" i="14"/>
  <c r="DQ30" i="14"/>
  <c r="DN30" i="14"/>
  <c r="DK30" i="14"/>
  <c r="DH30" i="14"/>
  <c r="DE30" i="14"/>
  <c r="DB30" i="14"/>
  <c r="CY30" i="14"/>
  <c r="CV30" i="14"/>
  <c r="CS30" i="14"/>
  <c r="CP30" i="14"/>
  <c r="CM30" i="14"/>
  <c r="CJ30" i="14"/>
  <c r="CG30" i="14"/>
  <c r="CD30" i="14"/>
  <c r="CA30" i="14"/>
  <c r="BX30" i="14"/>
  <c r="BU30" i="14"/>
  <c r="BR30" i="14"/>
  <c r="BO30" i="14"/>
  <c r="BL30" i="14"/>
  <c r="BI30" i="14"/>
  <c r="BF30" i="14"/>
  <c r="BC30" i="14"/>
  <c r="AZ30" i="14"/>
  <c r="AW30" i="14"/>
  <c r="AT30" i="14"/>
  <c r="AQ30" i="14"/>
  <c r="AN30" i="14"/>
  <c r="AI30" i="14"/>
  <c r="AK30" i="14" s="1"/>
  <c r="AB30" i="14"/>
  <c r="Y30" i="14"/>
  <c r="V30" i="14"/>
  <c r="S30" i="14"/>
  <c r="EH30" i="14" s="1"/>
  <c r="P30" i="14"/>
  <c r="M30" i="14"/>
  <c r="J30" i="14"/>
  <c r="G30" i="14"/>
  <c r="D30" i="14"/>
  <c r="EL29" i="14"/>
  <c r="EK29" i="14"/>
  <c r="EI29" i="14"/>
  <c r="EG29" i="14"/>
  <c r="DW29" i="14"/>
  <c r="DT29" i="14"/>
  <c r="DQ29" i="14"/>
  <c r="EM29" i="14" s="1"/>
  <c r="EN29" i="14" s="1"/>
  <c r="DN29" i="14"/>
  <c r="DK29" i="14"/>
  <c r="DH29" i="14"/>
  <c r="DE29" i="14"/>
  <c r="DB29" i="14"/>
  <c r="CY29" i="14"/>
  <c r="CV29" i="14"/>
  <c r="CS29" i="14"/>
  <c r="CP29" i="14"/>
  <c r="CM29" i="14"/>
  <c r="CJ29" i="14"/>
  <c r="CG29" i="14"/>
  <c r="CD29" i="14"/>
  <c r="CA29" i="14"/>
  <c r="BX29" i="14"/>
  <c r="BU29" i="14"/>
  <c r="BR29" i="14"/>
  <c r="BO29" i="14"/>
  <c r="BL29" i="14"/>
  <c r="BI29" i="14"/>
  <c r="BF29" i="14"/>
  <c r="BC29" i="14"/>
  <c r="AZ29" i="14"/>
  <c r="AW29" i="14"/>
  <c r="AT29" i="14"/>
  <c r="AQ29" i="14"/>
  <c r="AN29" i="14"/>
  <c r="AK29" i="14"/>
  <c r="AI29" i="14"/>
  <c r="EB29" i="14" s="1"/>
  <c r="AB29" i="14"/>
  <c r="EH29" i="14" s="1"/>
  <c r="Y29" i="14"/>
  <c r="V29" i="14"/>
  <c r="S29" i="14"/>
  <c r="P29" i="14"/>
  <c r="M29" i="14"/>
  <c r="J29" i="14"/>
  <c r="G29" i="14"/>
  <c r="D29" i="14"/>
  <c r="EL28" i="14"/>
  <c r="EG28" i="14"/>
  <c r="EI28" i="14" s="1"/>
  <c r="EB28" i="14"/>
  <c r="DW28" i="14"/>
  <c r="DT28" i="14"/>
  <c r="DQ28" i="14"/>
  <c r="DN28" i="14"/>
  <c r="DK28" i="14"/>
  <c r="DH28" i="14"/>
  <c r="DE28" i="14"/>
  <c r="DB28" i="14"/>
  <c r="CY28" i="14"/>
  <c r="CV28" i="14"/>
  <c r="CS28" i="14"/>
  <c r="CP28" i="14"/>
  <c r="CM28" i="14"/>
  <c r="CJ28" i="14"/>
  <c r="CG28" i="14"/>
  <c r="CD28" i="14"/>
  <c r="CA28" i="14"/>
  <c r="BX28" i="14"/>
  <c r="BU28" i="14"/>
  <c r="BR28" i="14"/>
  <c r="BO28" i="14"/>
  <c r="BL28" i="14"/>
  <c r="BI28" i="14"/>
  <c r="BF28" i="14"/>
  <c r="BC28" i="14"/>
  <c r="AZ28" i="14"/>
  <c r="AW28" i="14"/>
  <c r="AT28" i="14"/>
  <c r="AQ28" i="14"/>
  <c r="AN28" i="14"/>
  <c r="AI28" i="14"/>
  <c r="AB28" i="14"/>
  <c r="Y28" i="14"/>
  <c r="EH28" i="14" s="1"/>
  <c r="V28" i="14"/>
  <c r="S28" i="14"/>
  <c r="P28" i="14"/>
  <c r="M28" i="14"/>
  <c r="J28" i="14"/>
  <c r="G28" i="14"/>
  <c r="D28" i="14"/>
  <c r="EL27" i="14"/>
  <c r="EK27" i="14"/>
  <c r="EG27" i="14"/>
  <c r="EI27" i="14" s="1"/>
  <c r="DW27" i="14"/>
  <c r="DT27" i="14"/>
  <c r="DQ27" i="14"/>
  <c r="DN27" i="14"/>
  <c r="DK27" i="14"/>
  <c r="DH27" i="14"/>
  <c r="DE27" i="14"/>
  <c r="DB27" i="14"/>
  <c r="CY27" i="14"/>
  <c r="CV27" i="14"/>
  <c r="CS27" i="14"/>
  <c r="CP27" i="14"/>
  <c r="CM27" i="14"/>
  <c r="CJ27" i="14"/>
  <c r="CG27" i="14"/>
  <c r="CD27" i="14"/>
  <c r="CA27" i="14"/>
  <c r="BX27" i="14"/>
  <c r="BU27" i="14"/>
  <c r="BR27" i="14"/>
  <c r="BO27" i="14"/>
  <c r="BL27" i="14"/>
  <c r="BI27" i="14"/>
  <c r="BF27" i="14"/>
  <c r="BC27" i="14"/>
  <c r="AZ27" i="14"/>
  <c r="AW27" i="14"/>
  <c r="AT27" i="14"/>
  <c r="AQ27" i="14"/>
  <c r="AN27" i="14"/>
  <c r="AI27" i="14"/>
  <c r="AK27" i="14" s="1"/>
  <c r="AB27" i="14"/>
  <c r="Y27" i="14"/>
  <c r="V27" i="14"/>
  <c r="EH27" i="14" s="1"/>
  <c r="S27" i="14"/>
  <c r="P27" i="14"/>
  <c r="M27" i="14"/>
  <c r="J27" i="14"/>
  <c r="G27" i="14"/>
  <c r="D27" i="14"/>
  <c r="ED27" i="14" s="1"/>
  <c r="EL26" i="14"/>
  <c r="EK26" i="14"/>
  <c r="EI26" i="14"/>
  <c r="EG26" i="14"/>
  <c r="DW26" i="14"/>
  <c r="DT26" i="14"/>
  <c r="DQ26" i="14"/>
  <c r="DN26" i="14"/>
  <c r="DK26" i="14"/>
  <c r="DH26" i="14"/>
  <c r="DE26" i="14"/>
  <c r="DB26" i="14"/>
  <c r="CY26" i="14"/>
  <c r="CV26" i="14"/>
  <c r="CS26" i="14"/>
  <c r="CP26" i="14"/>
  <c r="CM26" i="14"/>
  <c r="CJ26" i="14"/>
  <c r="CG26" i="14"/>
  <c r="CD26" i="14"/>
  <c r="CA26" i="14"/>
  <c r="BX26" i="14"/>
  <c r="BU26" i="14"/>
  <c r="BR26" i="14"/>
  <c r="BO26" i="14"/>
  <c r="BL26" i="14"/>
  <c r="BI26" i="14"/>
  <c r="BF26" i="14"/>
  <c r="BC26" i="14"/>
  <c r="AZ26" i="14"/>
  <c r="AW26" i="14"/>
  <c r="AT26" i="14"/>
  <c r="AQ26" i="14"/>
  <c r="AN26" i="14"/>
  <c r="AI26" i="14"/>
  <c r="AK26" i="14" s="1"/>
  <c r="AB26" i="14"/>
  <c r="Y26" i="14"/>
  <c r="V26" i="14"/>
  <c r="S26" i="14"/>
  <c r="EH26" i="14" s="1"/>
  <c r="P26" i="14"/>
  <c r="M26" i="14"/>
  <c r="J26" i="14"/>
  <c r="G26" i="14"/>
  <c r="ED26" i="14" s="1"/>
  <c r="D26" i="14"/>
  <c r="EL25" i="14"/>
  <c r="EK25" i="14"/>
  <c r="EI25" i="14"/>
  <c r="EG25" i="14"/>
  <c r="DW25" i="14"/>
  <c r="DT25" i="14"/>
  <c r="EM25" i="14" s="1"/>
  <c r="EN25" i="14" s="1"/>
  <c r="DQ25" i="14"/>
  <c r="DN25" i="14"/>
  <c r="DK25" i="14"/>
  <c r="DH25" i="14"/>
  <c r="DE25" i="14"/>
  <c r="DB25" i="14"/>
  <c r="CY25" i="14"/>
  <c r="CV25" i="14"/>
  <c r="CS25" i="14"/>
  <c r="CP25" i="14"/>
  <c r="CM25" i="14"/>
  <c r="CJ25" i="14"/>
  <c r="CG25" i="14"/>
  <c r="CD25" i="14"/>
  <c r="CA25" i="14"/>
  <c r="BX25" i="14"/>
  <c r="BU25" i="14"/>
  <c r="BR25" i="14"/>
  <c r="BO25" i="14"/>
  <c r="BL25" i="14"/>
  <c r="BI25" i="14"/>
  <c r="BF25" i="14"/>
  <c r="BC25" i="14"/>
  <c r="AZ25" i="14"/>
  <c r="AW25" i="14"/>
  <c r="AT25" i="14"/>
  <c r="AQ25" i="14"/>
  <c r="AN25" i="14"/>
  <c r="AK25" i="14"/>
  <c r="AI25" i="14"/>
  <c r="EB25" i="14" s="1"/>
  <c r="AB25" i="14"/>
  <c r="Y25" i="14"/>
  <c r="V25" i="14"/>
  <c r="S25" i="14"/>
  <c r="EH25" i="14" s="1"/>
  <c r="P25" i="14"/>
  <c r="M25" i="14"/>
  <c r="J25" i="14"/>
  <c r="G25" i="14"/>
  <c r="D25" i="14"/>
  <c r="ED25" i="14" s="1"/>
  <c r="EL24" i="14"/>
  <c r="EH24" i="14"/>
  <c r="EG24" i="14"/>
  <c r="EI24" i="14" s="1"/>
  <c r="DW24" i="14"/>
  <c r="DT24" i="14"/>
  <c r="DQ24" i="14"/>
  <c r="DN24" i="14"/>
  <c r="DK24" i="14"/>
  <c r="DH24" i="14"/>
  <c r="DE24" i="14"/>
  <c r="DB24" i="14"/>
  <c r="CY24" i="14"/>
  <c r="CV24" i="14"/>
  <c r="CS24" i="14"/>
  <c r="CP24" i="14"/>
  <c r="CM24" i="14"/>
  <c r="CJ24" i="14"/>
  <c r="CG24" i="14"/>
  <c r="CD24" i="14"/>
  <c r="CA24" i="14"/>
  <c r="BX24" i="14"/>
  <c r="BU24" i="14"/>
  <c r="BR24" i="14"/>
  <c r="BO24" i="14"/>
  <c r="BL24" i="14"/>
  <c r="BI24" i="14"/>
  <c r="BF24" i="14"/>
  <c r="BC24" i="14"/>
  <c r="AZ24" i="14"/>
  <c r="AW24" i="14"/>
  <c r="AT24" i="14"/>
  <c r="AQ24" i="14"/>
  <c r="AN24" i="14"/>
  <c r="AI24" i="14"/>
  <c r="EK24" i="14" s="1"/>
  <c r="AB24" i="14"/>
  <c r="Y24" i="14"/>
  <c r="V24" i="14"/>
  <c r="S24" i="14"/>
  <c r="P24" i="14"/>
  <c r="M24" i="14"/>
  <c r="J24" i="14"/>
  <c r="G24" i="14"/>
  <c r="D24" i="14"/>
  <c r="EL23" i="14"/>
  <c r="EG23" i="14"/>
  <c r="EI23" i="14" s="1"/>
  <c r="EB23" i="14"/>
  <c r="DW23" i="14"/>
  <c r="DT23" i="14"/>
  <c r="DQ23" i="14"/>
  <c r="DN23" i="14"/>
  <c r="DK23" i="14"/>
  <c r="DH23" i="14"/>
  <c r="DE23" i="14"/>
  <c r="DB23" i="14"/>
  <c r="CY23" i="14"/>
  <c r="CV23" i="14"/>
  <c r="CS23" i="14"/>
  <c r="CP23" i="14"/>
  <c r="CM23" i="14"/>
  <c r="CJ23" i="14"/>
  <c r="CG23" i="14"/>
  <c r="CD23" i="14"/>
  <c r="CA23" i="14"/>
  <c r="BX23" i="14"/>
  <c r="BU23" i="14"/>
  <c r="BR23" i="14"/>
  <c r="BO23" i="14"/>
  <c r="BL23" i="14"/>
  <c r="BI23" i="14"/>
  <c r="BF23" i="14"/>
  <c r="BC23" i="14"/>
  <c r="AZ23" i="14"/>
  <c r="AW23" i="14"/>
  <c r="AT23" i="14"/>
  <c r="AQ23" i="14"/>
  <c r="AN23" i="14"/>
  <c r="AI23" i="14"/>
  <c r="AK23" i="14" s="1"/>
  <c r="AB23" i="14"/>
  <c r="Y23" i="14"/>
  <c r="V23" i="14"/>
  <c r="S23" i="14"/>
  <c r="P23" i="14"/>
  <c r="M23" i="14"/>
  <c r="J23" i="14"/>
  <c r="G23" i="14"/>
  <c r="D23" i="14"/>
  <c r="EL22" i="14"/>
  <c r="EK22" i="14"/>
  <c r="EI22" i="14"/>
  <c r="EG22" i="14"/>
  <c r="DW22" i="14"/>
  <c r="DT22" i="14"/>
  <c r="DQ22" i="14"/>
  <c r="DN22" i="14"/>
  <c r="DK22" i="14"/>
  <c r="DH22" i="14"/>
  <c r="DE22" i="14"/>
  <c r="DB22" i="14"/>
  <c r="CY22" i="14"/>
  <c r="CV22" i="14"/>
  <c r="CS22" i="14"/>
  <c r="CP22" i="14"/>
  <c r="CM22" i="14"/>
  <c r="CJ22" i="14"/>
  <c r="CG22" i="14"/>
  <c r="CD22" i="14"/>
  <c r="CA22" i="14"/>
  <c r="BX22" i="14"/>
  <c r="BU22" i="14"/>
  <c r="BR22" i="14"/>
  <c r="BO22" i="14"/>
  <c r="BL22" i="14"/>
  <c r="BI22" i="14"/>
  <c r="BF22" i="14"/>
  <c r="BC22" i="14"/>
  <c r="AZ22" i="14"/>
  <c r="AW22" i="14"/>
  <c r="AT22" i="14"/>
  <c r="AQ22" i="14"/>
  <c r="AN22" i="14"/>
  <c r="AI22" i="14"/>
  <c r="AK22" i="14" s="1"/>
  <c r="AB22" i="14"/>
  <c r="Y22" i="14"/>
  <c r="V22" i="14"/>
  <c r="S22" i="14"/>
  <c r="EH22" i="14" s="1"/>
  <c r="P22" i="14"/>
  <c r="M22" i="14"/>
  <c r="J22" i="14"/>
  <c r="G22" i="14"/>
  <c r="ED22" i="14" s="1"/>
  <c r="D22" i="14"/>
  <c r="EL21" i="14"/>
  <c r="EK21" i="14"/>
  <c r="EI21" i="14"/>
  <c r="EG21" i="14"/>
  <c r="DW21" i="14"/>
  <c r="DT21" i="14"/>
  <c r="EM21" i="14" s="1"/>
  <c r="EN21" i="14" s="1"/>
  <c r="DQ21" i="14"/>
  <c r="DN21" i="14"/>
  <c r="DK21" i="14"/>
  <c r="DH21" i="14"/>
  <c r="DE21" i="14"/>
  <c r="DB21" i="14"/>
  <c r="CY21" i="14"/>
  <c r="CV21" i="14"/>
  <c r="CS21" i="14"/>
  <c r="CP21" i="14"/>
  <c r="CM21" i="14"/>
  <c r="CJ21" i="14"/>
  <c r="CG21" i="14"/>
  <c r="CD21" i="14"/>
  <c r="CA21" i="14"/>
  <c r="BX21" i="14"/>
  <c r="BU21" i="14"/>
  <c r="BR21" i="14"/>
  <c r="BO21" i="14"/>
  <c r="BL21" i="14"/>
  <c r="BI21" i="14"/>
  <c r="BF21" i="14"/>
  <c r="BC21" i="14"/>
  <c r="AZ21" i="14"/>
  <c r="AW21" i="14"/>
  <c r="AT21" i="14"/>
  <c r="AQ21" i="14"/>
  <c r="AN21" i="14"/>
  <c r="AK21" i="14"/>
  <c r="AI21" i="14"/>
  <c r="EB21" i="14" s="1"/>
  <c r="AB21" i="14"/>
  <c r="Y21" i="14"/>
  <c r="V21" i="14"/>
  <c r="S21" i="14"/>
  <c r="EH21" i="14" s="1"/>
  <c r="P21" i="14"/>
  <c r="M21" i="14"/>
  <c r="J21" i="14"/>
  <c r="G21" i="14"/>
  <c r="D21" i="14"/>
  <c r="ED21" i="14" s="1"/>
  <c r="EL20" i="14"/>
  <c r="EH20" i="14"/>
  <c r="EG20" i="14"/>
  <c r="EI20" i="14" s="1"/>
  <c r="DW20" i="14"/>
  <c r="DT20" i="14"/>
  <c r="DQ20" i="14"/>
  <c r="DN20" i="14"/>
  <c r="DK20" i="14"/>
  <c r="DH20" i="14"/>
  <c r="DE20" i="14"/>
  <c r="DB20" i="14"/>
  <c r="CY20" i="14"/>
  <c r="CV20" i="14"/>
  <c r="CS20" i="14"/>
  <c r="CP20" i="14"/>
  <c r="CM20" i="14"/>
  <c r="CJ20" i="14"/>
  <c r="CG20" i="14"/>
  <c r="CD20" i="14"/>
  <c r="CA20" i="14"/>
  <c r="BX20" i="14"/>
  <c r="BU20" i="14"/>
  <c r="BR20" i="14"/>
  <c r="BO20" i="14"/>
  <c r="BL20" i="14"/>
  <c r="BI20" i="14"/>
  <c r="BF20" i="14"/>
  <c r="BC20" i="14"/>
  <c r="AZ20" i="14"/>
  <c r="AW20" i="14"/>
  <c r="AT20" i="14"/>
  <c r="AQ20" i="14"/>
  <c r="AN20" i="14"/>
  <c r="AI20" i="14"/>
  <c r="EK20" i="14" s="1"/>
  <c r="AB20" i="14"/>
  <c r="Y20" i="14"/>
  <c r="V20" i="14"/>
  <c r="S20" i="14"/>
  <c r="P20" i="14"/>
  <c r="M20" i="14"/>
  <c r="J20" i="14"/>
  <c r="G20" i="14"/>
  <c r="D20" i="14"/>
  <c r="EL19" i="14"/>
  <c r="EK19" i="14"/>
  <c r="EG19" i="14"/>
  <c r="EI19" i="14" s="1"/>
  <c r="EB19" i="14"/>
  <c r="DW19" i="14"/>
  <c r="DT19" i="14"/>
  <c r="DQ19" i="14"/>
  <c r="DN19" i="14"/>
  <c r="DK19" i="14"/>
  <c r="DH19" i="14"/>
  <c r="DE19" i="14"/>
  <c r="DB19" i="14"/>
  <c r="CY19" i="14"/>
  <c r="CV19" i="14"/>
  <c r="CS19" i="14"/>
  <c r="CP19" i="14"/>
  <c r="CM19" i="14"/>
  <c r="CJ19" i="14"/>
  <c r="CG19" i="14"/>
  <c r="CD19" i="14"/>
  <c r="CA19" i="14"/>
  <c r="BX19" i="14"/>
  <c r="BU19" i="14"/>
  <c r="BR19" i="14"/>
  <c r="BO19" i="14"/>
  <c r="BL19" i="14"/>
  <c r="BI19" i="14"/>
  <c r="BF19" i="14"/>
  <c r="BC19" i="14"/>
  <c r="AZ19" i="14"/>
  <c r="AW19" i="14"/>
  <c r="AT19" i="14"/>
  <c r="AQ19" i="14"/>
  <c r="AN19" i="14"/>
  <c r="AI19" i="14"/>
  <c r="AK19" i="14" s="1"/>
  <c r="AB19" i="14"/>
  <c r="Y19" i="14"/>
  <c r="V19" i="14"/>
  <c r="EH19" i="14" s="1"/>
  <c r="S19" i="14"/>
  <c r="P19" i="14"/>
  <c r="M19" i="14"/>
  <c r="J19" i="14"/>
  <c r="G19" i="14"/>
  <c r="D19" i="14"/>
  <c r="EL18" i="14"/>
  <c r="EK18" i="14"/>
  <c r="EI18" i="14"/>
  <c r="EG18" i="14"/>
  <c r="DW18" i="14"/>
  <c r="DT18" i="14"/>
  <c r="DQ18" i="14"/>
  <c r="DN18" i="14"/>
  <c r="DK18" i="14"/>
  <c r="DH18" i="14"/>
  <c r="DE18" i="14"/>
  <c r="DB18" i="14"/>
  <c r="CY18" i="14"/>
  <c r="CV18" i="14"/>
  <c r="CS18" i="14"/>
  <c r="CP18" i="14"/>
  <c r="CM18" i="14"/>
  <c r="CJ18" i="14"/>
  <c r="CG18" i="14"/>
  <c r="CD18" i="14"/>
  <c r="CA18" i="14"/>
  <c r="BX18" i="14"/>
  <c r="BU18" i="14"/>
  <c r="BR18" i="14"/>
  <c r="BO18" i="14"/>
  <c r="BL18" i="14"/>
  <c r="BI18" i="14"/>
  <c r="BF18" i="14"/>
  <c r="BC18" i="14"/>
  <c r="AZ18" i="14"/>
  <c r="AW18" i="14"/>
  <c r="AT18" i="14"/>
  <c r="AQ18" i="14"/>
  <c r="AN18" i="14"/>
  <c r="AI18" i="14"/>
  <c r="AK18" i="14" s="1"/>
  <c r="AB18" i="14"/>
  <c r="Y18" i="14"/>
  <c r="V18" i="14"/>
  <c r="S18" i="14"/>
  <c r="EH18" i="14" s="1"/>
  <c r="P18" i="14"/>
  <c r="M18" i="14"/>
  <c r="J18" i="14"/>
  <c r="G18" i="14"/>
  <c r="ED18" i="14" s="1"/>
  <c r="D18" i="14"/>
  <c r="EL17" i="14"/>
  <c r="EK17" i="14"/>
  <c r="EI17" i="14"/>
  <c r="EG17" i="14"/>
  <c r="DW17" i="14"/>
  <c r="DT17" i="14"/>
  <c r="EM17" i="14" s="1"/>
  <c r="EN17" i="14" s="1"/>
  <c r="DQ17" i="14"/>
  <c r="DN17" i="14"/>
  <c r="DK17" i="14"/>
  <c r="DH17" i="14"/>
  <c r="DE17" i="14"/>
  <c r="DB17" i="14"/>
  <c r="CY17" i="14"/>
  <c r="CV17" i="14"/>
  <c r="CS17" i="14"/>
  <c r="CP17" i="14"/>
  <c r="CM17" i="14"/>
  <c r="CJ17" i="14"/>
  <c r="CG17" i="14"/>
  <c r="CD17" i="14"/>
  <c r="CA17" i="14"/>
  <c r="BX17" i="14"/>
  <c r="BU17" i="14"/>
  <c r="BR17" i="14"/>
  <c r="BO17" i="14"/>
  <c r="BL17" i="14"/>
  <c r="BI17" i="14"/>
  <c r="BF17" i="14"/>
  <c r="BC17" i="14"/>
  <c r="AZ17" i="14"/>
  <c r="AW17" i="14"/>
  <c r="AT17" i="14"/>
  <c r="AQ17" i="14"/>
  <c r="AN17" i="14"/>
  <c r="AK17" i="14"/>
  <c r="AI17" i="14"/>
  <c r="EB17" i="14" s="1"/>
  <c r="AB17" i="14"/>
  <c r="Y17" i="14"/>
  <c r="V17" i="14"/>
  <c r="S17" i="14"/>
  <c r="EH17" i="14" s="1"/>
  <c r="P17" i="14"/>
  <c r="M17" i="14"/>
  <c r="J17" i="14"/>
  <c r="G17" i="14"/>
  <c r="D17" i="14"/>
  <c r="ED17" i="14" s="1"/>
  <c r="EL16" i="14"/>
  <c r="EG16" i="14"/>
  <c r="EI16" i="14" s="1"/>
  <c r="DW16" i="14"/>
  <c r="DT16" i="14"/>
  <c r="DQ16" i="14"/>
  <c r="EM16" i="14" s="1"/>
  <c r="DN16" i="14"/>
  <c r="DK16" i="14"/>
  <c r="DH16" i="14"/>
  <c r="DE16" i="14"/>
  <c r="DB16" i="14"/>
  <c r="CY16" i="14"/>
  <c r="CV16" i="14"/>
  <c r="CS16" i="14"/>
  <c r="CP16" i="14"/>
  <c r="CM16" i="14"/>
  <c r="CJ16" i="14"/>
  <c r="CG16" i="14"/>
  <c r="CD16" i="14"/>
  <c r="CA16" i="14"/>
  <c r="BX16" i="14"/>
  <c r="BU16" i="14"/>
  <c r="BR16" i="14"/>
  <c r="BO16" i="14"/>
  <c r="BL16" i="14"/>
  <c r="BI16" i="14"/>
  <c r="BF16" i="14"/>
  <c r="BC16" i="14"/>
  <c r="AZ16" i="14"/>
  <c r="AW16" i="14"/>
  <c r="AT16" i="14"/>
  <c r="AQ16" i="14"/>
  <c r="AN16" i="14"/>
  <c r="AK16" i="14"/>
  <c r="AI16" i="14"/>
  <c r="EK16" i="14" s="1"/>
  <c r="AB16" i="14"/>
  <c r="EH16" i="14" s="1"/>
  <c r="Y16" i="14"/>
  <c r="V16" i="14"/>
  <c r="S16" i="14"/>
  <c r="P16" i="14"/>
  <c r="M16" i="14"/>
  <c r="J16" i="14"/>
  <c r="G16" i="14"/>
  <c r="D16" i="14"/>
  <c r="ED16" i="14" s="1"/>
  <c r="EL15" i="14"/>
  <c r="EK15" i="14"/>
  <c r="EG15" i="14"/>
  <c r="EI15" i="14" s="1"/>
  <c r="EB15" i="14"/>
  <c r="DW15" i="14"/>
  <c r="DT15" i="14"/>
  <c r="DQ15" i="14"/>
  <c r="DN15" i="14"/>
  <c r="DK15" i="14"/>
  <c r="DH15" i="14"/>
  <c r="DE15" i="14"/>
  <c r="DB15" i="14"/>
  <c r="CY15" i="14"/>
  <c r="CV15" i="14"/>
  <c r="CS15" i="14"/>
  <c r="CP15" i="14"/>
  <c r="CM15" i="14"/>
  <c r="CJ15" i="14"/>
  <c r="CG15" i="14"/>
  <c r="CD15" i="14"/>
  <c r="CA15" i="14"/>
  <c r="BX15" i="14"/>
  <c r="BU15" i="14"/>
  <c r="BR15" i="14"/>
  <c r="BO15" i="14"/>
  <c r="BL15" i="14"/>
  <c r="BI15" i="14"/>
  <c r="BF15" i="14"/>
  <c r="BC15" i="14"/>
  <c r="AZ15" i="14"/>
  <c r="AW15" i="14"/>
  <c r="AT15" i="14"/>
  <c r="AQ15" i="14"/>
  <c r="AN15" i="14"/>
  <c r="AI15" i="14"/>
  <c r="AK15" i="14" s="1"/>
  <c r="AB15" i="14"/>
  <c r="Y15" i="14"/>
  <c r="V15" i="14"/>
  <c r="S15" i="14"/>
  <c r="EH15" i="14" s="1"/>
  <c r="P15" i="14"/>
  <c r="M15" i="14"/>
  <c r="J15" i="14"/>
  <c r="G15" i="14"/>
  <c r="D15" i="14"/>
  <c r="ED15" i="14" s="1"/>
  <c r="EL14" i="14"/>
  <c r="EK14" i="14"/>
  <c r="EI14" i="14"/>
  <c r="EG14" i="14"/>
  <c r="DW14" i="14"/>
  <c r="DT14" i="14"/>
  <c r="DQ14" i="14"/>
  <c r="DN14" i="14"/>
  <c r="DK14" i="14"/>
  <c r="DH14" i="14"/>
  <c r="DE14" i="14"/>
  <c r="DB14" i="14"/>
  <c r="CY14" i="14"/>
  <c r="CV14" i="14"/>
  <c r="CS14" i="14"/>
  <c r="CP14" i="14"/>
  <c r="CM14" i="14"/>
  <c r="CJ14" i="14"/>
  <c r="CG14" i="14"/>
  <c r="CD14" i="14"/>
  <c r="CA14" i="14"/>
  <c r="BX14" i="14"/>
  <c r="BU14" i="14"/>
  <c r="BR14" i="14"/>
  <c r="BO14" i="14"/>
  <c r="BL14" i="14"/>
  <c r="BI14" i="14"/>
  <c r="BF14" i="14"/>
  <c r="BC14" i="14"/>
  <c r="AZ14" i="14"/>
  <c r="AW14" i="14"/>
  <c r="AT14" i="14"/>
  <c r="AQ14" i="14"/>
  <c r="AN14" i="14"/>
  <c r="AK14" i="14"/>
  <c r="AI14" i="14"/>
  <c r="EB14" i="14" s="1"/>
  <c r="EC14" i="14" s="1"/>
  <c r="AB14" i="14"/>
  <c r="Y14" i="14"/>
  <c r="V14" i="14"/>
  <c r="S14" i="14"/>
  <c r="P14" i="14"/>
  <c r="M14" i="14"/>
  <c r="J14" i="14"/>
  <c r="G14" i="14"/>
  <c r="D14" i="14"/>
  <c r="ED14" i="14" s="1"/>
  <c r="EE14" i="14" s="1"/>
  <c r="EL13" i="14"/>
  <c r="EG13" i="14"/>
  <c r="EI13" i="14" s="1"/>
  <c r="DW13" i="14"/>
  <c r="DT13" i="14"/>
  <c r="DQ13" i="14"/>
  <c r="DN13" i="14"/>
  <c r="DK13" i="14"/>
  <c r="DH13" i="14"/>
  <c r="DE13" i="14"/>
  <c r="DB13" i="14"/>
  <c r="CY13" i="14"/>
  <c r="CV13" i="14"/>
  <c r="CS13" i="14"/>
  <c r="CP13" i="14"/>
  <c r="CM13" i="14"/>
  <c r="CJ13" i="14"/>
  <c r="CG13" i="14"/>
  <c r="CD13" i="14"/>
  <c r="CA13" i="14"/>
  <c r="BX13" i="14"/>
  <c r="BU13" i="14"/>
  <c r="BR13" i="14"/>
  <c r="BO13" i="14"/>
  <c r="BL13" i="14"/>
  <c r="BI13" i="14"/>
  <c r="BF13" i="14"/>
  <c r="BC13" i="14"/>
  <c r="AZ13" i="14"/>
  <c r="AW13" i="14"/>
  <c r="AT13" i="14"/>
  <c r="AQ13" i="14"/>
  <c r="AN13" i="14"/>
  <c r="AI13" i="14"/>
  <c r="EK13" i="14" s="1"/>
  <c r="AB13" i="14"/>
  <c r="Y13" i="14"/>
  <c r="EH13" i="14" s="1"/>
  <c r="V13" i="14"/>
  <c r="S13" i="14"/>
  <c r="P13" i="14"/>
  <c r="M13" i="14"/>
  <c r="J13" i="14"/>
  <c r="G13" i="14"/>
  <c r="D13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EL12" i="14"/>
  <c r="EK12" i="14"/>
  <c r="EG12" i="14"/>
  <c r="EI12" i="14" s="1"/>
  <c r="DW12" i="14"/>
  <c r="DT12" i="14"/>
  <c r="DQ12" i="14"/>
  <c r="EM12" i="14" s="1"/>
  <c r="DN12" i="14"/>
  <c r="DK12" i="14"/>
  <c r="DH12" i="14"/>
  <c r="DE12" i="14"/>
  <c r="DB12" i="14"/>
  <c r="CY12" i="14"/>
  <c r="CV12" i="14"/>
  <c r="CS12" i="14"/>
  <c r="CP12" i="14"/>
  <c r="CM12" i="14"/>
  <c r="CM41" i="14" s="1"/>
  <c r="CJ12" i="14"/>
  <c r="CG12" i="14"/>
  <c r="CD12" i="14"/>
  <c r="CA12" i="14"/>
  <c r="BX12" i="14"/>
  <c r="BU12" i="14"/>
  <c r="BR12" i="14"/>
  <c r="BO12" i="14"/>
  <c r="BL12" i="14"/>
  <c r="BI12" i="14"/>
  <c r="BF12" i="14"/>
  <c r="BC12" i="14"/>
  <c r="AZ12" i="14"/>
  <c r="AW12" i="14"/>
  <c r="AT12" i="14"/>
  <c r="AQ12" i="14"/>
  <c r="AQ41" i="14" s="1"/>
  <c r="AN12" i="14"/>
  <c r="AI12" i="14"/>
  <c r="AK12" i="14" s="1"/>
  <c r="AB12" i="14"/>
  <c r="Y12" i="14"/>
  <c r="V12" i="14"/>
  <c r="EH12" i="14" s="1"/>
  <c r="S12" i="14"/>
  <c r="P12" i="14"/>
  <c r="M12" i="14"/>
  <c r="J12" i="14"/>
  <c r="G12" i="14"/>
  <c r="D12" i="14"/>
  <c r="A12" i="14"/>
  <c r="EL11" i="14"/>
  <c r="EK11" i="14"/>
  <c r="EI11" i="14"/>
  <c r="EG11" i="14"/>
  <c r="EI5" i="14" s="1"/>
  <c r="DW11" i="14"/>
  <c r="DW41" i="14" s="1"/>
  <c r="DT11" i="14"/>
  <c r="DT41" i="14" s="1"/>
  <c r="DQ11" i="14"/>
  <c r="DN11" i="14"/>
  <c r="DK11" i="14"/>
  <c r="DK41" i="14" s="1"/>
  <c r="DH11" i="14"/>
  <c r="DH41" i="14" s="1"/>
  <c r="DE11" i="14"/>
  <c r="DB11" i="14"/>
  <c r="CY11" i="14"/>
  <c r="CY41" i="14" s="1"/>
  <c r="CV11" i="14"/>
  <c r="CV41" i="14" s="1"/>
  <c r="CS11" i="14"/>
  <c r="CP11" i="14"/>
  <c r="CM11" i="14"/>
  <c r="CJ11" i="14"/>
  <c r="CJ41" i="14" s="1"/>
  <c r="CG11" i="14"/>
  <c r="CD11" i="14"/>
  <c r="CA11" i="14"/>
  <c r="CA41" i="14" s="1"/>
  <c r="BX11" i="14"/>
  <c r="BX41" i="14" s="1"/>
  <c r="BU11" i="14"/>
  <c r="BR11" i="14"/>
  <c r="BO11" i="14"/>
  <c r="BO41" i="14" s="1"/>
  <c r="BL11" i="14"/>
  <c r="BL41" i="14" s="1"/>
  <c r="BI11" i="14"/>
  <c r="BF11" i="14"/>
  <c r="BC11" i="14"/>
  <c r="BC41" i="14" s="1"/>
  <c r="AZ11" i="14"/>
  <c r="AZ41" i="14" s="1"/>
  <c r="AW11" i="14"/>
  <c r="AT11" i="14"/>
  <c r="AQ11" i="14"/>
  <c r="AN11" i="14"/>
  <c r="AN41" i="14" s="1"/>
  <c r="AI11" i="14"/>
  <c r="AK11" i="14" s="1"/>
  <c r="AE41" i="14"/>
  <c r="AB11" i="14"/>
  <c r="Y11" i="14"/>
  <c r="V11" i="14"/>
  <c r="S11" i="14"/>
  <c r="EH11" i="14" s="1"/>
  <c r="P11" i="14"/>
  <c r="M11" i="14"/>
  <c r="J11" i="14"/>
  <c r="G11" i="14"/>
  <c r="G41" i="14" s="1"/>
  <c r="D11" i="14"/>
  <c r="EI2" i="14"/>
  <c r="EE2" i="14"/>
  <c r="EQ2" i="14" s="1"/>
  <c r="G4" i="14" s="1"/>
  <c r="EL41" i="13"/>
  <c r="EG41" i="13"/>
  <c r="EI41" i="13" s="1"/>
  <c r="EB41" i="13"/>
  <c r="DW41" i="13"/>
  <c r="DT41" i="13"/>
  <c r="DQ41" i="13"/>
  <c r="DN41" i="13"/>
  <c r="DK41" i="13"/>
  <c r="DH41" i="13"/>
  <c r="DE41" i="13"/>
  <c r="DB41" i="13"/>
  <c r="CY41" i="13"/>
  <c r="CV41" i="13"/>
  <c r="CS41" i="13"/>
  <c r="CP41" i="13"/>
  <c r="CM41" i="13"/>
  <c r="CJ41" i="13"/>
  <c r="CG41" i="13"/>
  <c r="CD41" i="13"/>
  <c r="CA41" i="13"/>
  <c r="BX41" i="13"/>
  <c r="BU41" i="13"/>
  <c r="BR41" i="13"/>
  <c r="BO41" i="13"/>
  <c r="BL41" i="13"/>
  <c r="BI41" i="13"/>
  <c r="BF41" i="13"/>
  <c r="BC41" i="13"/>
  <c r="AZ41" i="13"/>
  <c r="AW41" i="13"/>
  <c r="AT41" i="13"/>
  <c r="AO41" i="13"/>
  <c r="AL41" i="13"/>
  <c r="AN41" i="13" s="1"/>
  <c r="AI41" i="13"/>
  <c r="AK41" i="13" s="1"/>
  <c r="AB41" i="13"/>
  <c r="Y41" i="13"/>
  <c r="V41" i="13"/>
  <c r="S41" i="13"/>
  <c r="EH41" i="13" s="1"/>
  <c r="P41" i="13"/>
  <c r="M41" i="13"/>
  <c r="J41" i="13"/>
  <c r="G41" i="13"/>
  <c r="D41" i="13"/>
  <c r="EL40" i="13"/>
  <c r="EI40" i="13"/>
  <c r="EG40" i="13"/>
  <c r="DW40" i="13"/>
  <c r="DT40" i="13"/>
  <c r="DQ40" i="13"/>
  <c r="DN40" i="13"/>
  <c r="DK40" i="13"/>
  <c r="DH40" i="13"/>
  <c r="DE40" i="13"/>
  <c r="DB40" i="13"/>
  <c r="CY40" i="13"/>
  <c r="CV40" i="13"/>
  <c r="CS40" i="13"/>
  <c r="CP40" i="13"/>
  <c r="CM40" i="13"/>
  <c r="CJ40" i="13"/>
  <c r="CG40" i="13"/>
  <c r="CD40" i="13"/>
  <c r="CA40" i="13"/>
  <c r="BX40" i="13"/>
  <c r="BU40" i="13"/>
  <c r="BR40" i="13"/>
  <c r="BO40" i="13"/>
  <c r="BL40" i="13"/>
  <c r="BI40" i="13"/>
  <c r="BF40" i="13"/>
  <c r="BC40" i="13"/>
  <c r="AZ40" i="13"/>
  <c r="AW40" i="13"/>
  <c r="AT40" i="13"/>
  <c r="AO40" i="13"/>
  <c r="AN40" i="13"/>
  <c r="AL40" i="13"/>
  <c r="AK40" i="13"/>
  <c r="AB40" i="13"/>
  <c r="Y40" i="13"/>
  <c r="V40" i="13"/>
  <c r="EH40" i="13" s="1"/>
  <c r="S40" i="13"/>
  <c r="P40" i="13"/>
  <c r="M40" i="13"/>
  <c r="J40" i="13"/>
  <c r="G40" i="13"/>
  <c r="D40" i="13"/>
  <c r="EL39" i="13"/>
  <c r="EI39" i="13"/>
  <c r="EH39" i="13"/>
  <c r="EG39" i="13"/>
  <c r="DW39" i="13"/>
  <c r="DT39" i="13"/>
  <c r="DQ39" i="13"/>
  <c r="DN39" i="13"/>
  <c r="DK39" i="13"/>
  <c r="DH39" i="13"/>
  <c r="DE39" i="13"/>
  <c r="DB39" i="13"/>
  <c r="CY39" i="13"/>
  <c r="CV39" i="13"/>
  <c r="CS39" i="13"/>
  <c r="CP39" i="13"/>
  <c r="CM39" i="13"/>
  <c r="CJ39" i="13"/>
  <c r="CG39" i="13"/>
  <c r="CD39" i="13"/>
  <c r="CA39" i="13"/>
  <c r="BX39" i="13"/>
  <c r="BU39" i="13"/>
  <c r="BR39" i="13"/>
  <c r="BO39" i="13"/>
  <c r="BL39" i="13"/>
  <c r="BI39" i="13"/>
  <c r="BF39" i="13"/>
  <c r="BC39" i="13"/>
  <c r="AZ39" i="13"/>
  <c r="AW39" i="13"/>
  <c r="AT39" i="13"/>
  <c r="AO39" i="13"/>
  <c r="AN39" i="13"/>
  <c r="AL39" i="13"/>
  <c r="AI39" i="13"/>
  <c r="AK39" i="13" s="1"/>
  <c r="AB39" i="13"/>
  <c r="Y39" i="13"/>
  <c r="V39" i="13"/>
  <c r="S39" i="13"/>
  <c r="P39" i="13"/>
  <c r="M39" i="13"/>
  <c r="J39" i="13"/>
  <c r="G39" i="13"/>
  <c r="D39" i="13"/>
  <c r="EL38" i="13"/>
  <c r="EI38" i="13"/>
  <c r="EG38" i="13"/>
  <c r="DW38" i="13"/>
  <c r="DT38" i="13"/>
  <c r="DQ38" i="13"/>
  <c r="DN38" i="13"/>
  <c r="DK38" i="13"/>
  <c r="DH38" i="13"/>
  <c r="DE38" i="13"/>
  <c r="DB38" i="13"/>
  <c r="CY38" i="13"/>
  <c r="CV38" i="13"/>
  <c r="CS38" i="13"/>
  <c r="CP38" i="13"/>
  <c r="CM38" i="13"/>
  <c r="CJ38" i="13"/>
  <c r="CG38" i="13"/>
  <c r="CD38" i="13"/>
  <c r="CA38" i="13"/>
  <c r="BX38" i="13"/>
  <c r="BU38" i="13"/>
  <c r="BR38" i="13"/>
  <c r="BO38" i="13"/>
  <c r="BL38" i="13"/>
  <c r="BI38" i="13"/>
  <c r="BF38" i="13"/>
  <c r="BC38" i="13"/>
  <c r="AZ38" i="13"/>
  <c r="AW38" i="13"/>
  <c r="AT38" i="13"/>
  <c r="AO38" i="13"/>
  <c r="AN38" i="13"/>
  <c r="AL38" i="13"/>
  <c r="AI38" i="13"/>
  <c r="AK38" i="13" s="1"/>
  <c r="AB38" i="13"/>
  <c r="Y38" i="13"/>
  <c r="V38" i="13"/>
  <c r="S38" i="13"/>
  <c r="P38" i="13"/>
  <c r="M38" i="13"/>
  <c r="J38" i="13"/>
  <c r="G38" i="13"/>
  <c r="D38" i="13"/>
  <c r="EL37" i="13"/>
  <c r="EG37" i="13"/>
  <c r="EI37" i="13" s="1"/>
  <c r="EB37" i="13"/>
  <c r="DW37" i="13"/>
  <c r="DT37" i="13"/>
  <c r="DQ37" i="13"/>
  <c r="DN37" i="13"/>
  <c r="DK37" i="13"/>
  <c r="DH37" i="13"/>
  <c r="DE37" i="13"/>
  <c r="DB37" i="13"/>
  <c r="CY37" i="13"/>
  <c r="CV37" i="13"/>
  <c r="CS37" i="13"/>
  <c r="CP37" i="13"/>
  <c r="CM37" i="13"/>
  <c r="CJ37" i="13"/>
  <c r="CG37" i="13"/>
  <c r="CD37" i="13"/>
  <c r="CA37" i="13"/>
  <c r="BX37" i="13"/>
  <c r="BU37" i="13"/>
  <c r="BR37" i="13"/>
  <c r="BO37" i="13"/>
  <c r="BL37" i="13"/>
  <c r="BI37" i="13"/>
  <c r="BF37" i="13"/>
  <c r="BC37" i="13"/>
  <c r="AZ37" i="13"/>
  <c r="AW37" i="13"/>
  <c r="AT37" i="13"/>
  <c r="AQ37" i="13"/>
  <c r="AO37" i="13"/>
  <c r="AL37" i="13"/>
  <c r="AK37" i="13"/>
  <c r="AI37" i="13"/>
  <c r="AB37" i="13"/>
  <c r="Y37" i="13"/>
  <c r="V37" i="13"/>
  <c r="S37" i="13"/>
  <c r="P37" i="13"/>
  <c r="M37" i="13"/>
  <c r="J37" i="13"/>
  <c r="G37" i="13"/>
  <c r="D37" i="13"/>
  <c r="EL36" i="13"/>
  <c r="EH36" i="13"/>
  <c r="EG36" i="13"/>
  <c r="EI36" i="13" s="1"/>
  <c r="DW36" i="13"/>
  <c r="DT36" i="13"/>
  <c r="DQ36" i="13"/>
  <c r="DN36" i="13"/>
  <c r="DK36" i="13"/>
  <c r="DH36" i="13"/>
  <c r="DE36" i="13"/>
  <c r="DB36" i="13"/>
  <c r="CY36" i="13"/>
  <c r="CV36" i="13"/>
  <c r="CS36" i="13"/>
  <c r="CP36" i="13"/>
  <c r="CM36" i="13"/>
  <c r="CJ36" i="13"/>
  <c r="CG36" i="13"/>
  <c r="CD36" i="13"/>
  <c r="CA36" i="13"/>
  <c r="BX36" i="13"/>
  <c r="BU36" i="13"/>
  <c r="BR36" i="13"/>
  <c r="BO36" i="13"/>
  <c r="BL36" i="13"/>
  <c r="BI36" i="13"/>
  <c r="BF36" i="13"/>
  <c r="BC36" i="13"/>
  <c r="AZ36" i="13"/>
  <c r="AW36" i="13"/>
  <c r="AT36" i="13"/>
  <c r="AQ36" i="13"/>
  <c r="AO36" i="13"/>
  <c r="EK36" i="13" s="1"/>
  <c r="AL36" i="13"/>
  <c r="AN36" i="13" s="1"/>
  <c r="AK36" i="13"/>
  <c r="AI36" i="13"/>
  <c r="AB36" i="13"/>
  <c r="Y36" i="13"/>
  <c r="V36" i="13"/>
  <c r="S36" i="13"/>
  <c r="P36" i="13"/>
  <c r="M36" i="13"/>
  <c r="J36" i="13"/>
  <c r="G36" i="13"/>
  <c r="D36" i="13"/>
  <c r="ED36" i="13" s="1"/>
  <c r="EL35" i="13"/>
  <c r="EI35" i="13"/>
  <c r="EH35" i="13"/>
  <c r="EG35" i="13"/>
  <c r="DW35" i="13"/>
  <c r="DT35" i="13"/>
  <c r="DQ35" i="13"/>
  <c r="DN35" i="13"/>
  <c r="DK35" i="13"/>
  <c r="DH35" i="13"/>
  <c r="DE35" i="13"/>
  <c r="DB35" i="13"/>
  <c r="CY35" i="13"/>
  <c r="CV35" i="13"/>
  <c r="CS35" i="13"/>
  <c r="CP35" i="13"/>
  <c r="CM35" i="13"/>
  <c r="CJ35" i="13"/>
  <c r="CG35" i="13"/>
  <c r="CD35" i="13"/>
  <c r="CA35" i="13"/>
  <c r="BX35" i="13"/>
  <c r="BU35" i="13"/>
  <c r="BR35" i="13"/>
  <c r="BO35" i="13"/>
  <c r="BL35" i="13"/>
  <c r="BI35" i="13"/>
  <c r="BF35" i="13"/>
  <c r="BC35" i="13"/>
  <c r="AZ35" i="13"/>
  <c r="AW35" i="13"/>
  <c r="AT35" i="13"/>
  <c r="AO35" i="13"/>
  <c r="AN35" i="13"/>
  <c r="AL35" i="13"/>
  <c r="AI35" i="13"/>
  <c r="AK35" i="13" s="1"/>
  <c r="AB35" i="13"/>
  <c r="Y35" i="13"/>
  <c r="V35" i="13"/>
  <c r="S35" i="13"/>
  <c r="P35" i="13"/>
  <c r="M35" i="13"/>
  <c r="J35" i="13"/>
  <c r="G35" i="13"/>
  <c r="D35" i="13"/>
  <c r="EL34" i="13"/>
  <c r="EI34" i="13"/>
  <c r="EG34" i="13"/>
  <c r="DW34" i="13"/>
  <c r="DT34" i="13"/>
  <c r="DQ34" i="13"/>
  <c r="DN34" i="13"/>
  <c r="DK34" i="13"/>
  <c r="DH34" i="13"/>
  <c r="DE34" i="13"/>
  <c r="DB34" i="13"/>
  <c r="CY34" i="13"/>
  <c r="CV34" i="13"/>
  <c r="CS34" i="13"/>
  <c r="CP34" i="13"/>
  <c r="CM34" i="13"/>
  <c r="CJ34" i="13"/>
  <c r="CG34" i="13"/>
  <c r="CD34" i="13"/>
  <c r="CA34" i="13"/>
  <c r="BX34" i="13"/>
  <c r="BU34" i="13"/>
  <c r="BR34" i="13"/>
  <c r="BO34" i="13"/>
  <c r="BL34" i="13"/>
  <c r="BI34" i="13"/>
  <c r="BF34" i="13"/>
  <c r="BC34" i="13"/>
  <c r="AZ34" i="13"/>
  <c r="AW34" i="13"/>
  <c r="AT34" i="13"/>
  <c r="AO34" i="13"/>
  <c r="EK34" i="13" s="1"/>
  <c r="AN34" i="13"/>
  <c r="AL34" i="13"/>
  <c r="AI34" i="13"/>
  <c r="AK34" i="13" s="1"/>
  <c r="AB34" i="13"/>
  <c r="Y34" i="13"/>
  <c r="V34" i="13"/>
  <c r="S34" i="13"/>
  <c r="P34" i="13"/>
  <c r="M34" i="13"/>
  <c r="J34" i="13"/>
  <c r="G34" i="13"/>
  <c r="D34" i="13"/>
  <c r="EL33" i="13"/>
  <c r="EG33" i="13"/>
  <c r="EI33" i="13" s="1"/>
  <c r="DW33" i="13"/>
  <c r="DT33" i="13"/>
  <c r="DQ33" i="13"/>
  <c r="DN33" i="13"/>
  <c r="DK33" i="13"/>
  <c r="DH33" i="13"/>
  <c r="DE33" i="13"/>
  <c r="DB33" i="13"/>
  <c r="CY33" i="13"/>
  <c r="CV33" i="13"/>
  <c r="CS33" i="13"/>
  <c r="CP33" i="13"/>
  <c r="CM33" i="13"/>
  <c r="CJ33" i="13"/>
  <c r="CG33" i="13"/>
  <c r="CD33" i="13"/>
  <c r="CA33" i="13"/>
  <c r="BX33" i="13"/>
  <c r="BU33" i="13"/>
  <c r="BR33" i="13"/>
  <c r="BO33" i="13"/>
  <c r="BL33" i="13"/>
  <c r="BI33" i="13"/>
  <c r="BF33" i="13"/>
  <c r="BC33" i="13"/>
  <c r="AZ33" i="13"/>
  <c r="AW33" i="13"/>
  <c r="AT33" i="13"/>
  <c r="AQ33" i="13"/>
  <c r="AO33" i="13"/>
  <c r="AL33" i="13"/>
  <c r="AK33" i="13"/>
  <c r="AI33" i="13"/>
  <c r="AB33" i="13"/>
  <c r="Y33" i="13"/>
  <c r="V33" i="13"/>
  <c r="S33" i="13"/>
  <c r="EH33" i="13" s="1"/>
  <c r="P33" i="13"/>
  <c r="M33" i="13"/>
  <c r="J33" i="13"/>
  <c r="G33" i="13"/>
  <c r="D33" i="13"/>
  <c r="EL32" i="13"/>
  <c r="EH32" i="13"/>
  <c r="EG32" i="13"/>
  <c r="EI32" i="13" s="1"/>
  <c r="EB32" i="13"/>
  <c r="DW32" i="13"/>
  <c r="DT32" i="13"/>
  <c r="DQ32" i="13"/>
  <c r="DN32" i="13"/>
  <c r="DK32" i="13"/>
  <c r="DH32" i="13"/>
  <c r="DE32" i="13"/>
  <c r="DB32" i="13"/>
  <c r="CY32" i="13"/>
  <c r="CV32" i="13"/>
  <c r="CS32" i="13"/>
  <c r="CP32" i="13"/>
  <c r="CM32" i="13"/>
  <c r="CJ32" i="13"/>
  <c r="CG32" i="13"/>
  <c r="CD32" i="13"/>
  <c r="CA32" i="13"/>
  <c r="BX32" i="13"/>
  <c r="BU32" i="13"/>
  <c r="BR32" i="13"/>
  <c r="BO32" i="13"/>
  <c r="BL32" i="13"/>
  <c r="BI32" i="13"/>
  <c r="BF32" i="13"/>
  <c r="BC32" i="13"/>
  <c r="AZ32" i="13"/>
  <c r="AW32" i="13"/>
  <c r="AT32" i="13"/>
  <c r="AQ32" i="13"/>
  <c r="AO32" i="13"/>
  <c r="AL32" i="13"/>
  <c r="AN32" i="13" s="1"/>
  <c r="AK32" i="13"/>
  <c r="AI32" i="13"/>
  <c r="AB32" i="13"/>
  <c r="Y32" i="13"/>
  <c r="V32" i="13"/>
  <c r="S32" i="13"/>
  <c r="P32" i="13"/>
  <c r="M32" i="13"/>
  <c r="J32" i="13"/>
  <c r="G32" i="13"/>
  <c r="D32" i="13"/>
  <c r="ED32" i="13" s="1"/>
  <c r="EL31" i="13"/>
  <c r="EI31" i="13"/>
  <c r="EG31" i="13"/>
  <c r="DW31" i="13"/>
  <c r="DT31" i="13"/>
  <c r="DQ31" i="13"/>
  <c r="DN31" i="13"/>
  <c r="DK31" i="13"/>
  <c r="DH31" i="13"/>
  <c r="DE31" i="13"/>
  <c r="DB31" i="13"/>
  <c r="CY31" i="13"/>
  <c r="CV31" i="13"/>
  <c r="CS31" i="13"/>
  <c r="CP31" i="13"/>
  <c r="CM31" i="13"/>
  <c r="CJ31" i="13"/>
  <c r="CG31" i="13"/>
  <c r="CD31" i="13"/>
  <c r="CA31" i="13"/>
  <c r="BX31" i="13"/>
  <c r="BU31" i="13"/>
  <c r="BR31" i="13"/>
  <c r="BO31" i="13"/>
  <c r="BL31" i="13"/>
  <c r="BI31" i="13"/>
  <c r="BF31" i="13"/>
  <c r="BC31" i="13"/>
  <c r="AZ31" i="13"/>
  <c r="AW31" i="13"/>
  <c r="AT31" i="13"/>
  <c r="AO31" i="13"/>
  <c r="AN31" i="13"/>
  <c r="AL31" i="13"/>
  <c r="AI31" i="13"/>
  <c r="AK31" i="13" s="1"/>
  <c r="AB31" i="13"/>
  <c r="Y31" i="13"/>
  <c r="V31" i="13"/>
  <c r="EH31" i="13" s="1"/>
  <c r="S31" i="13"/>
  <c r="P31" i="13"/>
  <c r="M31" i="13"/>
  <c r="J31" i="13"/>
  <c r="G31" i="13"/>
  <c r="D31" i="13"/>
  <c r="EL30" i="13"/>
  <c r="EI30" i="13"/>
  <c r="EG30" i="13"/>
  <c r="DW30" i="13"/>
  <c r="DT30" i="13"/>
  <c r="DQ30" i="13"/>
  <c r="DN30" i="13"/>
  <c r="DK30" i="13"/>
  <c r="DH30" i="13"/>
  <c r="DE30" i="13"/>
  <c r="DB30" i="13"/>
  <c r="CY30" i="13"/>
  <c r="CV30" i="13"/>
  <c r="CS30" i="13"/>
  <c r="CP30" i="13"/>
  <c r="CM30" i="13"/>
  <c r="CJ30" i="13"/>
  <c r="CG30" i="13"/>
  <c r="CD30" i="13"/>
  <c r="CA30" i="13"/>
  <c r="BX30" i="13"/>
  <c r="BU30" i="13"/>
  <c r="BR30" i="13"/>
  <c r="BO30" i="13"/>
  <c r="BL30" i="13"/>
  <c r="BI30" i="13"/>
  <c r="BF30" i="13"/>
  <c r="BC30" i="13"/>
  <c r="AZ30" i="13"/>
  <c r="AW30" i="13"/>
  <c r="AT30" i="13"/>
  <c r="AQ30" i="13"/>
  <c r="AO30" i="13"/>
  <c r="AL30" i="13"/>
  <c r="AN30" i="13" s="1"/>
  <c r="AK30" i="13"/>
  <c r="AI30" i="13"/>
  <c r="EK30" i="13" s="1"/>
  <c r="AB30" i="13"/>
  <c r="Y30" i="13"/>
  <c r="V30" i="13"/>
  <c r="S30" i="13"/>
  <c r="P30" i="13"/>
  <c r="M30" i="13"/>
  <c r="J30" i="13"/>
  <c r="G30" i="13"/>
  <c r="D30" i="13"/>
  <c r="ED30" i="13" s="1"/>
  <c r="EL29" i="13"/>
  <c r="EG29" i="13"/>
  <c r="EI29" i="13" s="1"/>
  <c r="DW29" i="13"/>
  <c r="DT29" i="13"/>
  <c r="DQ29" i="13"/>
  <c r="DN29" i="13"/>
  <c r="DK29" i="13"/>
  <c r="DH29" i="13"/>
  <c r="DE29" i="13"/>
  <c r="DB29" i="13"/>
  <c r="CY29" i="13"/>
  <c r="CV29" i="13"/>
  <c r="CS29" i="13"/>
  <c r="CP29" i="13"/>
  <c r="CM29" i="13"/>
  <c r="CJ29" i="13"/>
  <c r="CG29" i="13"/>
  <c r="CD29" i="13"/>
  <c r="CA29" i="13"/>
  <c r="BX29" i="13"/>
  <c r="BU29" i="13"/>
  <c r="BR29" i="13"/>
  <c r="BO29" i="13"/>
  <c r="BL29" i="13"/>
  <c r="BI29" i="13"/>
  <c r="BF29" i="13"/>
  <c r="BC29" i="13"/>
  <c r="AZ29" i="13"/>
  <c r="AW29" i="13"/>
  <c r="AT29" i="13"/>
  <c r="AQ29" i="13"/>
  <c r="AO29" i="13"/>
  <c r="AL29" i="13"/>
  <c r="AK29" i="13"/>
  <c r="AI29" i="13"/>
  <c r="AB29" i="13"/>
  <c r="Y29" i="13"/>
  <c r="V29" i="13"/>
  <c r="S29" i="13"/>
  <c r="EH29" i="13" s="1"/>
  <c r="P29" i="13"/>
  <c r="M29" i="13"/>
  <c r="J29" i="13"/>
  <c r="G29" i="13"/>
  <c r="D29" i="13"/>
  <c r="EL28" i="13"/>
  <c r="EG28" i="13"/>
  <c r="EI28" i="13" s="1"/>
  <c r="EB28" i="13"/>
  <c r="DW28" i="13"/>
  <c r="DT28" i="13"/>
  <c r="DQ28" i="13"/>
  <c r="DN28" i="13"/>
  <c r="DK28" i="13"/>
  <c r="DH28" i="13"/>
  <c r="DE28" i="13"/>
  <c r="DB28" i="13"/>
  <c r="CY28" i="13"/>
  <c r="CV28" i="13"/>
  <c r="CS28" i="13"/>
  <c r="CP28" i="13"/>
  <c r="CM28" i="13"/>
  <c r="CJ28" i="13"/>
  <c r="CG28" i="13"/>
  <c r="CD28" i="13"/>
  <c r="CA28" i="13"/>
  <c r="BX28" i="13"/>
  <c r="BU28" i="13"/>
  <c r="BR28" i="13"/>
  <c r="BO28" i="13"/>
  <c r="BL28" i="13"/>
  <c r="BI28" i="13"/>
  <c r="BF28" i="13"/>
  <c r="BC28" i="13"/>
  <c r="AZ28" i="13"/>
  <c r="AW28" i="13"/>
  <c r="AT28" i="13"/>
  <c r="AQ28" i="13"/>
  <c r="AO28" i="13"/>
  <c r="AL28" i="13"/>
  <c r="AN28" i="13" s="1"/>
  <c r="AK28" i="13"/>
  <c r="AI28" i="13"/>
  <c r="AB28" i="13"/>
  <c r="Y28" i="13"/>
  <c r="V28" i="13"/>
  <c r="S28" i="13"/>
  <c r="EH28" i="13" s="1"/>
  <c r="P28" i="13"/>
  <c r="M28" i="13"/>
  <c r="J28" i="13"/>
  <c r="G28" i="13"/>
  <c r="D28" i="13"/>
  <c r="ED28" i="13" s="1"/>
  <c r="EL27" i="13"/>
  <c r="EI27" i="13"/>
  <c r="EG27" i="13"/>
  <c r="DW27" i="13"/>
  <c r="DT27" i="13"/>
  <c r="DQ27" i="13"/>
  <c r="DN27" i="13"/>
  <c r="DK27" i="13"/>
  <c r="DH27" i="13"/>
  <c r="DE27" i="13"/>
  <c r="DB27" i="13"/>
  <c r="CY27" i="13"/>
  <c r="CV27" i="13"/>
  <c r="CS27" i="13"/>
  <c r="CP27" i="13"/>
  <c r="CM27" i="13"/>
  <c r="CJ27" i="13"/>
  <c r="CG27" i="13"/>
  <c r="CD27" i="13"/>
  <c r="CA27" i="13"/>
  <c r="BX27" i="13"/>
  <c r="BU27" i="13"/>
  <c r="BR27" i="13"/>
  <c r="BO27" i="13"/>
  <c r="BL27" i="13"/>
  <c r="BI27" i="13"/>
  <c r="BF27" i="13"/>
  <c r="BC27" i="13"/>
  <c r="AZ27" i="13"/>
  <c r="AW27" i="13"/>
  <c r="AT27" i="13"/>
  <c r="AO27" i="13"/>
  <c r="AN27" i="13"/>
  <c r="AL27" i="13"/>
  <c r="EB27" i="13" s="1"/>
  <c r="AI27" i="13"/>
  <c r="AK27" i="13" s="1"/>
  <c r="AB27" i="13"/>
  <c r="Y27" i="13"/>
  <c r="V27" i="13"/>
  <c r="EH27" i="13" s="1"/>
  <c r="S27" i="13"/>
  <c r="P27" i="13"/>
  <c r="M27" i="13"/>
  <c r="J27" i="13"/>
  <c r="G27" i="13"/>
  <c r="D27" i="13"/>
  <c r="EL26" i="13"/>
  <c r="EK26" i="13"/>
  <c r="EI26" i="13"/>
  <c r="EG26" i="13"/>
  <c r="DW26" i="13"/>
  <c r="DT26" i="13"/>
  <c r="DQ26" i="13"/>
  <c r="DN26" i="13"/>
  <c r="DK26" i="13"/>
  <c r="DH26" i="13"/>
  <c r="DE26" i="13"/>
  <c r="DB26" i="13"/>
  <c r="CY26" i="13"/>
  <c r="CV26" i="13"/>
  <c r="CS26" i="13"/>
  <c r="CP26" i="13"/>
  <c r="CM26" i="13"/>
  <c r="CJ26" i="13"/>
  <c r="CG26" i="13"/>
  <c r="CD26" i="13"/>
  <c r="CA26" i="13"/>
  <c r="BX26" i="13"/>
  <c r="BU26" i="13"/>
  <c r="BR26" i="13"/>
  <c r="BO26" i="13"/>
  <c r="BL26" i="13"/>
  <c r="BI26" i="13"/>
  <c r="BF26" i="13"/>
  <c r="BC26" i="13"/>
  <c r="AZ26" i="13"/>
  <c r="AW26" i="13"/>
  <c r="AT26" i="13"/>
  <c r="AQ26" i="13"/>
  <c r="AO26" i="13"/>
  <c r="AN26" i="13"/>
  <c r="AL26" i="13"/>
  <c r="EB26" i="13" s="1"/>
  <c r="AK26" i="13"/>
  <c r="AI26" i="13"/>
  <c r="AB26" i="13"/>
  <c r="Y26" i="13"/>
  <c r="V26" i="13"/>
  <c r="S26" i="13"/>
  <c r="P26" i="13"/>
  <c r="M26" i="13"/>
  <c r="J26" i="13"/>
  <c r="G26" i="13"/>
  <c r="D26" i="13"/>
  <c r="ED26" i="13" s="1"/>
  <c r="EL25" i="13"/>
  <c r="EK25" i="13"/>
  <c r="EG25" i="13"/>
  <c r="EI25" i="13" s="1"/>
  <c r="EB25" i="13"/>
  <c r="DW25" i="13"/>
  <c r="DT25" i="13"/>
  <c r="DQ25" i="13"/>
  <c r="DN25" i="13"/>
  <c r="DK25" i="13"/>
  <c r="DH25" i="13"/>
  <c r="DE25" i="13"/>
  <c r="DB25" i="13"/>
  <c r="CY25" i="13"/>
  <c r="CV25" i="13"/>
  <c r="CS25" i="13"/>
  <c r="CP25" i="13"/>
  <c r="CM25" i="13"/>
  <c r="CM42" i="13" s="1"/>
  <c r="CJ25" i="13"/>
  <c r="CG25" i="13"/>
  <c r="CD25" i="13"/>
  <c r="CA25" i="13"/>
  <c r="BX25" i="13"/>
  <c r="BU25" i="13"/>
  <c r="BR25" i="13"/>
  <c r="BO25" i="13"/>
  <c r="BL25" i="13"/>
  <c r="BI25" i="13"/>
  <c r="BF25" i="13"/>
  <c r="BC25" i="13"/>
  <c r="AZ25" i="13"/>
  <c r="AW25" i="13"/>
  <c r="AT25" i="13"/>
  <c r="AQ25" i="13"/>
  <c r="AO25" i="13"/>
  <c r="AL25" i="13"/>
  <c r="AN25" i="13" s="1"/>
  <c r="AK25" i="13"/>
  <c r="AI25" i="13"/>
  <c r="AB25" i="13"/>
  <c r="Y25" i="13"/>
  <c r="V25" i="13"/>
  <c r="S25" i="13"/>
  <c r="P25" i="13"/>
  <c r="M25" i="13"/>
  <c r="J25" i="13"/>
  <c r="G25" i="13"/>
  <c r="D25" i="13"/>
  <c r="EL24" i="13"/>
  <c r="EG24" i="13"/>
  <c r="EI24" i="13" s="1"/>
  <c r="EB24" i="13"/>
  <c r="DW24" i="13"/>
  <c r="DT24" i="13"/>
  <c r="DQ24" i="13"/>
  <c r="DN24" i="13"/>
  <c r="DK24" i="13"/>
  <c r="DH24" i="13"/>
  <c r="DE24" i="13"/>
  <c r="DB24" i="13"/>
  <c r="CY24" i="13"/>
  <c r="CV24" i="13"/>
  <c r="CS24" i="13"/>
  <c r="CP24" i="13"/>
  <c r="CM24" i="13"/>
  <c r="CJ24" i="13"/>
  <c r="CG24" i="13"/>
  <c r="CD24" i="13"/>
  <c r="CA24" i="13"/>
  <c r="BX24" i="13"/>
  <c r="BU24" i="13"/>
  <c r="BR24" i="13"/>
  <c r="BO24" i="13"/>
  <c r="BL24" i="13"/>
  <c r="BI24" i="13"/>
  <c r="BF24" i="13"/>
  <c r="BC24" i="13"/>
  <c r="AZ24" i="13"/>
  <c r="AW24" i="13"/>
  <c r="AT24" i="13"/>
  <c r="AQ24" i="13"/>
  <c r="AL24" i="13"/>
  <c r="AK24" i="13"/>
  <c r="AI24" i="13"/>
  <c r="AB24" i="13"/>
  <c r="Y24" i="13"/>
  <c r="V24" i="13"/>
  <c r="S24" i="13"/>
  <c r="P24" i="13"/>
  <c r="M24" i="13"/>
  <c r="J24" i="13"/>
  <c r="G24" i="13"/>
  <c r="D24" i="13"/>
  <c r="EL23" i="13"/>
  <c r="EG23" i="13"/>
  <c r="EI23" i="13" s="1"/>
  <c r="DW23" i="13"/>
  <c r="DT23" i="13"/>
  <c r="DQ23" i="13"/>
  <c r="DN23" i="13"/>
  <c r="DK23" i="13"/>
  <c r="DH23" i="13"/>
  <c r="DE23" i="13"/>
  <c r="DB23" i="13"/>
  <c r="CY23" i="13"/>
  <c r="CV23" i="13"/>
  <c r="CS23" i="13"/>
  <c r="CP23" i="13"/>
  <c r="CM23" i="13"/>
  <c r="CJ23" i="13"/>
  <c r="CG23" i="13"/>
  <c r="CD23" i="13"/>
  <c r="CA23" i="13"/>
  <c r="BX23" i="13"/>
  <c r="BU23" i="13"/>
  <c r="BR23" i="13"/>
  <c r="BO23" i="13"/>
  <c r="BL23" i="13"/>
  <c r="BI23" i="13"/>
  <c r="BF23" i="13"/>
  <c r="BC23" i="13"/>
  <c r="AZ23" i="13"/>
  <c r="AW23" i="13"/>
  <c r="AT23" i="13"/>
  <c r="AQ23" i="13"/>
  <c r="AL23" i="13"/>
  <c r="AK23" i="13"/>
  <c r="AI23" i="13"/>
  <c r="AB23" i="13"/>
  <c r="Y23" i="13"/>
  <c r="V23" i="13"/>
  <c r="S23" i="13"/>
  <c r="P23" i="13"/>
  <c r="M23" i="13"/>
  <c r="J23" i="13"/>
  <c r="G23" i="13"/>
  <c r="D23" i="13"/>
  <c r="EL22" i="13"/>
  <c r="EH22" i="13"/>
  <c r="EG22" i="13"/>
  <c r="EI22" i="13" s="1"/>
  <c r="DW22" i="13"/>
  <c r="DT22" i="13"/>
  <c r="DQ22" i="13"/>
  <c r="DN22" i="13"/>
  <c r="DK22" i="13"/>
  <c r="DH22" i="13"/>
  <c r="DE22" i="13"/>
  <c r="DB22" i="13"/>
  <c r="CY22" i="13"/>
  <c r="CV22" i="13"/>
  <c r="CS22" i="13"/>
  <c r="CP22" i="13"/>
  <c r="CM22" i="13"/>
  <c r="CJ22" i="13"/>
  <c r="CG22" i="13"/>
  <c r="CD22" i="13"/>
  <c r="CA22" i="13"/>
  <c r="BX22" i="13"/>
  <c r="BU22" i="13"/>
  <c r="BR22" i="13"/>
  <c r="BO22" i="13"/>
  <c r="BL22" i="13"/>
  <c r="BI22" i="13"/>
  <c r="BF22" i="13"/>
  <c r="BC22" i="13"/>
  <c r="AZ22" i="13"/>
  <c r="AW22" i="13"/>
  <c r="AT22" i="13"/>
  <c r="AQ22" i="13"/>
  <c r="AL22" i="13"/>
  <c r="AK22" i="13"/>
  <c r="AI22" i="13"/>
  <c r="AB22" i="13"/>
  <c r="Y22" i="13"/>
  <c r="V22" i="13"/>
  <c r="S22" i="13"/>
  <c r="P22" i="13"/>
  <c r="M22" i="13"/>
  <c r="J22" i="13"/>
  <c r="G22" i="13"/>
  <c r="D22" i="13"/>
  <c r="EL21" i="13"/>
  <c r="EG21" i="13"/>
  <c r="EI21" i="13" s="1"/>
  <c r="EB21" i="13"/>
  <c r="DW21" i="13"/>
  <c r="DT21" i="13"/>
  <c r="DQ21" i="13"/>
  <c r="DN21" i="13"/>
  <c r="DK21" i="13"/>
  <c r="DH21" i="13"/>
  <c r="DE21" i="13"/>
  <c r="DB21" i="13"/>
  <c r="CY21" i="13"/>
  <c r="CV21" i="13"/>
  <c r="CS21" i="13"/>
  <c r="CP21" i="13"/>
  <c r="CM21" i="13"/>
  <c r="CJ21" i="13"/>
  <c r="CG21" i="13"/>
  <c r="CD21" i="13"/>
  <c r="CA21" i="13"/>
  <c r="BX21" i="13"/>
  <c r="BU21" i="13"/>
  <c r="BR21" i="13"/>
  <c r="BO21" i="13"/>
  <c r="BL21" i="13"/>
  <c r="BI21" i="13"/>
  <c r="BF21" i="13"/>
  <c r="BC21" i="13"/>
  <c r="AZ21" i="13"/>
  <c r="AW21" i="13"/>
  <c r="AT21" i="13"/>
  <c r="AQ21" i="13"/>
  <c r="AL21" i="13"/>
  <c r="AI21" i="13"/>
  <c r="AK21" i="13" s="1"/>
  <c r="AB21" i="13"/>
  <c r="Y21" i="13"/>
  <c r="EH21" i="13" s="1"/>
  <c r="V21" i="13"/>
  <c r="S21" i="13"/>
  <c r="P21" i="13"/>
  <c r="M21" i="13"/>
  <c r="J21" i="13"/>
  <c r="G21" i="13"/>
  <c r="D21" i="13"/>
  <c r="EL20" i="13"/>
  <c r="EG20" i="13"/>
  <c r="EI20" i="13" s="1"/>
  <c r="DW20" i="13"/>
  <c r="DT20" i="13"/>
  <c r="DQ20" i="13"/>
  <c r="DN20" i="13"/>
  <c r="DK20" i="13"/>
  <c r="DH20" i="13"/>
  <c r="DE20" i="13"/>
  <c r="DB20" i="13"/>
  <c r="CY20" i="13"/>
  <c r="CV20" i="13"/>
  <c r="CS20" i="13"/>
  <c r="CP20" i="13"/>
  <c r="CM20" i="13"/>
  <c r="CJ20" i="13"/>
  <c r="CG20" i="13"/>
  <c r="CD20" i="13"/>
  <c r="CA20" i="13"/>
  <c r="BX20" i="13"/>
  <c r="BU20" i="13"/>
  <c r="BR20" i="13"/>
  <c r="BO20" i="13"/>
  <c r="BL20" i="13"/>
  <c r="BI20" i="13"/>
  <c r="BF20" i="13"/>
  <c r="BC20" i="13"/>
  <c r="AZ20" i="13"/>
  <c r="AW20" i="13"/>
  <c r="AT20" i="13"/>
  <c r="AQ20" i="13"/>
  <c r="AL20" i="13"/>
  <c r="EK20" i="13" s="1"/>
  <c r="AK20" i="13"/>
  <c r="AI20" i="13"/>
  <c r="AB20" i="13"/>
  <c r="Y20" i="13"/>
  <c r="V20" i="13"/>
  <c r="S20" i="13"/>
  <c r="EH20" i="13" s="1"/>
  <c r="P20" i="13"/>
  <c r="M20" i="13"/>
  <c r="J20" i="13"/>
  <c r="G20" i="13"/>
  <c r="D20" i="13"/>
  <c r="EL19" i="13"/>
  <c r="EG19" i="13"/>
  <c r="EI19" i="13" s="1"/>
  <c r="EB19" i="13"/>
  <c r="DW19" i="13"/>
  <c r="DT19" i="13"/>
  <c r="EM19" i="13" s="1"/>
  <c r="EN19" i="13" s="1"/>
  <c r="DQ19" i="13"/>
  <c r="DN19" i="13"/>
  <c r="DK19" i="13"/>
  <c r="DH19" i="13"/>
  <c r="DE19" i="13"/>
  <c r="DB19" i="13"/>
  <c r="CY19" i="13"/>
  <c r="CV19" i="13"/>
  <c r="CS19" i="13"/>
  <c r="CP19" i="13"/>
  <c r="CM19" i="13"/>
  <c r="CJ19" i="13"/>
  <c r="CG19" i="13"/>
  <c r="CD19" i="13"/>
  <c r="CA19" i="13"/>
  <c r="BX19" i="13"/>
  <c r="BU19" i="13"/>
  <c r="BR19" i="13"/>
  <c r="BO19" i="13"/>
  <c r="BL19" i="13"/>
  <c r="BI19" i="13"/>
  <c r="BF19" i="13"/>
  <c r="BC19" i="13"/>
  <c r="AZ19" i="13"/>
  <c r="AW19" i="13"/>
  <c r="AT19" i="13"/>
  <c r="AQ19" i="13"/>
  <c r="AN19" i="13"/>
  <c r="AL19" i="13"/>
  <c r="EK19" i="13" s="1"/>
  <c r="AK19" i="13"/>
  <c r="AI19" i="13"/>
  <c r="AB19" i="13"/>
  <c r="Y19" i="13"/>
  <c r="V19" i="13"/>
  <c r="EH19" i="13" s="1"/>
  <c r="S19" i="13"/>
  <c r="P19" i="13"/>
  <c r="M19" i="13"/>
  <c r="J19" i="13"/>
  <c r="ED19" i="13" s="1"/>
  <c r="G19" i="13"/>
  <c r="D19" i="13"/>
  <c r="EL18" i="13"/>
  <c r="EG18" i="13"/>
  <c r="EI18" i="13" s="1"/>
  <c r="EB18" i="13"/>
  <c r="EC18" i="13" s="1"/>
  <c r="DW18" i="13"/>
  <c r="DT18" i="13"/>
  <c r="DQ18" i="13"/>
  <c r="DN18" i="13"/>
  <c r="DK18" i="13"/>
  <c r="DH18" i="13"/>
  <c r="DE18" i="13"/>
  <c r="DB18" i="13"/>
  <c r="CY18" i="13"/>
  <c r="CV18" i="13"/>
  <c r="CS18" i="13"/>
  <c r="CP18" i="13"/>
  <c r="CM18" i="13"/>
  <c r="CJ18" i="13"/>
  <c r="CG18" i="13"/>
  <c r="CD18" i="13"/>
  <c r="CA18" i="13"/>
  <c r="BX18" i="13"/>
  <c r="BU18" i="13"/>
  <c r="BR18" i="13"/>
  <c r="BO18" i="13"/>
  <c r="BL18" i="13"/>
  <c r="BI18" i="13"/>
  <c r="BF18" i="13"/>
  <c r="BC18" i="13"/>
  <c r="AZ18" i="13"/>
  <c r="AW18" i="13"/>
  <c r="AT18" i="13"/>
  <c r="AQ18" i="13"/>
  <c r="AL18" i="13"/>
  <c r="EK18" i="13" s="1"/>
  <c r="AK18" i="13"/>
  <c r="AI18" i="13"/>
  <c r="AB18" i="13"/>
  <c r="EH18" i="13" s="1"/>
  <c r="Y18" i="13"/>
  <c r="V18" i="13"/>
  <c r="S18" i="13"/>
  <c r="P18" i="13"/>
  <c r="M18" i="13"/>
  <c r="J18" i="13"/>
  <c r="G18" i="13"/>
  <c r="D18" i="13"/>
  <c r="EL17" i="13"/>
  <c r="EI17" i="13"/>
  <c r="EG17" i="13"/>
  <c r="EB17" i="13"/>
  <c r="DW17" i="13"/>
  <c r="DT17" i="13"/>
  <c r="DQ17" i="13"/>
  <c r="DN17" i="13"/>
  <c r="DK17" i="13"/>
  <c r="DH17" i="13"/>
  <c r="DE17" i="13"/>
  <c r="DB17" i="13"/>
  <c r="CY17" i="13"/>
  <c r="CV17" i="13"/>
  <c r="CS17" i="13"/>
  <c r="CP17" i="13"/>
  <c r="CP42" i="13" s="1"/>
  <c r="CM17" i="13"/>
  <c r="CJ17" i="13"/>
  <c r="CG17" i="13"/>
  <c r="CD17" i="13"/>
  <c r="CA17" i="13"/>
  <c r="BX17" i="13"/>
  <c r="BU17" i="13"/>
  <c r="BR17" i="13"/>
  <c r="BO17" i="13"/>
  <c r="BL17" i="13"/>
  <c r="BI17" i="13"/>
  <c r="BF17" i="13"/>
  <c r="BC17" i="13"/>
  <c r="AZ17" i="13"/>
  <c r="AW17" i="13"/>
  <c r="AT17" i="13"/>
  <c r="AT42" i="13" s="1"/>
  <c r="AQ17" i="13"/>
  <c r="AL17" i="13"/>
  <c r="EK17" i="13" s="1"/>
  <c r="AK17" i="13"/>
  <c r="AI17" i="13"/>
  <c r="AB17" i="13"/>
  <c r="EH17" i="13" s="1"/>
  <c r="Y17" i="13"/>
  <c r="V17" i="13"/>
  <c r="S17" i="13"/>
  <c r="P17" i="13"/>
  <c r="M17" i="13"/>
  <c r="J17" i="13"/>
  <c r="G17" i="13"/>
  <c r="D17" i="13"/>
  <c r="EL16" i="13"/>
  <c r="EI16" i="13"/>
  <c r="EG16" i="13"/>
  <c r="DW16" i="13"/>
  <c r="DT16" i="13"/>
  <c r="EM16" i="13" s="1"/>
  <c r="DQ16" i="13"/>
  <c r="DN16" i="13"/>
  <c r="DK16" i="13"/>
  <c r="DH16" i="13"/>
  <c r="DE16" i="13"/>
  <c r="DB16" i="13"/>
  <c r="CY16" i="13"/>
  <c r="CV16" i="13"/>
  <c r="CS16" i="13"/>
  <c r="CP16" i="13"/>
  <c r="CM16" i="13"/>
  <c r="CJ16" i="13"/>
  <c r="CG16" i="13"/>
  <c r="CD16" i="13"/>
  <c r="CA16" i="13"/>
  <c r="BX16" i="13"/>
  <c r="BU16" i="13"/>
  <c r="BR16" i="13"/>
  <c r="BO16" i="13"/>
  <c r="BL16" i="13"/>
  <c r="BI16" i="13"/>
  <c r="BF16" i="13"/>
  <c r="BC16" i="13"/>
  <c r="AZ16" i="13"/>
  <c r="AW16" i="13"/>
  <c r="AT16" i="13"/>
  <c r="AQ16" i="13"/>
  <c r="AN16" i="13"/>
  <c r="AK16" i="13"/>
  <c r="AI16" i="13"/>
  <c r="EK16" i="13" s="1"/>
  <c r="EN16" i="13" s="1"/>
  <c r="AB16" i="13"/>
  <c r="Y16" i="13"/>
  <c r="V16" i="13"/>
  <c r="S16" i="13"/>
  <c r="EH16" i="13" s="1"/>
  <c r="P16" i="13"/>
  <c r="M16" i="13"/>
  <c r="J16" i="13"/>
  <c r="G16" i="13"/>
  <c r="D16" i="13"/>
  <c r="ED16" i="13" s="1"/>
  <c r="EL15" i="13"/>
  <c r="EK15" i="13"/>
  <c r="EG15" i="13"/>
  <c r="EI15" i="13" s="1"/>
  <c r="DW15" i="13"/>
  <c r="DT15" i="13"/>
  <c r="DQ15" i="13"/>
  <c r="EM15" i="13" s="1"/>
  <c r="DN15" i="13"/>
  <c r="DK15" i="13"/>
  <c r="DH15" i="13"/>
  <c r="DE15" i="13"/>
  <c r="DB15" i="13"/>
  <c r="CY15" i="13"/>
  <c r="CV15" i="13"/>
  <c r="CS15" i="13"/>
  <c r="CP15" i="13"/>
  <c r="CM15" i="13"/>
  <c r="CJ15" i="13"/>
  <c r="CG15" i="13"/>
  <c r="CD15" i="13"/>
  <c r="CA15" i="13"/>
  <c r="BX15" i="13"/>
  <c r="BU15" i="13"/>
  <c r="BR15" i="13"/>
  <c r="BO15" i="13"/>
  <c r="BL15" i="13"/>
  <c r="BI15" i="13"/>
  <c r="BF15" i="13"/>
  <c r="BC15" i="13"/>
  <c r="AZ15" i="13"/>
  <c r="AW15" i="13"/>
  <c r="AT15" i="13"/>
  <c r="AQ15" i="13"/>
  <c r="AN15" i="13"/>
  <c r="AK15" i="13"/>
  <c r="AI15" i="13"/>
  <c r="EB15" i="13" s="1"/>
  <c r="AB15" i="13"/>
  <c r="Y15" i="13"/>
  <c r="V15" i="13"/>
  <c r="EH15" i="13" s="1"/>
  <c r="S15" i="13"/>
  <c r="P15" i="13"/>
  <c r="M15" i="13"/>
  <c r="J15" i="13"/>
  <c r="G15" i="13"/>
  <c r="D15" i="13"/>
  <c r="ED15" i="13" s="1"/>
  <c r="EL14" i="13"/>
  <c r="EG14" i="13"/>
  <c r="EI14" i="13" s="1"/>
  <c r="DW14" i="13"/>
  <c r="DT14" i="13"/>
  <c r="DQ14" i="13"/>
  <c r="DN14" i="13"/>
  <c r="DK14" i="13"/>
  <c r="DH14" i="13"/>
  <c r="DE14" i="13"/>
  <c r="DB14" i="13"/>
  <c r="CY14" i="13"/>
  <c r="CV14" i="13"/>
  <c r="CS14" i="13"/>
  <c r="CP14" i="13"/>
  <c r="CM14" i="13"/>
  <c r="CJ14" i="13"/>
  <c r="CG14" i="13"/>
  <c r="CD14" i="13"/>
  <c r="CA14" i="13"/>
  <c r="BX14" i="13"/>
  <c r="BU14" i="13"/>
  <c r="BR14" i="13"/>
  <c r="BO14" i="13"/>
  <c r="BL14" i="13"/>
  <c r="BI14" i="13"/>
  <c r="BF14" i="13"/>
  <c r="BC14" i="13"/>
  <c r="AZ14" i="13"/>
  <c r="AW14" i="13"/>
  <c r="AT14" i="13"/>
  <c r="AQ14" i="13"/>
  <c r="AN14" i="13"/>
  <c r="AI14" i="13"/>
  <c r="AK14" i="13" s="1"/>
  <c r="AB14" i="13"/>
  <c r="Y14" i="13"/>
  <c r="V14" i="13"/>
  <c r="S14" i="13"/>
  <c r="P14" i="13"/>
  <c r="M14" i="13"/>
  <c r="ED14" i="13" s="1"/>
  <c r="J14" i="13"/>
  <c r="G14" i="13"/>
  <c r="D14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EL13" i="13"/>
  <c r="EK13" i="13"/>
  <c r="EI13" i="13"/>
  <c r="EG13" i="13"/>
  <c r="DW13" i="13"/>
  <c r="DT13" i="13"/>
  <c r="EM13" i="13" s="1"/>
  <c r="DQ13" i="13"/>
  <c r="DN13" i="13"/>
  <c r="DK13" i="13"/>
  <c r="DH13" i="13"/>
  <c r="DE13" i="13"/>
  <c r="DB13" i="13"/>
  <c r="CY13" i="13"/>
  <c r="CV13" i="13"/>
  <c r="CS13" i="13"/>
  <c r="CP13" i="13"/>
  <c r="CM13" i="13"/>
  <c r="CJ13" i="13"/>
  <c r="CG13" i="13"/>
  <c r="CD13" i="13"/>
  <c r="CA13" i="13"/>
  <c r="BX13" i="13"/>
  <c r="BU13" i="13"/>
  <c r="BR13" i="13"/>
  <c r="BO13" i="13"/>
  <c r="BL13" i="13"/>
  <c r="BI13" i="13"/>
  <c r="BF13" i="13"/>
  <c r="BC13" i="13"/>
  <c r="AZ13" i="13"/>
  <c r="AW13" i="13"/>
  <c r="AT13" i="13"/>
  <c r="AQ13" i="13"/>
  <c r="AN13" i="13"/>
  <c r="AK13" i="13"/>
  <c r="AI13" i="13"/>
  <c r="EB13" i="13" s="1"/>
  <c r="EC13" i="13" s="1"/>
  <c r="AB13" i="13"/>
  <c r="Y13" i="13"/>
  <c r="V13" i="13"/>
  <c r="S13" i="13"/>
  <c r="EH13" i="13" s="1"/>
  <c r="P13" i="13"/>
  <c r="M13" i="13"/>
  <c r="J13" i="13"/>
  <c r="G13" i="13"/>
  <c r="D13" i="13"/>
  <c r="ED13" i="13" s="1"/>
  <c r="EE13" i="13" s="1"/>
  <c r="EL12" i="13"/>
  <c r="EG12" i="13"/>
  <c r="EI12" i="13" s="1"/>
  <c r="DW12" i="13"/>
  <c r="DT12" i="13"/>
  <c r="DQ12" i="13"/>
  <c r="DN12" i="13"/>
  <c r="DK12" i="13"/>
  <c r="DH12" i="13"/>
  <c r="DE12" i="13"/>
  <c r="DB12" i="13"/>
  <c r="CY12" i="13"/>
  <c r="CV12" i="13"/>
  <c r="CS12" i="13"/>
  <c r="CP12" i="13"/>
  <c r="CM12" i="13"/>
  <c r="CJ12" i="13"/>
  <c r="CG12" i="13"/>
  <c r="CD12" i="13"/>
  <c r="CA12" i="13"/>
  <c r="BX12" i="13"/>
  <c r="BU12" i="13"/>
  <c r="BR12" i="13"/>
  <c r="BO12" i="13"/>
  <c r="BL12" i="13"/>
  <c r="BI12" i="13"/>
  <c r="BF12" i="13"/>
  <c r="BC12" i="13"/>
  <c r="AZ12" i="13"/>
  <c r="AW12" i="13"/>
  <c r="AT12" i="13"/>
  <c r="AQ12" i="13"/>
  <c r="AN12" i="13"/>
  <c r="AI12" i="13"/>
  <c r="EK12" i="13" s="1"/>
  <c r="AB12" i="13"/>
  <c r="Y12" i="13"/>
  <c r="V12" i="13"/>
  <c r="S12" i="13"/>
  <c r="S42" i="13" s="1"/>
  <c r="P12" i="13"/>
  <c r="M12" i="13"/>
  <c r="J12" i="13"/>
  <c r="G12" i="13"/>
  <c r="D12" i="13"/>
  <c r="A12" i="13"/>
  <c r="A13" i="13" s="1"/>
  <c r="EL11" i="13"/>
  <c r="EG11" i="13"/>
  <c r="EI11" i="13" s="1"/>
  <c r="DW11" i="13"/>
  <c r="DT11" i="13"/>
  <c r="DQ11" i="13"/>
  <c r="DN11" i="13"/>
  <c r="DN42" i="13" s="1"/>
  <c r="DK11" i="13"/>
  <c r="DK42" i="13" s="1"/>
  <c r="DH11" i="13"/>
  <c r="DE11" i="13"/>
  <c r="DB11" i="13"/>
  <c r="CY11" i="13"/>
  <c r="CV11" i="13"/>
  <c r="CS11" i="13"/>
  <c r="CP11" i="13"/>
  <c r="CM11" i="13"/>
  <c r="CJ11" i="13"/>
  <c r="CG11" i="13"/>
  <c r="CD11" i="13"/>
  <c r="CA11" i="13"/>
  <c r="BX11" i="13"/>
  <c r="BU11" i="13"/>
  <c r="BR11" i="13"/>
  <c r="BR42" i="13" s="1"/>
  <c r="BO11" i="13"/>
  <c r="BO42" i="13" s="1"/>
  <c r="BL11" i="13"/>
  <c r="BI11" i="13"/>
  <c r="BF11" i="13"/>
  <c r="BC11" i="13"/>
  <c r="AZ11" i="13"/>
  <c r="AW11" i="13"/>
  <c r="AT11" i="13"/>
  <c r="AQ11" i="13"/>
  <c r="AN11" i="13"/>
  <c r="AI11" i="13"/>
  <c r="EK11" i="13" s="1"/>
  <c r="AE42" i="13"/>
  <c r="AB11" i="13"/>
  <c r="Y11" i="13"/>
  <c r="V11" i="13"/>
  <c r="V42" i="13" s="1"/>
  <c r="S11" i="13"/>
  <c r="P11" i="13"/>
  <c r="M11" i="13"/>
  <c r="J11" i="13"/>
  <c r="G11" i="13"/>
  <c r="G42" i="13" s="1"/>
  <c r="D11" i="13"/>
  <c r="EI5" i="13"/>
  <c r="EQ2" i="13"/>
  <c r="G4" i="13" s="1"/>
  <c r="EI2" i="13"/>
  <c r="EE2" i="13"/>
  <c r="EC12" i="16" l="1"/>
  <c r="EN11" i="16"/>
  <c r="EH35" i="16"/>
  <c r="EM35" i="16"/>
  <c r="AW42" i="16"/>
  <c r="BI42" i="16"/>
  <c r="BU42" i="16"/>
  <c r="CG42" i="16"/>
  <c r="CS42" i="16"/>
  <c r="DE42" i="16"/>
  <c r="DQ42" i="16"/>
  <c r="EC11" i="16"/>
  <c r="EH11" i="16"/>
  <c r="EE12" i="16"/>
  <c r="EC13" i="16"/>
  <c r="EK14" i="16"/>
  <c r="EN14" i="16" s="1"/>
  <c r="EE14" i="16"/>
  <c r="EN16" i="16"/>
  <c r="EM19" i="16"/>
  <c r="EH20" i="16"/>
  <c r="EM23" i="16"/>
  <c r="EH24" i="16"/>
  <c r="EN24" i="16"/>
  <c r="ED28" i="16"/>
  <c r="EK29" i="16"/>
  <c r="AK29" i="16"/>
  <c r="ED29" i="16" s="1"/>
  <c r="EE29" i="16" s="1"/>
  <c r="EK33" i="16"/>
  <c r="EC33" i="16" s="1"/>
  <c r="AK33" i="16"/>
  <c r="EC37" i="16"/>
  <c r="EN40" i="16"/>
  <c r="EN20" i="16"/>
  <c r="EC29" i="16"/>
  <c r="EM31" i="16"/>
  <c r="EM39" i="16"/>
  <c r="EI3" i="16"/>
  <c r="EI4" i="16" s="1"/>
  <c r="EI5" i="16"/>
  <c r="D42" i="16"/>
  <c r="P42" i="16"/>
  <c r="AB42" i="16"/>
  <c r="AZ42" i="16"/>
  <c r="BL42" i="16"/>
  <c r="BX42" i="16"/>
  <c r="CJ42" i="16"/>
  <c r="CV42" i="16"/>
  <c r="DH42" i="16"/>
  <c r="DT42" i="16"/>
  <c r="ED11" i="16"/>
  <c r="EK21" i="16"/>
  <c r="EN21" i="16" s="1"/>
  <c r="AK21" i="16"/>
  <c r="EM27" i="16"/>
  <c r="EC31" i="16"/>
  <c r="EE31" i="16"/>
  <c r="ED33" i="16"/>
  <c r="EE33" i="16" s="1"/>
  <c r="EM33" i="16"/>
  <c r="EC34" i="16"/>
  <c r="EE35" i="16"/>
  <c r="EK37" i="16"/>
  <c r="AK37" i="16"/>
  <c r="ED37" i="16" s="1"/>
  <c r="EE37" i="16" s="1"/>
  <c r="EC40" i="16"/>
  <c r="EC41" i="16"/>
  <c r="EE28" i="16"/>
  <c r="EH31" i="16"/>
  <c r="EH15" i="16"/>
  <c r="ED16" i="16"/>
  <c r="EE16" i="16" s="1"/>
  <c r="EK17" i="16"/>
  <c r="AK17" i="16"/>
  <c r="EM17" i="16" s="1"/>
  <c r="ED21" i="16"/>
  <c r="EE21" i="16" s="1"/>
  <c r="EM21" i="16"/>
  <c r="EE22" i="16"/>
  <c r="EE24" i="16"/>
  <c r="EK25" i="16"/>
  <c r="AK25" i="16"/>
  <c r="ED25" i="16" s="1"/>
  <c r="EE25" i="16" s="1"/>
  <c r="EN28" i="16"/>
  <c r="EH29" i="16"/>
  <c r="ED32" i="16"/>
  <c r="EM32" i="16"/>
  <c r="EN32" i="16" s="1"/>
  <c r="EH33" i="16"/>
  <c r="ED36" i="16"/>
  <c r="EM36" i="16"/>
  <c r="EN36" i="16" s="1"/>
  <c r="EE38" i="16"/>
  <c r="EC38" i="16"/>
  <c r="ED40" i="16"/>
  <c r="EE40" i="16" s="1"/>
  <c r="EK41" i="16"/>
  <c r="AK41" i="16"/>
  <c r="EM41" i="16" s="1"/>
  <c r="EK15" i="16"/>
  <c r="EN5" i="16" s="1"/>
  <c r="EK19" i="16"/>
  <c r="EN19" i="16" s="1"/>
  <c r="EB20" i="16"/>
  <c r="EK23" i="16"/>
  <c r="EN23" i="16" s="1"/>
  <c r="EK27" i="16"/>
  <c r="EN27" i="16" s="1"/>
  <c r="EK31" i="16"/>
  <c r="EB32" i="16"/>
  <c r="EK35" i="16"/>
  <c r="EB36" i="16"/>
  <c r="EK39" i="16"/>
  <c r="EN39" i="16" s="1"/>
  <c r="AN15" i="16"/>
  <c r="EM15" i="16" s="1"/>
  <c r="EK18" i="16"/>
  <c r="EN18" i="16" s="1"/>
  <c r="EB19" i="16"/>
  <c r="EE5" i="16" s="1"/>
  <c r="G7" i="16" s="1"/>
  <c r="EK22" i="16"/>
  <c r="EN22" i="16" s="1"/>
  <c r="EB23" i="16"/>
  <c r="EK26" i="16"/>
  <c r="EN26" i="16" s="1"/>
  <c r="EB27" i="16"/>
  <c r="EK30" i="16"/>
  <c r="EN30" i="16" s="1"/>
  <c r="EK34" i="16"/>
  <c r="EN34" i="16" s="1"/>
  <c r="EK38" i="16"/>
  <c r="EN38" i="16" s="1"/>
  <c r="EB39" i="16"/>
  <c r="EC12" i="15"/>
  <c r="EM14" i="15"/>
  <c r="EE17" i="15"/>
  <c r="EC17" i="15"/>
  <c r="EN17" i="15"/>
  <c r="EC20" i="15"/>
  <c r="EC11" i="15"/>
  <c r="EC16" i="15"/>
  <c r="EE16" i="15"/>
  <c r="EE19" i="15"/>
  <c r="EC19" i="15"/>
  <c r="EE13" i="15"/>
  <c r="EC13" i="15"/>
  <c r="EC15" i="15"/>
  <c r="EC18" i="15"/>
  <c r="EN13" i="15"/>
  <c r="EN16" i="15"/>
  <c r="EN19" i="15"/>
  <c r="EK14" i="15"/>
  <c r="EN14" i="15" s="1"/>
  <c r="EH22" i="15"/>
  <c r="EM25" i="15"/>
  <c r="EN25" i="15" s="1"/>
  <c r="EC31" i="15"/>
  <c r="EE31" i="15"/>
  <c r="EM31" i="15"/>
  <c r="EN31" i="15" s="1"/>
  <c r="EM35" i="15"/>
  <c r="EN35" i="15" s="1"/>
  <c r="EM37" i="15"/>
  <c r="EN37" i="15" s="1"/>
  <c r="M39" i="15"/>
  <c r="Y39" i="15"/>
  <c r="BF39" i="15"/>
  <c r="BR39" i="15"/>
  <c r="CD39" i="15"/>
  <c r="CP39" i="15"/>
  <c r="DB39" i="15"/>
  <c r="DN39" i="15"/>
  <c r="AQ12" i="15"/>
  <c r="AW12" i="15"/>
  <c r="EM12" i="15" s="1"/>
  <c r="EN12" i="15" s="1"/>
  <c r="AN14" i="15"/>
  <c r="ED14" i="15" s="1"/>
  <c r="EE14" i="15" s="1"/>
  <c r="AQ15" i="15"/>
  <c r="ED15" i="15" s="1"/>
  <c r="EE15" i="15" s="1"/>
  <c r="AW15" i="15"/>
  <c r="EM15" i="15" s="1"/>
  <c r="EN15" i="15" s="1"/>
  <c r="AQ18" i="15"/>
  <c r="ED18" i="15" s="1"/>
  <c r="EE18" i="15" s="1"/>
  <c r="AW18" i="15"/>
  <c r="EM18" i="15" s="1"/>
  <c r="EN18" i="15" s="1"/>
  <c r="AN20" i="15"/>
  <c r="EM20" i="15" s="1"/>
  <c r="EK20" i="15"/>
  <c r="EE23" i="15"/>
  <c r="EC25" i="15"/>
  <c r="EE25" i="15"/>
  <c r="EC27" i="15"/>
  <c r="EE27" i="15"/>
  <c r="EM27" i="15"/>
  <c r="EN27" i="15" s="1"/>
  <c r="EN32" i="15"/>
  <c r="EC35" i="15"/>
  <c r="EE35" i="15"/>
  <c r="EI3" i="15"/>
  <c r="EI4" i="15" s="1"/>
  <c r="EI5" i="15"/>
  <c r="D39" i="15"/>
  <c r="P39" i="15"/>
  <c r="AB39" i="15"/>
  <c r="AK39" i="15"/>
  <c r="BI39" i="15"/>
  <c r="BU39" i="15"/>
  <c r="CG39" i="15"/>
  <c r="CS39" i="15"/>
  <c r="DE39" i="15"/>
  <c r="DQ39" i="15"/>
  <c r="EH11" i="15"/>
  <c r="EM11" i="15"/>
  <c r="EK21" i="15"/>
  <c r="EB21" i="15"/>
  <c r="EE5" i="15" s="1"/>
  <c r="G7" i="15" s="1"/>
  <c r="ED23" i="15"/>
  <c r="ED24" i="15"/>
  <c r="EE24" i="15" s="1"/>
  <c r="EC24" i="15"/>
  <c r="EC26" i="15"/>
  <c r="EC28" i="15"/>
  <c r="EC30" i="15"/>
  <c r="EC32" i="15"/>
  <c r="EC34" i="15"/>
  <c r="EH35" i="15"/>
  <c r="EC36" i="15"/>
  <c r="EH37" i="15"/>
  <c r="EC38" i="15"/>
  <c r="AN39" i="15"/>
  <c r="EB22" i="15"/>
  <c r="EE3" i="15" s="1"/>
  <c r="AN22" i="15"/>
  <c r="EC29" i="15"/>
  <c r="EE29" i="15"/>
  <c r="EM29" i="15"/>
  <c r="EN29" i="15" s="1"/>
  <c r="EC33" i="15"/>
  <c r="EE33" i="15"/>
  <c r="EM33" i="15"/>
  <c r="EN33" i="15" s="1"/>
  <c r="EC37" i="15"/>
  <c r="EE37" i="15"/>
  <c r="EN2" i="15"/>
  <c r="EN3" i="15"/>
  <c r="BL39" i="15"/>
  <c r="BX39" i="15"/>
  <c r="CJ39" i="15"/>
  <c r="CV39" i="15"/>
  <c r="DH39" i="15"/>
  <c r="DT39" i="15"/>
  <c r="ED11" i="15"/>
  <c r="AW21" i="15"/>
  <c r="ED21" i="15" s="1"/>
  <c r="EK22" i="15"/>
  <c r="AT22" i="15"/>
  <c r="AT39" i="15" s="1"/>
  <c r="EM23" i="15"/>
  <c r="EN23" i="15" s="1"/>
  <c r="EM24" i="15"/>
  <c r="EN24" i="15" s="1"/>
  <c r="ED26" i="15"/>
  <c r="EE26" i="15" s="1"/>
  <c r="ED30" i="15"/>
  <c r="EE30" i="15" s="1"/>
  <c r="EM32" i="15"/>
  <c r="ED34" i="15"/>
  <c r="EE34" i="15" s="1"/>
  <c r="ED38" i="15"/>
  <c r="EE38" i="15" s="1"/>
  <c r="AZ24" i="15"/>
  <c r="AZ39" i="15" s="1"/>
  <c r="AZ26" i="15"/>
  <c r="EM26" i="15" s="1"/>
  <c r="EN26" i="15" s="1"/>
  <c r="AZ28" i="15"/>
  <c r="ED28" i="15" s="1"/>
  <c r="EE28" i="15" s="1"/>
  <c r="AZ30" i="15"/>
  <c r="EM30" i="15" s="1"/>
  <c r="EN30" i="15" s="1"/>
  <c r="AZ32" i="15"/>
  <c r="ED32" i="15" s="1"/>
  <c r="EE32" i="15" s="1"/>
  <c r="AZ34" i="15"/>
  <c r="EM34" i="15" s="1"/>
  <c r="EN34" i="15" s="1"/>
  <c r="AZ36" i="15"/>
  <c r="ED36" i="15" s="1"/>
  <c r="EE36" i="15" s="1"/>
  <c r="AZ38" i="15"/>
  <c r="EM38" i="15" s="1"/>
  <c r="EN38" i="15" s="1"/>
  <c r="EN12" i="14"/>
  <c r="EN14" i="14"/>
  <c r="ED12" i="14"/>
  <c r="EM24" i="14"/>
  <c r="ED11" i="14"/>
  <c r="EE17" i="14"/>
  <c r="EC17" i="14"/>
  <c r="EC23" i="14"/>
  <c r="ED29" i="14"/>
  <c r="ED40" i="14"/>
  <c r="J41" i="14"/>
  <c r="V41" i="14"/>
  <c r="AH41" i="14"/>
  <c r="EB12" i="14"/>
  <c r="AK13" i="14"/>
  <c r="ED13" i="14" s="1"/>
  <c r="EH14" i="14"/>
  <c r="EH41" i="14" s="1"/>
  <c r="EM14" i="14"/>
  <c r="EN15" i="14"/>
  <c r="EM18" i="14"/>
  <c r="EN18" i="14" s="1"/>
  <c r="EC19" i="14"/>
  <c r="EM23" i="14"/>
  <c r="EE23" i="14"/>
  <c r="EN24" i="14"/>
  <c r="EB24" i="14"/>
  <c r="EC28" i="14"/>
  <c r="EM31" i="14"/>
  <c r="EN31" i="14" s="1"/>
  <c r="EC33" i="14"/>
  <c r="EE36" i="14"/>
  <c r="EM38" i="14"/>
  <c r="EN38" i="14" s="1"/>
  <c r="ED39" i="14"/>
  <c r="EN39" i="14"/>
  <c r="EB13" i="14"/>
  <c r="EH23" i="14"/>
  <c r="EK32" i="14"/>
  <c r="AK32" i="14"/>
  <c r="ED32" i="14" s="1"/>
  <c r="EM34" i="14"/>
  <c r="EN34" i="14" s="1"/>
  <c r="M41" i="14"/>
  <c r="Y41" i="14"/>
  <c r="AT41" i="14"/>
  <c r="BF41" i="14"/>
  <c r="BR41" i="14"/>
  <c r="CD41" i="14"/>
  <c r="CP41" i="14"/>
  <c r="DB41" i="14"/>
  <c r="DN41" i="14"/>
  <c r="EB11" i="14"/>
  <c r="EC15" i="14"/>
  <c r="EM19" i="14"/>
  <c r="EE19" i="14"/>
  <c r="EB20" i="14"/>
  <c r="ED23" i="14"/>
  <c r="AK24" i="14"/>
  <c r="ED24" i="14" s="1"/>
  <c r="EE25" i="14"/>
  <c r="EC25" i="14"/>
  <c r="EK28" i="14"/>
  <c r="AK28" i="14"/>
  <c r="ED28" i="14" s="1"/>
  <c r="EE28" i="14" s="1"/>
  <c r="EM28" i="14"/>
  <c r="EM30" i="14"/>
  <c r="EN30" i="14" s="1"/>
  <c r="ED31" i="14"/>
  <c r="EK36" i="14"/>
  <c r="EN36" i="14" s="1"/>
  <c r="AK36" i="14"/>
  <c r="EM36" i="14"/>
  <c r="EE40" i="14"/>
  <c r="EC40" i="14"/>
  <c r="S41" i="14"/>
  <c r="EN19" i="14"/>
  <c r="EM22" i="14"/>
  <c r="EN22" i="14" s="1"/>
  <c r="EM32" i="14"/>
  <c r="EI3" i="14"/>
  <c r="EI4" i="14" s="1"/>
  <c r="D41" i="14"/>
  <c r="P41" i="14"/>
  <c r="AB41" i="14"/>
  <c r="AW41" i="14"/>
  <c r="BI41" i="14"/>
  <c r="BU41" i="14"/>
  <c r="CG41" i="14"/>
  <c r="CS41" i="14"/>
  <c r="DE41" i="14"/>
  <c r="DQ41" i="14"/>
  <c r="EM11" i="14"/>
  <c r="EM15" i="14"/>
  <c r="EE15" i="14"/>
  <c r="EN16" i="14"/>
  <c r="EB16" i="14"/>
  <c r="ED19" i="14"/>
  <c r="AK20" i="14"/>
  <c r="ED20" i="14" s="1"/>
  <c r="EE21" i="14"/>
  <c r="EC21" i="14"/>
  <c r="EK23" i="14"/>
  <c r="EN23" i="14" s="1"/>
  <c r="EM26" i="14"/>
  <c r="EN26" i="14" s="1"/>
  <c r="EM27" i="14"/>
  <c r="EN27" i="14" s="1"/>
  <c r="EE29" i="14"/>
  <c r="EC29" i="14"/>
  <c r="EB32" i="14"/>
  <c r="EM35" i="14"/>
  <c r="EN35" i="14" s="1"/>
  <c r="ED36" i="14"/>
  <c r="EE37" i="14"/>
  <c r="EC37" i="14"/>
  <c r="EK40" i="14"/>
  <c r="AK40" i="14"/>
  <c r="EM40" i="14"/>
  <c r="EB27" i="14"/>
  <c r="EB31" i="14"/>
  <c r="EB35" i="14"/>
  <c r="EB39" i="14"/>
  <c r="EB18" i="14"/>
  <c r="EB22" i="14"/>
  <c r="EB26" i="14"/>
  <c r="EB30" i="14"/>
  <c r="EB34" i="14"/>
  <c r="EK37" i="14"/>
  <c r="EN37" i="14" s="1"/>
  <c r="EB38" i="14"/>
  <c r="EC15" i="13"/>
  <c r="EE15" i="13"/>
  <c r="EN13" i="13"/>
  <c r="EM17" i="13"/>
  <c r="EN17" i="13" s="1"/>
  <c r="EM12" i="13"/>
  <c r="EN12" i="13" s="1"/>
  <c r="ED17" i="13"/>
  <c r="EE17" i="13" s="1"/>
  <c r="EN34" i="13"/>
  <c r="EK14" i="13"/>
  <c r="EN14" i="13" s="1"/>
  <c r="EN15" i="13"/>
  <c r="EM33" i="13"/>
  <c r="EC37" i="13"/>
  <c r="J42" i="13"/>
  <c r="BC42" i="13"/>
  <c r="CY42" i="13"/>
  <c r="DW42" i="13"/>
  <c r="EM14" i="13"/>
  <c r="AN20" i="13"/>
  <c r="EM20" i="13" s="1"/>
  <c r="EN20" i="13" s="1"/>
  <c r="EM21" i="13"/>
  <c r="EH37" i="13"/>
  <c r="AN37" i="13"/>
  <c r="ED37" i="13" s="1"/>
  <c r="EE37" i="13" s="1"/>
  <c r="EK37" i="13"/>
  <c r="M42" i="13"/>
  <c r="CD42" i="13"/>
  <c r="EB11" i="13"/>
  <c r="EH11" i="13"/>
  <c r="EH12" i="13"/>
  <c r="EH14" i="13"/>
  <c r="AN17" i="13"/>
  <c r="EE19" i="13"/>
  <c r="ED23" i="13"/>
  <c r="EH24" i="13"/>
  <c r="EH26" i="13"/>
  <c r="EC26" i="13"/>
  <c r="EE26" i="13"/>
  <c r="EB31" i="13"/>
  <c r="EE32" i="13"/>
  <c r="EC32" i="13"/>
  <c r="AQ34" i="13"/>
  <c r="ED34" i="13" s="1"/>
  <c r="ED35" i="13"/>
  <c r="EK35" i="13"/>
  <c r="EN35" i="13" s="1"/>
  <c r="AQ35" i="13"/>
  <c r="EM36" i="13"/>
  <c r="EC41" i="13"/>
  <c r="EE28" i="13"/>
  <c r="EC28" i="13"/>
  <c r="EK40" i="13"/>
  <c r="AQ40" i="13"/>
  <c r="ED40" i="13" s="1"/>
  <c r="AH42" i="13"/>
  <c r="CA42" i="13"/>
  <c r="EC17" i="13"/>
  <c r="EK22" i="13"/>
  <c r="AN22" i="13"/>
  <c r="EM22" i="13" s="1"/>
  <c r="EB22" i="13"/>
  <c r="EN26" i="13"/>
  <c r="EM28" i="13"/>
  <c r="AN29" i="13"/>
  <c r="EM29" i="13" s="1"/>
  <c r="EB29" i="13"/>
  <c r="EK29" i="13"/>
  <c r="EM34" i="13"/>
  <c r="EM35" i="13"/>
  <c r="ED38" i="13"/>
  <c r="EI3" i="13"/>
  <c r="EI4" i="13" s="1"/>
  <c r="Y42" i="13"/>
  <c r="BF42" i="13"/>
  <c r="DB42" i="13"/>
  <c r="EB12" i="13"/>
  <c r="D42" i="13"/>
  <c r="ED11" i="13"/>
  <c r="P42" i="13"/>
  <c r="AB42" i="13"/>
  <c r="AK11" i="13"/>
  <c r="AW42" i="13"/>
  <c r="BI42" i="13"/>
  <c r="BU42" i="13"/>
  <c r="CG42" i="13"/>
  <c r="CS42" i="13"/>
  <c r="DE42" i="13"/>
  <c r="DQ42" i="13"/>
  <c r="AK12" i="13"/>
  <c r="ED12" i="13" s="1"/>
  <c r="EB14" i="13"/>
  <c r="EB16" i="13"/>
  <c r="AN18" i="13"/>
  <c r="EM18" i="13" s="1"/>
  <c r="EN18" i="13" s="1"/>
  <c r="EC19" i="13"/>
  <c r="ED20" i="13"/>
  <c r="EB20" i="13"/>
  <c r="EH23" i="13"/>
  <c r="EK23" i="13"/>
  <c r="AN23" i="13"/>
  <c r="EM23" i="13" s="1"/>
  <c r="EB23" i="13"/>
  <c r="EM25" i="13"/>
  <c r="EN25" i="13" s="1"/>
  <c r="EM31" i="13"/>
  <c r="EM32" i="13"/>
  <c r="AN33" i="13"/>
  <c r="EB33" i="13"/>
  <c r="EK33" i="13"/>
  <c r="EN33" i="13" s="1"/>
  <c r="EN36" i="13"/>
  <c r="EK38" i="13"/>
  <c r="AQ38" i="13"/>
  <c r="EM38" i="13" s="1"/>
  <c r="ED39" i="13"/>
  <c r="EK39" i="13"/>
  <c r="AQ39" i="13"/>
  <c r="EM39" i="13" s="1"/>
  <c r="ED41" i="13"/>
  <c r="EE41" i="13" s="1"/>
  <c r="EK24" i="13"/>
  <c r="AN24" i="13"/>
  <c r="ED24" i="13" s="1"/>
  <c r="EE24" i="13" s="1"/>
  <c r="ED25" i="13"/>
  <c r="EE25" i="13" s="1"/>
  <c r="EC25" i="13"/>
  <c r="EH30" i="13"/>
  <c r="EH34" i="13"/>
  <c r="EB34" i="13"/>
  <c r="EB35" i="13"/>
  <c r="EB36" i="13"/>
  <c r="EB40" i="13"/>
  <c r="AZ42" i="13"/>
  <c r="BL42" i="13"/>
  <c r="BX42" i="13"/>
  <c r="CJ42" i="13"/>
  <c r="CV42" i="13"/>
  <c r="DH42" i="13"/>
  <c r="DT42" i="13"/>
  <c r="EK21" i="13"/>
  <c r="AN21" i="13"/>
  <c r="ED21" i="13" s="1"/>
  <c r="EE21" i="13" s="1"/>
  <c r="ED22" i="13"/>
  <c r="EH25" i="13"/>
  <c r="EM26" i="13"/>
  <c r="EK27" i="13"/>
  <c r="AQ27" i="13"/>
  <c r="ED27" i="13" s="1"/>
  <c r="EE27" i="13" s="1"/>
  <c r="EK28" i="13"/>
  <c r="EN28" i="13" s="1"/>
  <c r="EM30" i="13"/>
  <c r="EN30" i="13" s="1"/>
  <c r="EK31" i="13"/>
  <c r="EN31" i="13" s="1"/>
  <c r="AQ31" i="13"/>
  <c r="ED31" i="13" s="1"/>
  <c r="EK32" i="13"/>
  <c r="EN32" i="13" s="1"/>
  <c r="ED33" i="13"/>
  <c r="EH38" i="13"/>
  <c r="EB38" i="13"/>
  <c r="EB39" i="13"/>
  <c r="EK41" i="13"/>
  <c r="EB30" i="13"/>
  <c r="AQ41" i="13"/>
  <c r="EM41" i="13" s="1"/>
  <c r="EC39" i="16" l="1"/>
  <c r="EE39" i="16"/>
  <c r="EC36" i="16"/>
  <c r="EE36" i="16"/>
  <c r="EN17" i="16"/>
  <c r="AK42" i="16"/>
  <c r="EN35" i="16"/>
  <c r="ED41" i="16"/>
  <c r="EE41" i="16" s="1"/>
  <c r="EM25" i="16"/>
  <c r="EM42" i="16" s="1"/>
  <c r="EN37" i="16"/>
  <c r="EC30" i="16"/>
  <c r="EC25" i="16"/>
  <c r="EC17" i="16"/>
  <c r="ED17" i="16"/>
  <c r="EE17" i="16" s="1"/>
  <c r="EH42" i="16"/>
  <c r="ED15" i="16"/>
  <c r="EE15" i="16" s="1"/>
  <c r="EC14" i="16"/>
  <c r="EC27" i="16"/>
  <c r="EE27" i="16"/>
  <c r="EE11" i="16"/>
  <c r="EC23" i="16"/>
  <c r="EE23" i="16"/>
  <c r="EC32" i="16"/>
  <c r="EE32" i="16"/>
  <c r="EC20" i="16"/>
  <c r="EE20" i="16"/>
  <c r="EN41" i="16"/>
  <c r="EN2" i="16"/>
  <c r="EM37" i="16"/>
  <c r="EC18" i="16"/>
  <c r="EM29" i="16"/>
  <c r="EN29" i="16" s="1"/>
  <c r="AN42" i="16"/>
  <c r="EC21" i="16"/>
  <c r="EC19" i="16"/>
  <c r="EE19" i="16"/>
  <c r="EN15" i="16"/>
  <c r="EN31" i="16"/>
  <c r="EC22" i="16"/>
  <c r="EC15" i="16"/>
  <c r="EC35" i="16"/>
  <c r="EC26" i="16"/>
  <c r="EN33" i="16"/>
  <c r="EE3" i="16"/>
  <c r="EN3" i="16"/>
  <c r="EN4" i="16" s="1"/>
  <c r="G5" i="15"/>
  <c r="EM36" i="15"/>
  <c r="EN36" i="15" s="1"/>
  <c r="EM28" i="15"/>
  <c r="EN28" i="15" s="1"/>
  <c r="AW39" i="15"/>
  <c r="EN20" i="15"/>
  <c r="AQ39" i="15"/>
  <c r="EM21" i="15"/>
  <c r="EM39" i="15" s="1"/>
  <c r="ED20" i="15"/>
  <c r="EE20" i="15" s="1"/>
  <c r="EM22" i="15"/>
  <c r="EN22" i="15" s="1"/>
  <c r="EH39" i="15"/>
  <c r="EC14" i="15"/>
  <c r="EC22" i="15"/>
  <c r="ED12" i="15"/>
  <c r="EE12" i="15" s="1"/>
  <c r="ED22" i="15"/>
  <c r="EE22" i="15" s="1"/>
  <c r="EN5" i="15"/>
  <c r="EE21" i="15"/>
  <c r="EC21" i="15"/>
  <c r="EN11" i="15"/>
  <c r="EE11" i="15"/>
  <c r="EC27" i="14"/>
  <c r="EE27" i="14"/>
  <c r="EE13" i="14"/>
  <c r="EC13" i="14"/>
  <c r="EC36" i="14"/>
  <c r="EC39" i="14"/>
  <c r="EE39" i="14"/>
  <c r="EC11" i="14"/>
  <c r="EE5" i="14"/>
  <c r="G7" i="14" s="1"/>
  <c r="EE3" i="14"/>
  <c r="EE11" i="14"/>
  <c r="EC12" i="14"/>
  <c r="EE12" i="14"/>
  <c r="EM13" i="14"/>
  <c r="EN13" i="14" s="1"/>
  <c r="EM20" i="14"/>
  <c r="EN20" i="14" s="1"/>
  <c r="EC34" i="14"/>
  <c r="EE34" i="14"/>
  <c r="EE32" i="14"/>
  <c r="EC32" i="14"/>
  <c r="EM41" i="14"/>
  <c r="EN11" i="14"/>
  <c r="EE20" i="14"/>
  <c r="EC20" i="14"/>
  <c r="AK41" i="14"/>
  <c r="EC30" i="14"/>
  <c r="EE30" i="14"/>
  <c r="EC38" i="14"/>
  <c r="EE38" i="14"/>
  <c r="EC26" i="14"/>
  <c r="EE26" i="14"/>
  <c r="EC35" i="14"/>
  <c r="EE35" i="14"/>
  <c r="EN28" i="14"/>
  <c r="EN32" i="14"/>
  <c r="EN5" i="14"/>
  <c r="EC18" i="14"/>
  <c r="EE18" i="14"/>
  <c r="EE16" i="14"/>
  <c r="EC16" i="14"/>
  <c r="EN3" i="14"/>
  <c r="EN4" i="14" s="1"/>
  <c r="EC22" i="14"/>
  <c r="EE22" i="14"/>
  <c r="EC31" i="14"/>
  <c r="EE31" i="14"/>
  <c r="EN40" i="14"/>
  <c r="EN2" i="14"/>
  <c r="EP2" i="14" s="1"/>
  <c r="EE24" i="14"/>
  <c r="EC24" i="14"/>
  <c r="ED41" i="14"/>
  <c r="EC30" i="13"/>
  <c r="EE30" i="13"/>
  <c r="EC34" i="13"/>
  <c r="EE34" i="13"/>
  <c r="EE20" i="13"/>
  <c r="EC20" i="13"/>
  <c r="EC29" i="13"/>
  <c r="EN3" i="13"/>
  <c r="EM37" i="13"/>
  <c r="EN37" i="13" s="1"/>
  <c r="EM40" i="13"/>
  <c r="EC14" i="13"/>
  <c r="EE14" i="13"/>
  <c r="EE22" i="13"/>
  <c r="EC22" i="13"/>
  <c r="EH42" i="13"/>
  <c r="EE39" i="13"/>
  <c r="EC39" i="13"/>
  <c r="ED29" i="13"/>
  <c r="EE29" i="13" s="1"/>
  <c r="EE36" i="13"/>
  <c r="EC36" i="13"/>
  <c r="EN24" i="13"/>
  <c r="EN38" i="13"/>
  <c r="EN23" i="13"/>
  <c r="AK42" i="13"/>
  <c r="EE31" i="13"/>
  <c r="EC31" i="13"/>
  <c r="EC11" i="13"/>
  <c r="EE5" i="13"/>
  <c r="G7" i="13" s="1"/>
  <c r="EE3" i="13"/>
  <c r="EE11" i="13"/>
  <c r="EC24" i="13"/>
  <c r="EM24" i="13"/>
  <c r="ED18" i="13"/>
  <c r="EE18" i="13" s="1"/>
  <c r="EE40" i="13"/>
  <c r="EC40" i="13"/>
  <c r="EE23" i="13"/>
  <c r="EC23" i="13"/>
  <c r="EE16" i="13"/>
  <c r="EC16" i="13"/>
  <c r="EN41" i="13"/>
  <c r="EN2" i="13"/>
  <c r="EP2" i="13" s="1"/>
  <c r="EC33" i="13"/>
  <c r="EE33" i="13"/>
  <c r="EC27" i="13"/>
  <c r="EN40" i="13"/>
  <c r="EN5" i="13"/>
  <c r="EC38" i="13"/>
  <c r="EE38" i="13"/>
  <c r="EN21" i="13"/>
  <c r="AN42" i="13"/>
  <c r="EE35" i="13"/>
  <c r="EC35" i="13"/>
  <c r="EN39" i="13"/>
  <c r="EE12" i="13"/>
  <c r="EC12" i="13"/>
  <c r="EN29" i="13"/>
  <c r="EM27" i="13"/>
  <c r="EN27" i="13" s="1"/>
  <c r="EN22" i="13"/>
  <c r="EM11" i="13"/>
  <c r="EC21" i="13"/>
  <c r="AQ42" i="13"/>
  <c r="G5" i="16" l="1"/>
  <c r="EE4" i="16"/>
  <c r="G6" i="16" s="1"/>
  <c r="ED42" i="16"/>
  <c r="EN25" i="16"/>
  <c r="EN4" i="15"/>
  <c r="EN21" i="15"/>
  <c r="EE4" i="15"/>
  <c r="G6" i="15" s="1"/>
  <c r="ED39" i="15"/>
  <c r="EE4" i="14"/>
  <c r="G6" i="14" s="1"/>
  <c r="G5" i="14"/>
  <c r="EM42" i="13"/>
  <c r="EN11" i="13"/>
  <c r="ED42" i="13"/>
  <c r="EE4" i="13"/>
  <c r="G6" i="13" s="1"/>
  <c r="G5" i="13"/>
  <c r="EN4" i="13"/>
  <c r="EL42" i="12" l="1"/>
  <c r="EG42" i="12"/>
  <c r="EI42" i="12" s="1"/>
  <c r="EB42" i="12"/>
  <c r="DW42" i="12"/>
  <c r="DT42" i="12"/>
  <c r="DQ42" i="12"/>
  <c r="DN42" i="12"/>
  <c r="DK42" i="12"/>
  <c r="DH42" i="12"/>
  <c r="DE42" i="12"/>
  <c r="DB42" i="12"/>
  <c r="CY42" i="12"/>
  <c r="CV42" i="12"/>
  <c r="CS42" i="12"/>
  <c r="CP42" i="12"/>
  <c r="CM42" i="12"/>
  <c r="CJ42" i="12"/>
  <c r="CG42" i="12"/>
  <c r="CD42" i="12"/>
  <c r="CA42" i="12"/>
  <c r="BX42" i="12"/>
  <c r="BU42" i="12"/>
  <c r="BR42" i="12"/>
  <c r="BO42" i="12"/>
  <c r="BL42" i="12"/>
  <c r="BI42" i="12"/>
  <c r="BF42" i="12"/>
  <c r="BC42" i="12"/>
  <c r="AZ42" i="12"/>
  <c r="AW42" i="12"/>
  <c r="AT42" i="12"/>
  <c r="AR42" i="12"/>
  <c r="EK42" i="12" s="1"/>
  <c r="AO42" i="12"/>
  <c r="AQ42" i="12" s="1"/>
  <c r="AN42" i="12"/>
  <c r="AL42" i="12"/>
  <c r="AI42" i="12"/>
  <c r="AK42" i="12" s="1"/>
  <c r="AB42" i="12"/>
  <c r="Y42" i="12"/>
  <c r="V42" i="12"/>
  <c r="S42" i="12"/>
  <c r="P42" i="12"/>
  <c r="M42" i="12"/>
  <c r="J42" i="12"/>
  <c r="G42" i="12"/>
  <c r="D42" i="12"/>
  <c r="EL41" i="12"/>
  <c r="EI41" i="12"/>
  <c r="EG41" i="12"/>
  <c r="DW41" i="12"/>
  <c r="DT41" i="12"/>
  <c r="DQ41" i="12"/>
  <c r="DN41" i="12"/>
  <c r="DK41" i="12"/>
  <c r="DH41" i="12"/>
  <c r="DE41" i="12"/>
  <c r="DB41" i="12"/>
  <c r="CY41" i="12"/>
  <c r="CV41" i="12"/>
  <c r="CS41" i="12"/>
  <c r="CP41" i="12"/>
  <c r="CM41" i="12"/>
  <c r="CJ41" i="12"/>
  <c r="CG41" i="12"/>
  <c r="CD41" i="12"/>
  <c r="CA41" i="12"/>
  <c r="BX41" i="12"/>
  <c r="BU41" i="12"/>
  <c r="BR41" i="12"/>
  <c r="BO41" i="12"/>
  <c r="BL41" i="12"/>
  <c r="BI41" i="12"/>
  <c r="BF41" i="12"/>
  <c r="BC41" i="12"/>
  <c r="AZ41" i="12"/>
  <c r="AW41" i="12"/>
  <c r="AR41" i="12"/>
  <c r="AT41" i="12" s="1"/>
  <c r="AQ41" i="12"/>
  <c r="AO41" i="12"/>
  <c r="AL41" i="12"/>
  <c r="EB41" i="12" s="1"/>
  <c r="AK41" i="12"/>
  <c r="AI41" i="12"/>
  <c r="AB41" i="12"/>
  <c r="Y41" i="12"/>
  <c r="EH41" i="12" s="1"/>
  <c r="V41" i="12"/>
  <c r="S41" i="12"/>
  <c r="P41" i="12"/>
  <c r="M41" i="12"/>
  <c r="J41" i="12"/>
  <c r="G41" i="12"/>
  <c r="D41" i="12"/>
  <c r="EL40" i="12"/>
  <c r="EG40" i="12"/>
  <c r="EI40" i="12" s="1"/>
  <c r="EB40" i="12"/>
  <c r="DW40" i="12"/>
  <c r="DT40" i="12"/>
  <c r="DQ40" i="12"/>
  <c r="DN40" i="12"/>
  <c r="DK40" i="12"/>
  <c r="DH40" i="12"/>
  <c r="DE40" i="12"/>
  <c r="DB40" i="12"/>
  <c r="CY40" i="12"/>
  <c r="CV40" i="12"/>
  <c r="CS40" i="12"/>
  <c r="CP40" i="12"/>
  <c r="CM40" i="12"/>
  <c r="CJ40" i="12"/>
  <c r="CG40" i="12"/>
  <c r="CD40" i="12"/>
  <c r="CA40" i="12"/>
  <c r="BX40" i="12"/>
  <c r="BU40" i="12"/>
  <c r="BR40" i="12"/>
  <c r="BO40" i="12"/>
  <c r="BL40" i="12"/>
  <c r="BI40" i="12"/>
  <c r="BF40" i="12"/>
  <c r="BC40" i="12"/>
  <c r="AZ40" i="12"/>
  <c r="AW40" i="12"/>
  <c r="AT40" i="12"/>
  <c r="AR40" i="12"/>
  <c r="EK40" i="12" s="1"/>
  <c r="AO40" i="12"/>
  <c r="AQ40" i="12" s="1"/>
  <c r="AN40" i="12"/>
  <c r="AL40" i="12"/>
  <c r="AI40" i="12"/>
  <c r="AK40" i="12" s="1"/>
  <c r="AB40" i="12"/>
  <c r="Y40" i="12"/>
  <c r="V40" i="12"/>
  <c r="S40" i="12"/>
  <c r="P40" i="12"/>
  <c r="M40" i="12"/>
  <c r="J40" i="12"/>
  <c r="G40" i="12"/>
  <c r="D40" i="12"/>
  <c r="EL39" i="12"/>
  <c r="EI39" i="12"/>
  <c r="EG39" i="12"/>
  <c r="DW39" i="12"/>
  <c r="DT39" i="12"/>
  <c r="DQ39" i="12"/>
  <c r="DN39" i="12"/>
  <c r="DK39" i="12"/>
  <c r="DH39" i="12"/>
  <c r="DE39" i="12"/>
  <c r="DB39" i="12"/>
  <c r="CY39" i="12"/>
  <c r="CV39" i="12"/>
  <c r="CS39" i="12"/>
  <c r="CP39" i="12"/>
  <c r="CM39" i="12"/>
  <c r="CJ39" i="12"/>
  <c r="CG39" i="12"/>
  <c r="CD39" i="12"/>
  <c r="CA39" i="12"/>
  <c r="BX39" i="12"/>
  <c r="BU39" i="12"/>
  <c r="BR39" i="12"/>
  <c r="BO39" i="12"/>
  <c r="BL39" i="12"/>
  <c r="BI39" i="12"/>
  <c r="BF39" i="12"/>
  <c r="BC39" i="12"/>
  <c r="AZ39" i="12"/>
  <c r="AW39" i="12"/>
  <c r="AR39" i="12"/>
  <c r="AT39" i="12" s="1"/>
  <c r="AQ39" i="12"/>
  <c r="AO39" i="12"/>
  <c r="AL39" i="12"/>
  <c r="EB39" i="12" s="1"/>
  <c r="AK39" i="12"/>
  <c r="AI39" i="12"/>
  <c r="AB39" i="12"/>
  <c r="Y39" i="12"/>
  <c r="V39" i="12"/>
  <c r="S39" i="12"/>
  <c r="EH39" i="12" s="1"/>
  <c r="P39" i="12"/>
  <c r="M39" i="12"/>
  <c r="J39" i="12"/>
  <c r="G39" i="12"/>
  <c r="D39" i="12"/>
  <c r="EL38" i="12"/>
  <c r="EG38" i="12"/>
  <c r="EI38" i="12" s="1"/>
  <c r="EB38" i="12"/>
  <c r="DW38" i="12"/>
  <c r="DT38" i="12"/>
  <c r="DQ38" i="12"/>
  <c r="DN38" i="12"/>
  <c r="DK38" i="12"/>
  <c r="DH38" i="12"/>
  <c r="DE38" i="12"/>
  <c r="DB38" i="12"/>
  <c r="CY38" i="12"/>
  <c r="CV38" i="12"/>
  <c r="CS38" i="12"/>
  <c r="CP38" i="12"/>
  <c r="CM38" i="12"/>
  <c r="CJ38" i="12"/>
  <c r="CG38" i="12"/>
  <c r="CD38" i="12"/>
  <c r="CA38" i="12"/>
  <c r="BX38" i="12"/>
  <c r="BU38" i="12"/>
  <c r="BR38" i="12"/>
  <c r="BO38" i="12"/>
  <c r="BL38" i="12"/>
  <c r="BI38" i="12"/>
  <c r="BF38" i="12"/>
  <c r="BC38" i="12"/>
  <c r="AZ38" i="12"/>
  <c r="AW38" i="12"/>
  <c r="AT38" i="12"/>
  <c r="AR38" i="12"/>
  <c r="EK38" i="12" s="1"/>
  <c r="AO38" i="12"/>
  <c r="AQ38" i="12" s="1"/>
  <c r="AN38" i="12"/>
  <c r="AL38" i="12"/>
  <c r="AI38" i="12"/>
  <c r="AK38" i="12" s="1"/>
  <c r="AB38" i="12"/>
  <c r="Y38" i="12"/>
  <c r="V38" i="12"/>
  <c r="S38" i="12"/>
  <c r="P38" i="12"/>
  <c r="M38" i="12"/>
  <c r="J38" i="12"/>
  <c r="G38" i="12"/>
  <c r="D38" i="12"/>
  <c r="EL37" i="12"/>
  <c r="EI37" i="12"/>
  <c r="EG37" i="12"/>
  <c r="DW37" i="12"/>
  <c r="DT37" i="12"/>
  <c r="DQ37" i="12"/>
  <c r="DN37" i="12"/>
  <c r="DK37" i="12"/>
  <c r="DH37" i="12"/>
  <c r="DE37" i="12"/>
  <c r="DB37" i="12"/>
  <c r="CY37" i="12"/>
  <c r="CV37" i="12"/>
  <c r="CS37" i="12"/>
  <c r="CP37" i="12"/>
  <c r="CM37" i="12"/>
  <c r="CJ37" i="12"/>
  <c r="CG37" i="12"/>
  <c r="CD37" i="12"/>
  <c r="CA37" i="12"/>
  <c r="BX37" i="12"/>
  <c r="BU37" i="12"/>
  <c r="BR37" i="12"/>
  <c r="BO37" i="12"/>
  <c r="BL37" i="12"/>
  <c r="BI37" i="12"/>
  <c r="BF37" i="12"/>
  <c r="BC37" i="12"/>
  <c r="AZ37" i="12"/>
  <c r="AW37" i="12"/>
  <c r="AR37" i="12"/>
  <c r="AT37" i="12" s="1"/>
  <c r="AQ37" i="12"/>
  <c r="AO37" i="12"/>
  <c r="AL37" i="12"/>
  <c r="EB37" i="12" s="1"/>
  <c r="AK37" i="12"/>
  <c r="AI37" i="12"/>
  <c r="AB37" i="12"/>
  <c r="Y37" i="12"/>
  <c r="V37" i="12"/>
  <c r="S37" i="12"/>
  <c r="EH37" i="12" s="1"/>
  <c r="P37" i="12"/>
  <c r="M37" i="12"/>
  <c r="J37" i="12"/>
  <c r="G37" i="12"/>
  <c r="D37" i="12"/>
  <c r="EL36" i="12"/>
  <c r="EG36" i="12"/>
  <c r="EI36" i="12" s="1"/>
  <c r="EB36" i="12"/>
  <c r="DW36" i="12"/>
  <c r="DT36" i="12"/>
  <c r="DQ36" i="12"/>
  <c r="DN36" i="12"/>
  <c r="DK36" i="12"/>
  <c r="DH36" i="12"/>
  <c r="DE36" i="12"/>
  <c r="DB36" i="12"/>
  <c r="CY36" i="12"/>
  <c r="CV36" i="12"/>
  <c r="CS36" i="12"/>
  <c r="CP36" i="12"/>
  <c r="CM36" i="12"/>
  <c r="CJ36" i="12"/>
  <c r="CG36" i="12"/>
  <c r="CD36" i="12"/>
  <c r="CA36" i="12"/>
  <c r="BX36" i="12"/>
  <c r="BU36" i="12"/>
  <c r="BR36" i="12"/>
  <c r="BO36" i="12"/>
  <c r="BL36" i="12"/>
  <c r="BI36" i="12"/>
  <c r="BF36" i="12"/>
  <c r="BC36" i="12"/>
  <c r="AZ36" i="12"/>
  <c r="AW36" i="12"/>
  <c r="AT36" i="12"/>
  <c r="AR36" i="12"/>
  <c r="EK36" i="12" s="1"/>
  <c r="AO36" i="12"/>
  <c r="AQ36" i="12" s="1"/>
  <c r="AN36" i="12"/>
  <c r="AL36" i="12"/>
  <c r="AI36" i="12"/>
  <c r="AK36" i="12" s="1"/>
  <c r="AB36" i="12"/>
  <c r="Y36" i="12"/>
  <c r="V36" i="12"/>
  <c r="S36" i="12"/>
  <c r="P36" i="12"/>
  <c r="M36" i="12"/>
  <c r="J36" i="12"/>
  <c r="G36" i="12"/>
  <c r="D36" i="12"/>
  <c r="EL35" i="12"/>
  <c r="EI35" i="12"/>
  <c r="EG35" i="12"/>
  <c r="DW35" i="12"/>
  <c r="DT35" i="12"/>
  <c r="DQ35" i="12"/>
  <c r="DN35" i="12"/>
  <c r="DK35" i="12"/>
  <c r="DH35" i="12"/>
  <c r="DE35" i="12"/>
  <c r="DB35" i="12"/>
  <c r="CY35" i="12"/>
  <c r="CV35" i="12"/>
  <c r="CS35" i="12"/>
  <c r="CP35" i="12"/>
  <c r="CM35" i="12"/>
  <c r="CJ35" i="12"/>
  <c r="CG35" i="12"/>
  <c r="CD35" i="12"/>
  <c r="CA35" i="12"/>
  <c r="BX35" i="12"/>
  <c r="BU35" i="12"/>
  <c r="BR35" i="12"/>
  <c r="BO35" i="12"/>
  <c r="BL35" i="12"/>
  <c r="BI35" i="12"/>
  <c r="BF35" i="12"/>
  <c r="BC35" i="12"/>
  <c r="AZ35" i="12"/>
  <c r="AW35" i="12"/>
  <c r="AR35" i="12"/>
  <c r="AT35" i="12" s="1"/>
  <c r="AQ35" i="12"/>
  <c r="AO35" i="12"/>
  <c r="AL35" i="12"/>
  <c r="EB35" i="12" s="1"/>
  <c r="AK35" i="12"/>
  <c r="AI35" i="12"/>
  <c r="AB35" i="12"/>
  <c r="Y35" i="12"/>
  <c r="V35" i="12"/>
  <c r="S35" i="12"/>
  <c r="EH35" i="12" s="1"/>
  <c r="P35" i="12"/>
  <c r="M35" i="12"/>
  <c r="J35" i="12"/>
  <c r="G35" i="12"/>
  <c r="D35" i="12"/>
  <c r="EL34" i="12"/>
  <c r="EG34" i="12"/>
  <c r="EI34" i="12" s="1"/>
  <c r="EB34" i="12"/>
  <c r="DW34" i="12"/>
  <c r="DT34" i="12"/>
  <c r="DQ34" i="12"/>
  <c r="DN34" i="12"/>
  <c r="DK34" i="12"/>
  <c r="DH34" i="12"/>
  <c r="DE34" i="12"/>
  <c r="DB34" i="12"/>
  <c r="CY34" i="12"/>
  <c r="CV34" i="12"/>
  <c r="CS34" i="12"/>
  <c r="CP34" i="12"/>
  <c r="CM34" i="12"/>
  <c r="CJ34" i="12"/>
  <c r="CG34" i="12"/>
  <c r="CD34" i="12"/>
  <c r="CA34" i="12"/>
  <c r="BX34" i="12"/>
  <c r="BU34" i="12"/>
  <c r="BR34" i="12"/>
  <c r="BO34" i="12"/>
  <c r="BL34" i="12"/>
  <c r="BI34" i="12"/>
  <c r="BF34" i="12"/>
  <c r="BC34" i="12"/>
  <c r="AZ34" i="12"/>
  <c r="AW34" i="12"/>
  <c r="AT34" i="12"/>
  <c r="AR34" i="12"/>
  <c r="EK34" i="12" s="1"/>
  <c r="AO34" i="12"/>
  <c r="AQ34" i="12" s="1"/>
  <c r="AN34" i="12"/>
  <c r="AL34" i="12"/>
  <c r="AI34" i="12"/>
  <c r="AK34" i="12" s="1"/>
  <c r="AB34" i="12"/>
  <c r="Y34" i="12"/>
  <c r="V34" i="12"/>
  <c r="S34" i="12"/>
  <c r="P34" i="12"/>
  <c r="M34" i="12"/>
  <c r="J34" i="12"/>
  <c r="G34" i="12"/>
  <c r="D34" i="12"/>
  <c r="EL33" i="12"/>
  <c r="EI33" i="12"/>
  <c r="EG33" i="12"/>
  <c r="DW33" i="12"/>
  <c r="DT33" i="12"/>
  <c r="DQ33" i="12"/>
  <c r="DN33" i="12"/>
  <c r="DK33" i="12"/>
  <c r="DH33" i="12"/>
  <c r="DE33" i="12"/>
  <c r="DB33" i="12"/>
  <c r="CY33" i="12"/>
  <c r="CV33" i="12"/>
  <c r="CS33" i="12"/>
  <c r="CP33" i="12"/>
  <c r="CM33" i="12"/>
  <c r="CJ33" i="12"/>
  <c r="CG33" i="12"/>
  <c r="CD33" i="12"/>
  <c r="CA33" i="12"/>
  <c r="BX33" i="12"/>
  <c r="BU33" i="12"/>
  <c r="BR33" i="12"/>
  <c r="BO33" i="12"/>
  <c r="BL33" i="12"/>
  <c r="BI33" i="12"/>
  <c r="BF33" i="12"/>
  <c r="BC33" i="12"/>
  <c r="AZ33" i="12"/>
  <c r="AW33" i="12"/>
  <c r="AR33" i="12"/>
  <c r="AT33" i="12" s="1"/>
  <c r="AQ33" i="12"/>
  <c r="AO33" i="12"/>
  <c r="AL33" i="12"/>
  <c r="EB33" i="12" s="1"/>
  <c r="AK33" i="12"/>
  <c r="AI33" i="12"/>
  <c r="AB33" i="12"/>
  <c r="Y33" i="12"/>
  <c r="V33" i="12"/>
  <c r="S33" i="12"/>
  <c r="EH33" i="12" s="1"/>
  <c r="P33" i="12"/>
  <c r="M33" i="12"/>
  <c r="J33" i="12"/>
  <c r="G33" i="12"/>
  <c r="D33" i="12"/>
  <c r="EL32" i="12"/>
  <c r="EG32" i="12"/>
  <c r="EI32" i="12" s="1"/>
  <c r="EB32" i="12"/>
  <c r="DW32" i="12"/>
  <c r="DT32" i="12"/>
  <c r="DQ32" i="12"/>
  <c r="DN32" i="12"/>
  <c r="DK32" i="12"/>
  <c r="DH32" i="12"/>
  <c r="DE32" i="12"/>
  <c r="DB32" i="12"/>
  <c r="CY32" i="12"/>
  <c r="CV32" i="12"/>
  <c r="CS32" i="12"/>
  <c r="CP32" i="12"/>
  <c r="CM32" i="12"/>
  <c r="CJ32" i="12"/>
  <c r="CG32" i="12"/>
  <c r="CD32" i="12"/>
  <c r="CA32" i="12"/>
  <c r="BX32" i="12"/>
  <c r="BU32" i="12"/>
  <c r="BR32" i="12"/>
  <c r="BO32" i="12"/>
  <c r="BL32" i="12"/>
  <c r="BI32" i="12"/>
  <c r="BF32" i="12"/>
  <c r="BC32" i="12"/>
  <c r="AZ32" i="12"/>
  <c r="AW32" i="12"/>
  <c r="AT32" i="12"/>
  <c r="AR32" i="12"/>
  <c r="EK32" i="12" s="1"/>
  <c r="AO32" i="12"/>
  <c r="AQ32" i="12" s="1"/>
  <c r="AN32" i="12"/>
  <c r="AL32" i="12"/>
  <c r="AI32" i="12"/>
  <c r="AK32" i="12" s="1"/>
  <c r="AB32" i="12"/>
  <c r="Y32" i="12"/>
  <c r="V32" i="12"/>
  <c r="S32" i="12"/>
  <c r="P32" i="12"/>
  <c r="M32" i="12"/>
  <c r="J32" i="12"/>
  <c r="G32" i="12"/>
  <c r="D32" i="12"/>
  <c r="EL31" i="12"/>
  <c r="EI31" i="12"/>
  <c r="EG31" i="12"/>
  <c r="DW31" i="12"/>
  <c r="DT31" i="12"/>
  <c r="DQ31" i="12"/>
  <c r="DN31" i="12"/>
  <c r="DK31" i="12"/>
  <c r="DH31" i="12"/>
  <c r="DE31" i="12"/>
  <c r="DB31" i="12"/>
  <c r="CY31" i="12"/>
  <c r="CV31" i="12"/>
  <c r="CS31" i="12"/>
  <c r="CP31" i="12"/>
  <c r="CM31" i="12"/>
  <c r="CJ31" i="12"/>
  <c r="CG31" i="12"/>
  <c r="CD31" i="12"/>
  <c r="CA31" i="12"/>
  <c r="BX31" i="12"/>
  <c r="BU31" i="12"/>
  <c r="BR31" i="12"/>
  <c r="BO31" i="12"/>
  <c r="BL31" i="12"/>
  <c r="BI31" i="12"/>
  <c r="BF31" i="12"/>
  <c r="BC31" i="12"/>
  <c r="AZ31" i="12"/>
  <c r="AW31" i="12"/>
  <c r="AR31" i="12"/>
  <c r="AT31" i="12" s="1"/>
  <c r="AQ31" i="12"/>
  <c r="AO31" i="12"/>
  <c r="AL31" i="12"/>
  <c r="EB31" i="12" s="1"/>
  <c r="AK31" i="12"/>
  <c r="AI31" i="12"/>
  <c r="AB31" i="12"/>
  <c r="Y31" i="12"/>
  <c r="V31" i="12"/>
  <c r="S31" i="12"/>
  <c r="EH31" i="12" s="1"/>
  <c r="P31" i="12"/>
  <c r="M31" i="12"/>
  <c r="J31" i="12"/>
  <c r="G31" i="12"/>
  <c r="D31" i="12"/>
  <c r="EL30" i="12"/>
  <c r="EG30" i="12"/>
  <c r="EI30" i="12" s="1"/>
  <c r="EB30" i="12"/>
  <c r="DW30" i="12"/>
  <c r="DT30" i="12"/>
  <c r="DQ30" i="12"/>
  <c r="DN30" i="12"/>
  <c r="DK30" i="12"/>
  <c r="DH30" i="12"/>
  <c r="DE30" i="12"/>
  <c r="DB30" i="12"/>
  <c r="CY30" i="12"/>
  <c r="CV30" i="12"/>
  <c r="CS30" i="12"/>
  <c r="CP30" i="12"/>
  <c r="CM30" i="12"/>
  <c r="CJ30" i="12"/>
  <c r="CG30" i="12"/>
  <c r="CD30" i="12"/>
  <c r="CA30" i="12"/>
  <c r="BX30" i="12"/>
  <c r="BU30" i="12"/>
  <c r="BR30" i="12"/>
  <c r="BO30" i="12"/>
  <c r="BL30" i="12"/>
  <c r="BI30" i="12"/>
  <c r="BF30" i="12"/>
  <c r="BC30" i="12"/>
  <c r="AZ30" i="12"/>
  <c r="AW30" i="12"/>
  <c r="AT30" i="12"/>
  <c r="AR30" i="12"/>
  <c r="EK30" i="12" s="1"/>
  <c r="AO30" i="12"/>
  <c r="AQ30" i="12" s="1"/>
  <c r="AN30" i="12"/>
  <c r="AL30" i="12"/>
  <c r="AI30" i="12"/>
  <c r="AK30" i="12" s="1"/>
  <c r="AB30" i="12"/>
  <c r="Y30" i="12"/>
  <c r="V30" i="12"/>
  <c r="S30" i="12"/>
  <c r="P30" i="12"/>
  <c r="M30" i="12"/>
  <c r="J30" i="12"/>
  <c r="G30" i="12"/>
  <c r="D30" i="12"/>
  <c r="EL29" i="12"/>
  <c r="EI29" i="12"/>
  <c r="EG29" i="12"/>
  <c r="DW29" i="12"/>
  <c r="DT29" i="12"/>
  <c r="DQ29" i="12"/>
  <c r="DN29" i="12"/>
  <c r="DK29" i="12"/>
  <c r="DH29" i="12"/>
  <c r="DE29" i="12"/>
  <c r="DB29" i="12"/>
  <c r="CY29" i="12"/>
  <c r="CV29" i="12"/>
  <c r="CS29" i="12"/>
  <c r="CP29" i="12"/>
  <c r="CM29" i="12"/>
  <c r="CJ29" i="12"/>
  <c r="CG29" i="12"/>
  <c r="CD29" i="12"/>
  <c r="CA29" i="12"/>
  <c r="BX29" i="12"/>
  <c r="BU29" i="12"/>
  <c r="BR29" i="12"/>
  <c r="BO29" i="12"/>
  <c r="BL29" i="12"/>
  <c r="BI29" i="12"/>
  <c r="BF29" i="12"/>
  <c r="BC29" i="12"/>
  <c r="AZ29" i="12"/>
  <c r="AW29" i="12"/>
  <c r="AR29" i="12"/>
  <c r="AT29" i="12" s="1"/>
  <c r="AQ29" i="12"/>
  <c r="AO29" i="12"/>
  <c r="AL29" i="12"/>
  <c r="EB29" i="12" s="1"/>
  <c r="AK29" i="12"/>
  <c r="AI29" i="12"/>
  <c r="AB29" i="12"/>
  <c r="Y29" i="12"/>
  <c r="V29" i="12"/>
  <c r="S29" i="12"/>
  <c r="EH29" i="12" s="1"/>
  <c r="P29" i="12"/>
  <c r="M29" i="12"/>
  <c r="J29" i="12"/>
  <c r="G29" i="12"/>
  <c r="D29" i="12"/>
  <c r="EL28" i="12"/>
  <c r="EG28" i="12"/>
  <c r="EI28" i="12" s="1"/>
  <c r="EB28" i="12"/>
  <c r="DW28" i="12"/>
  <c r="DT28" i="12"/>
  <c r="DQ28" i="12"/>
  <c r="DN28" i="12"/>
  <c r="DK28" i="12"/>
  <c r="DH28" i="12"/>
  <c r="DE28" i="12"/>
  <c r="DB28" i="12"/>
  <c r="CY28" i="12"/>
  <c r="CV28" i="12"/>
  <c r="CS28" i="12"/>
  <c r="CP28" i="12"/>
  <c r="CM28" i="12"/>
  <c r="CJ28" i="12"/>
  <c r="CG28" i="12"/>
  <c r="CD28" i="12"/>
  <c r="CA28" i="12"/>
  <c r="BX28" i="12"/>
  <c r="BU28" i="12"/>
  <c r="BR28" i="12"/>
  <c r="BO28" i="12"/>
  <c r="BL28" i="12"/>
  <c r="BI28" i="12"/>
  <c r="BF28" i="12"/>
  <c r="BC28" i="12"/>
  <c r="AZ28" i="12"/>
  <c r="AW28" i="12"/>
  <c r="AT28" i="12"/>
  <c r="AR28" i="12"/>
  <c r="EK28" i="12" s="1"/>
  <c r="AO28" i="12"/>
  <c r="AQ28" i="12" s="1"/>
  <c r="AN28" i="12"/>
  <c r="AK28" i="12"/>
  <c r="AI28" i="12"/>
  <c r="AB28" i="12"/>
  <c r="Y28" i="12"/>
  <c r="V28" i="12"/>
  <c r="S28" i="12"/>
  <c r="EH28" i="12" s="1"/>
  <c r="P28" i="12"/>
  <c r="M28" i="12"/>
  <c r="J28" i="12"/>
  <c r="G28" i="12"/>
  <c r="D28" i="12"/>
  <c r="EL27" i="12"/>
  <c r="EG27" i="12"/>
  <c r="EI27" i="12" s="1"/>
  <c r="DW27" i="12"/>
  <c r="DT27" i="12"/>
  <c r="DQ27" i="12"/>
  <c r="DN27" i="12"/>
  <c r="DK27" i="12"/>
  <c r="DH27" i="12"/>
  <c r="DE27" i="12"/>
  <c r="DB27" i="12"/>
  <c r="CY27" i="12"/>
  <c r="CV27" i="12"/>
  <c r="CS27" i="12"/>
  <c r="CP27" i="12"/>
  <c r="CM27" i="12"/>
  <c r="CJ27" i="12"/>
  <c r="CG27" i="12"/>
  <c r="CD27" i="12"/>
  <c r="CA27" i="12"/>
  <c r="BX27" i="12"/>
  <c r="BU27" i="12"/>
  <c r="BR27" i="12"/>
  <c r="BO27" i="12"/>
  <c r="BL27" i="12"/>
  <c r="BI27" i="12"/>
  <c r="BF27" i="12"/>
  <c r="BC27" i="12"/>
  <c r="AZ27" i="12"/>
  <c r="AW27" i="12"/>
  <c r="AT27" i="12"/>
  <c r="AR27" i="12"/>
  <c r="EK27" i="12" s="1"/>
  <c r="AO27" i="12"/>
  <c r="AN27" i="12"/>
  <c r="AI27" i="12"/>
  <c r="AK27" i="12" s="1"/>
  <c r="AB27" i="12"/>
  <c r="Y27" i="12"/>
  <c r="V27" i="12"/>
  <c r="EH27" i="12" s="1"/>
  <c r="S27" i="12"/>
  <c r="P27" i="12"/>
  <c r="M27" i="12"/>
  <c r="J27" i="12"/>
  <c r="G27" i="12"/>
  <c r="D27" i="12"/>
  <c r="EL26" i="12"/>
  <c r="EI26" i="12"/>
  <c r="EG26" i="12"/>
  <c r="DW26" i="12"/>
  <c r="DT26" i="12"/>
  <c r="DQ26" i="12"/>
  <c r="DN26" i="12"/>
  <c r="DK26" i="12"/>
  <c r="DH26" i="12"/>
  <c r="DE26" i="12"/>
  <c r="DB26" i="12"/>
  <c r="CY26" i="12"/>
  <c r="CV26" i="12"/>
  <c r="CS26" i="12"/>
  <c r="CP26" i="12"/>
  <c r="CM26" i="12"/>
  <c r="CJ26" i="12"/>
  <c r="CG26" i="12"/>
  <c r="CD26" i="12"/>
  <c r="CA26" i="12"/>
  <c r="BX26" i="12"/>
  <c r="BU26" i="12"/>
  <c r="BR26" i="12"/>
  <c r="BO26" i="12"/>
  <c r="BL26" i="12"/>
  <c r="BI26" i="12"/>
  <c r="BF26" i="12"/>
  <c r="BC26" i="12"/>
  <c r="AZ26" i="12"/>
  <c r="AW26" i="12"/>
  <c r="AR26" i="12"/>
  <c r="AT26" i="12" s="1"/>
  <c r="AQ26" i="12"/>
  <c r="AO26" i="12"/>
  <c r="AN26" i="12"/>
  <c r="AI26" i="12"/>
  <c r="AK26" i="12" s="1"/>
  <c r="AB26" i="12"/>
  <c r="Y26" i="12"/>
  <c r="V26" i="12"/>
  <c r="S26" i="12"/>
  <c r="P26" i="12"/>
  <c r="M26" i="12"/>
  <c r="ED26" i="12" s="1"/>
  <c r="J26" i="12"/>
  <c r="G26" i="12"/>
  <c r="D26" i="12"/>
  <c r="EL25" i="12"/>
  <c r="EG25" i="12"/>
  <c r="EI25" i="12" s="1"/>
  <c r="DW25" i="12"/>
  <c r="DT25" i="12"/>
  <c r="DQ25" i="12"/>
  <c r="DN25" i="12"/>
  <c r="DK25" i="12"/>
  <c r="DH25" i="12"/>
  <c r="DE25" i="12"/>
  <c r="DB25" i="12"/>
  <c r="CY25" i="12"/>
  <c r="CV25" i="12"/>
  <c r="CS25" i="12"/>
  <c r="CP25" i="12"/>
  <c r="CM25" i="12"/>
  <c r="CJ25" i="12"/>
  <c r="CG25" i="12"/>
  <c r="CD25" i="12"/>
  <c r="CA25" i="12"/>
  <c r="BX25" i="12"/>
  <c r="BU25" i="12"/>
  <c r="BR25" i="12"/>
  <c r="BO25" i="12"/>
  <c r="BL25" i="12"/>
  <c r="BI25" i="12"/>
  <c r="BF25" i="12"/>
  <c r="BC25" i="12"/>
  <c r="AZ25" i="12"/>
  <c r="AW25" i="12"/>
  <c r="AR25" i="12"/>
  <c r="AQ25" i="12"/>
  <c r="AO25" i="12"/>
  <c r="AL25" i="12"/>
  <c r="AK25" i="12"/>
  <c r="AI25" i="12"/>
  <c r="AB25" i="12"/>
  <c r="Y25" i="12"/>
  <c r="V25" i="12"/>
  <c r="S25" i="12"/>
  <c r="EH25" i="12" s="1"/>
  <c r="P25" i="12"/>
  <c r="M25" i="12"/>
  <c r="J25" i="12"/>
  <c r="G25" i="12"/>
  <c r="D25" i="12"/>
  <c r="EL24" i="12"/>
  <c r="EG24" i="12"/>
  <c r="EI24" i="12" s="1"/>
  <c r="DW24" i="12"/>
  <c r="DT24" i="12"/>
  <c r="DQ24" i="12"/>
  <c r="DN24" i="12"/>
  <c r="DK24" i="12"/>
  <c r="DH24" i="12"/>
  <c r="DE24" i="12"/>
  <c r="DB24" i="12"/>
  <c r="CY24" i="12"/>
  <c r="CV24" i="12"/>
  <c r="CS24" i="12"/>
  <c r="CP24" i="12"/>
  <c r="CM24" i="12"/>
  <c r="CJ24" i="12"/>
  <c r="CG24" i="12"/>
  <c r="CD24" i="12"/>
  <c r="CA24" i="12"/>
  <c r="BX24" i="12"/>
  <c r="BU24" i="12"/>
  <c r="BR24" i="12"/>
  <c r="BO24" i="12"/>
  <c r="BL24" i="12"/>
  <c r="BI24" i="12"/>
  <c r="BF24" i="12"/>
  <c r="BC24" i="12"/>
  <c r="AZ24" i="12"/>
  <c r="AW24" i="12"/>
  <c r="AT24" i="12"/>
  <c r="AO24" i="12"/>
  <c r="AN24" i="12"/>
  <c r="AL24" i="12"/>
  <c r="AI24" i="12"/>
  <c r="AK24" i="12" s="1"/>
  <c r="AB24" i="12"/>
  <c r="Y24" i="12"/>
  <c r="V24" i="12"/>
  <c r="S24" i="12"/>
  <c r="EH24" i="12" s="1"/>
  <c r="P24" i="12"/>
  <c r="M24" i="12"/>
  <c r="J24" i="12"/>
  <c r="G24" i="12"/>
  <c r="D24" i="12"/>
  <c r="EM23" i="12"/>
  <c r="EL23" i="12"/>
  <c r="EK23" i="12"/>
  <c r="EN23" i="12" s="1"/>
  <c r="EI23" i="12"/>
  <c r="EH23" i="12"/>
  <c r="EG23" i="12"/>
  <c r="DW23" i="12"/>
  <c r="DT23" i="12"/>
  <c r="DQ23" i="12"/>
  <c r="DN23" i="12"/>
  <c r="DK23" i="12"/>
  <c r="DH23" i="12"/>
  <c r="DE23" i="12"/>
  <c r="DB23" i="12"/>
  <c r="CY23" i="12"/>
  <c r="CV23" i="12"/>
  <c r="CS23" i="12"/>
  <c r="CP23" i="12"/>
  <c r="CM23" i="12"/>
  <c r="CJ23" i="12"/>
  <c r="CG23" i="12"/>
  <c r="CD23" i="12"/>
  <c r="CA23" i="12"/>
  <c r="BX23" i="12"/>
  <c r="BU23" i="12"/>
  <c r="BR23" i="12"/>
  <c r="BO23" i="12"/>
  <c r="BL23" i="12"/>
  <c r="BI23" i="12"/>
  <c r="BF23" i="12"/>
  <c r="BC23" i="12"/>
  <c r="AZ23" i="12"/>
  <c r="AW23" i="12"/>
  <c r="AT23" i="12"/>
  <c r="AQ23" i="12"/>
  <c r="AO23" i="12"/>
  <c r="AN23" i="12"/>
  <c r="AL23" i="12"/>
  <c r="EB23" i="12" s="1"/>
  <c r="AK23" i="12"/>
  <c r="AI23" i="12"/>
  <c r="AB23" i="12"/>
  <c r="Y23" i="12"/>
  <c r="V23" i="12"/>
  <c r="S23" i="12"/>
  <c r="P23" i="12"/>
  <c r="M23" i="12"/>
  <c r="J23" i="12"/>
  <c r="G23" i="12"/>
  <c r="D23" i="12"/>
  <c r="ED23" i="12" s="1"/>
  <c r="EL22" i="12"/>
  <c r="EI22" i="12"/>
  <c r="EG22" i="12"/>
  <c r="DW22" i="12"/>
  <c r="DT22" i="12"/>
  <c r="DQ22" i="12"/>
  <c r="DN22" i="12"/>
  <c r="DK22" i="12"/>
  <c r="DH22" i="12"/>
  <c r="DE22" i="12"/>
  <c r="DB22" i="12"/>
  <c r="CY22" i="12"/>
  <c r="CV22" i="12"/>
  <c r="CS22" i="12"/>
  <c r="CP22" i="12"/>
  <c r="CM22" i="12"/>
  <c r="CJ22" i="12"/>
  <c r="CG22" i="12"/>
  <c r="CD22" i="12"/>
  <c r="CA22" i="12"/>
  <c r="BX22" i="12"/>
  <c r="BU22" i="12"/>
  <c r="BR22" i="12"/>
  <c r="BO22" i="12"/>
  <c r="BL22" i="12"/>
  <c r="BI22" i="12"/>
  <c r="BF22" i="12"/>
  <c r="BC22" i="12"/>
  <c r="AZ22" i="12"/>
  <c r="AW22" i="12"/>
  <c r="AT22" i="12"/>
  <c r="AO22" i="12"/>
  <c r="AL22" i="12"/>
  <c r="AN22" i="12" s="1"/>
  <c r="AI22" i="12"/>
  <c r="AK22" i="12" s="1"/>
  <c r="AB22" i="12"/>
  <c r="Y22" i="12"/>
  <c r="V22" i="12"/>
  <c r="S22" i="12"/>
  <c r="P22" i="12"/>
  <c r="M22" i="12"/>
  <c r="J22" i="12"/>
  <c r="G22" i="12"/>
  <c r="D22" i="12"/>
  <c r="EL21" i="12"/>
  <c r="EK21" i="12"/>
  <c r="EG21" i="12"/>
  <c r="EI21" i="12" s="1"/>
  <c r="DW21" i="12"/>
  <c r="DT21" i="12"/>
  <c r="DQ21" i="12"/>
  <c r="EM21" i="12" s="1"/>
  <c r="DN21" i="12"/>
  <c r="DK21" i="12"/>
  <c r="DH21" i="12"/>
  <c r="DE21" i="12"/>
  <c r="DB21" i="12"/>
  <c r="CY21" i="12"/>
  <c r="CV21" i="12"/>
  <c r="CS21" i="12"/>
  <c r="CP21" i="12"/>
  <c r="CM21" i="12"/>
  <c r="CJ21" i="12"/>
  <c r="CG21" i="12"/>
  <c r="CD21" i="12"/>
  <c r="CA21" i="12"/>
  <c r="BX21" i="12"/>
  <c r="BU21" i="12"/>
  <c r="BR21" i="12"/>
  <c r="BO21" i="12"/>
  <c r="BL21" i="12"/>
  <c r="BI21" i="12"/>
  <c r="BF21" i="12"/>
  <c r="BC21" i="12"/>
  <c r="AZ21" i="12"/>
  <c r="AW21" i="12"/>
  <c r="AT21" i="12"/>
  <c r="AQ21" i="12"/>
  <c r="AO21" i="12"/>
  <c r="AN21" i="12"/>
  <c r="AL21" i="12"/>
  <c r="EB21" i="12" s="1"/>
  <c r="EC21" i="12" s="1"/>
  <c r="AK21" i="12"/>
  <c r="AI21" i="12"/>
  <c r="AB21" i="12"/>
  <c r="Y21" i="12"/>
  <c r="V21" i="12"/>
  <c r="EH21" i="12" s="1"/>
  <c r="S21" i="12"/>
  <c r="P21" i="12"/>
  <c r="M21" i="12"/>
  <c r="J21" i="12"/>
  <c r="G21" i="12"/>
  <c r="D21" i="12"/>
  <c r="ED21" i="12" s="1"/>
  <c r="EL20" i="12"/>
  <c r="EG20" i="12"/>
  <c r="EI20" i="12" s="1"/>
  <c r="EB20" i="12"/>
  <c r="DW20" i="12"/>
  <c r="DT20" i="12"/>
  <c r="DQ20" i="12"/>
  <c r="DN20" i="12"/>
  <c r="DK20" i="12"/>
  <c r="DH20" i="12"/>
  <c r="DE20" i="12"/>
  <c r="DB20" i="12"/>
  <c r="CY20" i="12"/>
  <c r="CV20" i="12"/>
  <c r="CS20" i="12"/>
  <c r="CP20" i="12"/>
  <c r="CM20" i="12"/>
  <c r="CJ20" i="12"/>
  <c r="CG20" i="12"/>
  <c r="CD20" i="12"/>
  <c r="CA20" i="12"/>
  <c r="BX20" i="12"/>
  <c r="BU20" i="12"/>
  <c r="BR20" i="12"/>
  <c r="BO20" i="12"/>
  <c r="BL20" i="12"/>
  <c r="BI20" i="12"/>
  <c r="BF20" i="12"/>
  <c r="BC20" i="12"/>
  <c r="AZ20" i="12"/>
  <c r="AW20" i="12"/>
  <c r="AT20" i="12"/>
  <c r="AO20" i="12"/>
  <c r="EK20" i="12" s="1"/>
  <c r="AL20" i="12"/>
  <c r="AN20" i="12" s="1"/>
  <c r="AI20" i="12"/>
  <c r="AK20" i="12" s="1"/>
  <c r="AB20" i="12"/>
  <c r="Y20" i="12"/>
  <c r="V20" i="12"/>
  <c r="S20" i="12"/>
  <c r="EH20" i="12" s="1"/>
  <c r="P20" i="12"/>
  <c r="M20" i="12"/>
  <c r="J20" i="12"/>
  <c r="G20" i="12"/>
  <c r="D20" i="12"/>
  <c r="EL19" i="12"/>
  <c r="EK19" i="12"/>
  <c r="EI19" i="12"/>
  <c r="EG19" i="12"/>
  <c r="DW19" i="12"/>
  <c r="DT19" i="12"/>
  <c r="DQ19" i="12"/>
  <c r="EM19" i="12" s="1"/>
  <c r="DN19" i="12"/>
  <c r="DK19" i="12"/>
  <c r="DH19" i="12"/>
  <c r="DE19" i="12"/>
  <c r="DB19" i="12"/>
  <c r="CY19" i="12"/>
  <c r="CV19" i="12"/>
  <c r="CS19" i="12"/>
  <c r="CP19" i="12"/>
  <c r="CM19" i="12"/>
  <c r="CJ19" i="12"/>
  <c r="CG19" i="12"/>
  <c r="CD19" i="12"/>
  <c r="CA19" i="12"/>
  <c r="BX19" i="12"/>
  <c r="BU19" i="12"/>
  <c r="BR19" i="12"/>
  <c r="BO19" i="12"/>
  <c r="BL19" i="12"/>
  <c r="BI19" i="12"/>
  <c r="BF19" i="12"/>
  <c r="BC19" i="12"/>
  <c r="AZ19" i="12"/>
  <c r="AW19" i="12"/>
  <c r="AT19" i="12"/>
  <c r="AQ19" i="12"/>
  <c r="AO19" i="12"/>
  <c r="AN19" i="12"/>
  <c r="AL19" i="12"/>
  <c r="EB19" i="12" s="1"/>
  <c r="AK19" i="12"/>
  <c r="AI19" i="12"/>
  <c r="AB19" i="12"/>
  <c r="Y19" i="12"/>
  <c r="V19" i="12"/>
  <c r="EH19" i="12" s="1"/>
  <c r="S19" i="12"/>
  <c r="P19" i="12"/>
  <c r="M19" i="12"/>
  <c r="J19" i="12"/>
  <c r="G19" i="12"/>
  <c r="D19" i="12"/>
  <c r="EL18" i="12"/>
  <c r="EI18" i="12"/>
  <c r="EG18" i="12"/>
  <c r="DW18" i="12"/>
  <c r="DT18" i="12"/>
  <c r="DQ18" i="12"/>
  <c r="DN18" i="12"/>
  <c r="DK18" i="12"/>
  <c r="DH18" i="12"/>
  <c r="DE18" i="12"/>
  <c r="DB18" i="12"/>
  <c r="CY18" i="12"/>
  <c r="CV18" i="12"/>
  <c r="CS18" i="12"/>
  <c r="CP18" i="12"/>
  <c r="CM18" i="12"/>
  <c r="CJ18" i="12"/>
  <c r="CG18" i="12"/>
  <c r="CD18" i="12"/>
  <c r="CA18" i="12"/>
  <c r="BX18" i="12"/>
  <c r="BU18" i="12"/>
  <c r="BR18" i="12"/>
  <c r="BO18" i="12"/>
  <c r="BL18" i="12"/>
  <c r="BI18" i="12"/>
  <c r="BF18" i="12"/>
  <c r="BC18" i="12"/>
  <c r="AZ18" i="12"/>
  <c r="AW18" i="12"/>
  <c r="AT18" i="12"/>
  <c r="AO18" i="12"/>
  <c r="AL18" i="12"/>
  <c r="AN18" i="12" s="1"/>
  <c r="AI18" i="12"/>
  <c r="AK18" i="12" s="1"/>
  <c r="AB18" i="12"/>
  <c r="Y18" i="12"/>
  <c r="V18" i="12"/>
  <c r="S18" i="12"/>
  <c r="EH18" i="12" s="1"/>
  <c r="P18" i="12"/>
  <c r="M18" i="12"/>
  <c r="J18" i="12"/>
  <c r="G18" i="12"/>
  <c r="D18" i="12"/>
  <c r="EL17" i="12"/>
  <c r="EK17" i="12"/>
  <c r="EG17" i="12"/>
  <c r="EI17" i="12" s="1"/>
  <c r="DW17" i="12"/>
  <c r="DT17" i="12"/>
  <c r="DQ17" i="12"/>
  <c r="DN17" i="12"/>
  <c r="DK17" i="12"/>
  <c r="DH17" i="12"/>
  <c r="DE17" i="12"/>
  <c r="DB17" i="12"/>
  <c r="CY17" i="12"/>
  <c r="CV17" i="12"/>
  <c r="CS17" i="12"/>
  <c r="CP17" i="12"/>
  <c r="CM17" i="12"/>
  <c r="CM43" i="12" s="1"/>
  <c r="CJ17" i="12"/>
  <c r="CG17" i="12"/>
  <c r="CD17" i="12"/>
  <c r="CA17" i="12"/>
  <c r="BX17" i="12"/>
  <c r="BU17" i="12"/>
  <c r="BR17" i="12"/>
  <c r="BO17" i="12"/>
  <c r="BL17" i="12"/>
  <c r="BI17" i="12"/>
  <c r="BF17" i="12"/>
  <c r="BC17" i="12"/>
  <c r="AZ17" i="12"/>
  <c r="AW17" i="12"/>
  <c r="AT17" i="12"/>
  <c r="AQ17" i="12"/>
  <c r="AO17" i="12"/>
  <c r="AN17" i="12"/>
  <c r="AL17" i="12"/>
  <c r="EB17" i="12" s="1"/>
  <c r="AK17" i="12"/>
  <c r="AI17" i="12"/>
  <c r="AB17" i="12"/>
  <c r="Y17" i="12"/>
  <c r="V17" i="12"/>
  <c r="S17" i="12"/>
  <c r="P17" i="12"/>
  <c r="M17" i="12"/>
  <c r="J17" i="12"/>
  <c r="G17" i="12"/>
  <c r="D17" i="12"/>
  <c r="ED17" i="12" s="1"/>
  <c r="EL16" i="12"/>
  <c r="EG16" i="12"/>
  <c r="EI16" i="12" s="1"/>
  <c r="DW16" i="12"/>
  <c r="DT16" i="12"/>
  <c r="DQ16" i="12"/>
  <c r="DN16" i="12"/>
  <c r="DK16" i="12"/>
  <c r="DH16" i="12"/>
  <c r="DE16" i="12"/>
  <c r="DB16" i="12"/>
  <c r="CY16" i="12"/>
  <c r="CV16" i="12"/>
  <c r="CS16" i="12"/>
  <c r="CP16" i="12"/>
  <c r="CM16" i="12"/>
  <c r="CJ16" i="12"/>
  <c r="CG16" i="12"/>
  <c r="CD16" i="12"/>
  <c r="CA16" i="12"/>
  <c r="BX16" i="12"/>
  <c r="BU16" i="12"/>
  <c r="BR16" i="12"/>
  <c r="BO16" i="12"/>
  <c r="BL16" i="12"/>
  <c r="BI16" i="12"/>
  <c r="BF16" i="12"/>
  <c r="BC16" i="12"/>
  <c r="AZ16" i="12"/>
  <c r="AW16" i="12"/>
  <c r="AT16" i="12"/>
  <c r="AO16" i="12"/>
  <c r="AL16" i="12"/>
  <c r="AN16" i="12" s="1"/>
  <c r="AI16" i="12"/>
  <c r="AK16" i="12" s="1"/>
  <c r="AB16" i="12"/>
  <c r="Y16" i="12"/>
  <c r="V16" i="12"/>
  <c r="S16" i="12"/>
  <c r="EH16" i="12" s="1"/>
  <c r="P16" i="12"/>
  <c r="M16" i="12"/>
  <c r="J16" i="12"/>
  <c r="G16" i="12"/>
  <c r="D16" i="12"/>
  <c r="EM15" i="12"/>
  <c r="EL15" i="12"/>
  <c r="EK15" i="12"/>
  <c r="EN15" i="12" s="1"/>
  <c r="EI15" i="12"/>
  <c r="EH15" i="12"/>
  <c r="EG15" i="12"/>
  <c r="DW15" i="12"/>
  <c r="DT15" i="12"/>
  <c r="DQ15" i="12"/>
  <c r="DN15" i="12"/>
  <c r="DK15" i="12"/>
  <c r="DH15" i="12"/>
  <c r="DE15" i="12"/>
  <c r="DB15" i="12"/>
  <c r="CY15" i="12"/>
  <c r="CV15" i="12"/>
  <c r="CS15" i="12"/>
  <c r="CP15" i="12"/>
  <c r="CM15" i="12"/>
  <c r="CJ15" i="12"/>
  <c r="CG15" i="12"/>
  <c r="CD15" i="12"/>
  <c r="CA15" i="12"/>
  <c r="BX15" i="12"/>
  <c r="BU15" i="12"/>
  <c r="BR15" i="12"/>
  <c r="BO15" i="12"/>
  <c r="BL15" i="12"/>
  <c r="BI15" i="12"/>
  <c r="BF15" i="12"/>
  <c r="BC15" i="12"/>
  <c r="AZ15" i="12"/>
  <c r="AW15" i="12"/>
  <c r="AT15" i="12"/>
  <c r="AQ15" i="12"/>
  <c r="AO15" i="12"/>
  <c r="AN15" i="12"/>
  <c r="AL15" i="12"/>
  <c r="EB15" i="12" s="1"/>
  <c r="EC15" i="12" s="1"/>
  <c r="AK15" i="12"/>
  <c r="AI15" i="12"/>
  <c r="AB15" i="12"/>
  <c r="Y15" i="12"/>
  <c r="V15" i="12"/>
  <c r="S15" i="12"/>
  <c r="P15" i="12"/>
  <c r="M15" i="12"/>
  <c r="J15" i="12"/>
  <c r="G15" i="12"/>
  <c r="D15" i="12"/>
  <c r="ED15" i="12" s="1"/>
  <c r="EL14" i="12"/>
  <c r="EI14" i="12"/>
  <c r="EG14" i="12"/>
  <c r="EB14" i="12"/>
  <c r="DW14" i="12"/>
  <c r="DT14" i="12"/>
  <c r="EM14" i="12" s="1"/>
  <c r="DQ14" i="12"/>
  <c r="DN14" i="12"/>
  <c r="DK14" i="12"/>
  <c r="DH14" i="12"/>
  <c r="DE14" i="12"/>
  <c r="DB14" i="12"/>
  <c r="CY14" i="12"/>
  <c r="CV14" i="12"/>
  <c r="CS14" i="12"/>
  <c r="CP14" i="12"/>
  <c r="CM14" i="12"/>
  <c r="CJ14" i="12"/>
  <c r="CG14" i="12"/>
  <c r="CD14" i="12"/>
  <c r="CA14" i="12"/>
  <c r="BX14" i="12"/>
  <c r="BU14" i="12"/>
  <c r="BR14" i="12"/>
  <c r="BO14" i="12"/>
  <c r="BL14" i="12"/>
  <c r="BI14" i="12"/>
  <c r="BF14" i="12"/>
  <c r="BC14" i="12"/>
  <c r="AZ14" i="12"/>
  <c r="AW14" i="12"/>
  <c r="AT14" i="12"/>
  <c r="AQ14" i="12"/>
  <c r="AN14" i="12"/>
  <c r="AL14" i="12"/>
  <c r="AK14" i="12"/>
  <c r="AI14" i="12"/>
  <c r="EK14" i="12" s="1"/>
  <c r="EN14" i="12" s="1"/>
  <c r="AB14" i="12"/>
  <c r="Y14" i="12"/>
  <c r="V14" i="12"/>
  <c r="S14" i="12"/>
  <c r="P14" i="12"/>
  <c r="M14" i="12"/>
  <c r="J14" i="12"/>
  <c r="ED14" i="12" s="1"/>
  <c r="G14" i="12"/>
  <c r="D14" i="12"/>
  <c r="EL13" i="12"/>
  <c r="EI13" i="12"/>
  <c r="EG13" i="12"/>
  <c r="ED13" i="12"/>
  <c r="EB13" i="12"/>
  <c r="EC13" i="12" s="1"/>
  <c r="DW13" i="12"/>
  <c r="DT13" i="12"/>
  <c r="DQ13" i="12"/>
  <c r="DN13" i="12"/>
  <c r="DK13" i="12"/>
  <c r="DH13" i="12"/>
  <c r="DE13" i="12"/>
  <c r="DB13" i="12"/>
  <c r="CY13" i="12"/>
  <c r="CV13" i="12"/>
  <c r="CS13" i="12"/>
  <c r="CP13" i="12"/>
  <c r="CM13" i="12"/>
  <c r="CJ13" i="12"/>
  <c r="CG13" i="12"/>
  <c r="CD13" i="12"/>
  <c r="CA13" i="12"/>
  <c r="BX13" i="12"/>
  <c r="BU13" i="12"/>
  <c r="BR13" i="12"/>
  <c r="BO13" i="12"/>
  <c r="BL13" i="12"/>
  <c r="BI13" i="12"/>
  <c r="BF13" i="12"/>
  <c r="BC13" i="12"/>
  <c r="AZ13" i="12"/>
  <c r="AW13" i="12"/>
  <c r="AT13" i="12"/>
  <c r="AQ13" i="12"/>
  <c r="AN13" i="12"/>
  <c r="AL13" i="12"/>
  <c r="AK13" i="12"/>
  <c r="AI13" i="12"/>
  <c r="EK13" i="12" s="1"/>
  <c r="AB13" i="12"/>
  <c r="Y13" i="12"/>
  <c r="V13" i="12"/>
  <c r="S13" i="12"/>
  <c r="EH13" i="12" s="1"/>
  <c r="P13" i="12"/>
  <c r="M13" i="12"/>
  <c r="J13" i="12"/>
  <c r="G13" i="12"/>
  <c r="D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EL12" i="12"/>
  <c r="EI12" i="12"/>
  <c r="EG12" i="12"/>
  <c r="EB12" i="12"/>
  <c r="DW12" i="12"/>
  <c r="DW43" i="12" s="1"/>
  <c r="DT12" i="12"/>
  <c r="DQ12" i="12"/>
  <c r="DN12" i="12"/>
  <c r="DK12" i="12"/>
  <c r="DK43" i="12" s="1"/>
  <c r="DH12" i="12"/>
  <c r="DE12" i="12"/>
  <c r="DB12" i="12"/>
  <c r="CY12" i="12"/>
  <c r="CY43" i="12" s="1"/>
  <c r="CV12" i="12"/>
  <c r="CS12" i="12"/>
  <c r="CP12" i="12"/>
  <c r="CM12" i="12"/>
  <c r="CJ12" i="12"/>
  <c r="CG12" i="12"/>
  <c r="CD12" i="12"/>
  <c r="CA12" i="12"/>
  <c r="CA43" i="12" s="1"/>
  <c r="BX12" i="12"/>
  <c r="BU12" i="12"/>
  <c r="BR12" i="12"/>
  <c r="BO12" i="12"/>
  <c r="BO43" i="12" s="1"/>
  <c r="BL12" i="12"/>
  <c r="BI12" i="12"/>
  <c r="BF12" i="12"/>
  <c r="BC12" i="12"/>
  <c r="BC43" i="12" s="1"/>
  <c r="AZ12" i="12"/>
  <c r="AW12" i="12"/>
  <c r="AT12" i="12"/>
  <c r="AQ12" i="12"/>
  <c r="AN12" i="12"/>
  <c r="AL12" i="12"/>
  <c r="AK12" i="12"/>
  <c r="AI12" i="12"/>
  <c r="EK12" i="12" s="1"/>
  <c r="AB12" i="12"/>
  <c r="Y12" i="12"/>
  <c r="V12" i="12"/>
  <c r="S12" i="12"/>
  <c r="P12" i="12"/>
  <c r="P43" i="12" s="1"/>
  <c r="M12" i="12"/>
  <c r="J12" i="12"/>
  <c r="G12" i="12"/>
  <c r="D12" i="12"/>
  <c r="D43" i="12" s="1"/>
  <c r="EI6" i="12"/>
  <c r="EI3" i="12"/>
  <c r="EI5" i="12" s="1"/>
  <c r="EN2" i="12"/>
  <c r="EP2" i="12" s="1"/>
  <c r="EI2" i="12"/>
  <c r="EE2" i="12"/>
  <c r="EQ2" i="12" s="1"/>
  <c r="G5" i="12" s="1"/>
  <c r="EK18" i="12" l="1"/>
  <c r="AQ18" i="12"/>
  <c r="ED18" i="12" s="1"/>
  <c r="EE20" i="12"/>
  <c r="EC20" i="12"/>
  <c r="EE21" i="12"/>
  <c r="ED39" i="12"/>
  <c r="EE39" i="12" s="1"/>
  <c r="EE23" i="12"/>
  <c r="EC23" i="12"/>
  <c r="EM24" i="12"/>
  <c r="EM32" i="12"/>
  <c r="ED35" i="12"/>
  <c r="EC12" i="12"/>
  <c r="EE15" i="12"/>
  <c r="EK16" i="12"/>
  <c r="G43" i="12"/>
  <c r="EH12" i="12"/>
  <c r="AE43" i="12"/>
  <c r="ED12" i="12"/>
  <c r="EM13" i="12"/>
  <c r="EN13" i="12" s="1"/>
  <c r="EC14" i="12"/>
  <c r="EB16" i="12"/>
  <c r="EC17" i="12"/>
  <c r="EE17" i="12"/>
  <c r="ED19" i="12"/>
  <c r="EE19" i="12" s="1"/>
  <c r="EM20" i="12"/>
  <c r="EN20" i="12" s="1"/>
  <c r="EN21" i="12"/>
  <c r="EH22" i="12"/>
  <c r="EK22" i="12"/>
  <c r="AQ22" i="12"/>
  <c r="EM22" i="12" s="1"/>
  <c r="EK25" i="12"/>
  <c r="AT25" i="12"/>
  <c r="ED29" i="12"/>
  <c r="EE29" i="12" s="1"/>
  <c r="EM16" i="12"/>
  <c r="J43" i="12"/>
  <c r="V43" i="12"/>
  <c r="AH43" i="12"/>
  <c r="AZ43" i="12"/>
  <c r="BL43" i="12"/>
  <c r="BX43" i="12"/>
  <c r="CJ43" i="12"/>
  <c r="CV43" i="12"/>
  <c r="DH43" i="12"/>
  <c r="DT43" i="12"/>
  <c r="EM12" i="12"/>
  <c r="EH14" i="12"/>
  <c r="EH17" i="12"/>
  <c r="EM17" i="12"/>
  <c r="EN17" i="12" s="1"/>
  <c r="EM18" i="12"/>
  <c r="EC19" i="12"/>
  <c r="EN19" i="12"/>
  <c r="ED20" i="12"/>
  <c r="EB25" i="12"/>
  <c r="AN25" i="12"/>
  <c r="EM40" i="12"/>
  <c r="EN40" i="12" s="1"/>
  <c r="EM42" i="12"/>
  <c r="M43" i="12"/>
  <c r="Y43" i="12"/>
  <c r="EE13" i="12"/>
  <c r="EE14" i="12"/>
  <c r="EK24" i="12"/>
  <c r="AQ24" i="12"/>
  <c r="ED24" i="12" s="1"/>
  <c r="EN30" i="12"/>
  <c r="EN32" i="12"/>
  <c r="EN38" i="12"/>
  <c r="EN42" i="12"/>
  <c r="AB43" i="12"/>
  <c r="AT43" i="12"/>
  <c r="BR43" i="12"/>
  <c r="CD43" i="12"/>
  <c r="CP43" i="12"/>
  <c r="DB43" i="12"/>
  <c r="DN43" i="12"/>
  <c r="EB22" i="12"/>
  <c r="EB24" i="12"/>
  <c r="ED27" i="12"/>
  <c r="ED28" i="12"/>
  <c r="EE28" i="12"/>
  <c r="EC28" i="12"/>
  <c r="EC29" i="12"/>
  <c r="ED30" i="12"/>
  <c r="EE30" i="12"/>
  <c r="EC30" i="12"/>
  <c r="ED32" i="12"/>
  <c r="EE32" i="12"/>
  <c r="EC32" i="12"/>
  <c r="ED34" i="12"/>
  <c r="EE34" i="12" s="1"/>
  <c r="EC34" i="12"/>
  <c r="EE35" i="12"/>
  <c r="ED36" i="12"/>
  <c r="EE36" i="12"/>
  <c r="EC36" i="12"/>
  <c r="EC37" i="12"/>
  <c r="ED38" i="12"/>
  <c r="EE38" i="12"/>
  <c r="EC38" i="12"/>
  <c r="ED40" i="12"/>
  <c r="EE40" i="12"/>
  <c r="EC40" i="12"/>
  <c r="ED42" i="12"/>
  <c r="EE42" i="12" s="1"/>
  <c r="EC42" i="12"/>
  <c r="S43" i="12"/>
  <c r="AK43" i="12"/>
  <c r="BF43" i="12"/>
  <c r="EB18" i="12"/>
  <c r="AW43" i="12"/>
  <c r="BI43" i="12"/>
  <c r="BU43" i="12"/>
  <c r="CG43" i="12"/>
  <c r="CS43" i="12"/>
  <c r="DE43" i="12"/>
  <c r="DQ43" i="12"/>
  <c r="AQ16" i="12"/>
  <c r="ED16" i="12" s="1"/>
  <c r="AQ20" i="12"/>
  <c r="ED25" i="12"/>
  <c r="EM25" i="12"/>
  <c r="EH26" i="12"/>
  <c r="EB26" i="12"/>
  <c r="EM26" i="12"/>
  <c r="EB27" i="12"/>
  <c r="AQ27" i="12"/>
  <c r="EM27" i="12" s="1"/>
  <c r="EN27" i="12" s="1"/>
  <c r="EM28" i="12"/>
  <c r="EN28" i="12" s="1"/>
  <c r="EM29" i="12"/>
  <c r="EH30" i="12"/>
  <c r="EM30" i="12"/>
  <c r="EH32" i="12"/>
  <c r="EH34" i="12"/>
  <c r="EM34" i="12"/>
  <c r="EN34" i="12" s="1"/>
  <c r="EM35" i="12"/>
  <c r="EH36" i="12"/>
  <c r="EM36" i="12"/>
  <c r="EN36" i="12" s="1"/>
  <c r="EH38" i="12"/>
  <c r="EM38" i="12"/>
  <c r="EH40" i="12"/>
  <c r="EH42" i="12"/>
  <c r="EK26" i="12"/>
  <c r="EK29" i="12"/>
  <c r="EK31" i="12"/>
  <c r="EK33" i="12"/>
  <c r="EC33" i="12" s="1"/>
  <c r="EK35" i="12"/>
  <c r="EC35" i="12" s="1"/>
  <c r="EK37" i="12"/>
  <c r="EK39" i="12"/>
  <c r="EK41" i="12"/>
  <c r="EC41" i="12" s="1"/>
  <c r="AN29" i="12"/>
  <c r="AN31" i="12"/>
  <c r="ED31" i="12" s="1"/>
  <c r="EE31" i="12" s="1"/>
  <c r="AN33" i="12"/>
  <c r="ED33" i="12" s="1"/>
  <c r="EE33" i="12" s="1"/>
  <c r="AN35" i="12"/>
  <c r="AN37" i="12"/>
  <c r="ED37" i="12" s="1"/>
  <c r="EE37" i="12" s="1"/>
  <c r="AN39" i="12"/>
  <c r="EM39" i="12" s="1"/>
  <c r="AN41" i="12"/>
  <c r="EM41" i="12" s="1"/>
  <c r="AN43" i="12" l="1"/>
  <c r="EE16" i="12"/>
  <c r="EC16" i="12"/>
  <c r="EN16" i="12"/>
  <c r="EN37" i="12"/>
  <c r="EN29" i="12"/>
  <c r="EM37" i="12"/>
  <c r="EM31" i="12"/>
  <c r="EN31" i="12" s="1"/>
  <c r="EC26" i="12"/>
  <c r="EE26" i="12"/>
  <c r="EE24" i="12"/>
  <c r="EC24" i="12"/>
  <c r="EE6" i="12"/>
  <c r="G8" i="12" s="1"/>
  <c r="ED41" i="12"/>
  <c r="EE41" i="12" s="1"/>
  <c r="EN22" i="12"/>
  <c r="ED22" i="12"/>
  <c r="ED43" i="12" s="1"/>
  <c r="EN39" i="12"/>
  <c r="EN6" i="12"/>
  <c r="EN35" i="12"/>
  <c r="EN26" i="12"/>
  <c r="AQ43" i="12"/>
  <c r="EC18" i="12"/>
  <c r="EE18" i="12"/>
  <c r="EC22" i="12"/>
  <c r="EE22" i="12"/>
  <c r="EE12" i="12"/>
  <c r="EE3" i="12"/>
  <c r="EC25" i="12"/>
  <c r="EE25" i="12"/>
  <c r="EH43" i="12"/>
  <c r="EN18" i="12"/>
  <c r="EN41" i="12"/>
  <c r="EN33" i="12"/>
  <c r="EM33" i="12"/>
  <c r="EE27" i="12"/>
  <c r="EC27" i="12"/>
  <c r="EC39" i="12"/>
  <c r="EC31" i="12"/>
  <c r="EN24" i="12"/>
  <c r="EN25" i="12"/>
  <c r="EN12" i="12"/>
  <c r="EN3" i="12"/>
  <c r="EE5" i="12" l="1"/>
  <c r="G7" i="12" s="1"/>
  <c r="G6" i="12"/>
  <c r="EM43" i="12"/>
  <c r="EN5" i="12"/>
  <c r="I29" i="11" l="1"/>
  <c r="I30" i="11" s="1"/>
  <c r="J4" i="11" s="1"/>
  <c r="H29" i="11"/>
  <c r="C29" i="11"/>
  <c r="F28" i="11"/>
  <c r="D28" i="11"/>
  <c r="F27" i="11"/>
  <c r="E27" i="11"/>
  <c r="D27" i="11"/>
  <c r="L26" i="11"/>
  <c r="F26" i="11"/>
  <c r="E26" i="11"/>
  <c r="D26" i="11"/>
  <c r="L25" i="11"/>
  <c r="F25" i="11"/>
  <c r="E25" i="11"/>
  <c r="D25" i="11"/>
  <c r="L24" i="11"/>
  <c r="E24" i="11"/>
  <c r="F24" i="11" s="1"/>
  <c r="D24" i="11"/>
  <c r="E23" i="11"/>
  <c r="F23" i="11" s="1"/>
  <c r="D23" i="11"/>
  <c r="L22" i="11"/>
  <c r="L23" i="11"/>
  <c r="E22" i="11"/>
  <c r="F22" i="11" s="1"/>
  <c r="F29" i="11" s="1"/>
  <c r="F30" i="11" s="1"/>
  <c r="D22" i="11"/>
  <c r="F21" i="11"/>
  <c r="E21" i="11"/>
  <c r="E29" i="11" s="1"/>
  <c r="D21" i="11"/>
  <c r="D29" i="11" s="1"/>
  <c r="D30" i="11" s="1"/>
  <c r="D16" i="11"/>
  <c r="C16" i="11"/>
  <c r="D17" i="11" s="1"/>
  <c r="F15" i="11"/>
  <c r="F14" i="11"/>
  <c r="E14" i="11"/>
  <c r="F13" i="11"/>
  <c r="E13" i="11"/>
  <c r="E12" i="11"/>
  <c r="F12" i="11" s="1"/>
  <c r="E11" i="11"/>
  <c r="F11" i="11" s="1"/>
  <c r="F10" i="11"/>
  <c r="E10" i="11"/>
  <c r="F9" i="11"/>
  <c r="E9" i="11"/>
  <c r="J8" i="11"/>
  <c r="E8" i="11"/>
  <c r="E16" i="11" s="1"/>
  <c r="F8" i="11" l="1"/>
  <c r="F16" i="11" s="1"/>
  <c r="F3" i="11" s="1"/>
  <c r="J9" i="11" l="1"/>
  <c r="J11" i="11" s="1"/>
  <c r="J10" i="11"/>
  <c r="L27" i="11"/>
  <c r="L28" i="11"/>
  <c r="L29" i="11" l="1"/>
  <c r="L30" i="11" l="1"/>
  <c r="J12" i="11" s="1"/>
  <c r="J16" i="11" l="1"/>
  <c r="C24" i="2" s="1"/>
  <c r="N20" i="4"/>
  <c r="N26" i="4" s="1"/>
  <c r="M20" i="4"/>
  <c r="M26" i="4" s="1"/>
  <c r="L20" i="4"/>
  <c r="L26" i="4" s="1"/>
  <c r="K20" i="4"/>
  <c r="K26" i="4" s="1"/>
  <c r="J20" i="4"/>
  <c r="J26" i="4" s="1"/>
  <c r="I20" i="4" l="1"/>
  <c r="I26" i="4" s="1"/>
  <c r="H20" i="4"/>
  <c r="H26" i="4" s="1"/>
  <c r="G20" i="4"/>
  <c r="G26" i="4" s="1"/>
  <c r="F20" i="4"/>
  <c r="F26" i="4" s="1"/>
  <c r="E20" i="4"/>
  <c r="E26" i="4" s="1"/>
  <c r="D20" i="4"/>
  <c r="D26" i="4" s="1"/>
  <c r="C20" i="4"/>
  <c r="C26" i="4" s="1"/>
  <c r="C29" i="4" l="1"/>
  <c r="C33" i="4" l="1"/>
  <c r="D29" i="4"/>
  <c r="D33" i="4" l="1"/>
  <c r="E29" i="4" l="1"/>
  <c r="E33" i="4" l="1"/>
  <c r="F29" i="4" s="1"/>
  <c r="F33" i="4" s="1"/>
  <c r="G29" i="4" l="1"/>
  <c r="G33" i="4" l="1"/>
  <c r="H29" i="4" s="1"/>
  <c r="H33" i="4" l="1"/>
  <c r="I29" i="4"/>
  <c r="I33" i="4" l="1"/>
  <c r="J29" i="4" s="1"/>
  <c r="J33" i="4" s="1"/>
  <c r="K29" i="4" s="1"/>
  <c r="K33" i="4" s="1"/>
  <c r="L29" i="4" s="1"/>
  <c r="L33" i="4" s="1"/>
  <c r="M29" i="4" s="1"/>
  <c r="M33" i="4" s="1"/>
  <c r="N29" i="4" s="1"/>
  <c r="N33" i="4" l="1"/>
  <c r="C25" i="2" l="1"/>
  <c r="C19" i="2" s="1"/>
  <c r="C20" i="2" l="1"/>
  <c r="C22" i="2" s="1"/>
  <c r="M21" i="11" l="1"/>
  <c r="N21" i="11" l="1"/>
  <c r="M22" i="11"/>
  <c r="N22" i="11" s="1"/>
  <c r="M23" i="11" l="1"/>
  <c r="N23" i="11" s="1"/>
  <c r="M24" i="11" l="1"/>
  <c r="N24" i="11" l="1"/>
  <c r="M25" i="11"/>
  <c r="N25" i="11" s="1"/>
  <c r="M26" i="11" l="1"/>
  <c r="N26" i="11" s="1"/>
  <c r="M27" i="11" l="1"/>
  <c r="M28" i="11"/>
  <c r="N28" i="11" s="1"/>
  <c r="N27" i="11" l="1"/>
  <c r="N29" i="11" s="1"/>
  <c r="N30" i="11" s="1"/>
  <c r="J3" i="11" s="1"/>
  <c r="M29" i="11"/>
  <c r="M30" i="11" l="1"/>
  <c r="J13" i="11" s="1"/>
  <c r="J17" i="11" s="1"/>
  <c r="J5" i="11"/>
</calcChain>
</file>

<file path=xl/sharedStrings.xml><?xml version="1.0" encoding="utf-8"?>
<sst xmlns="http://schemas.openxmlformats.org/spreadsheetml/2006/main" count="5128" uniqueCount="258">
  <si>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</si>
  <si>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</si>
  <si>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</si>
  <si>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</si>
  <si>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</si>
  <si>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</si>
  <si>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</si>
  <si>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</si>
  <si>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</si>
  <si>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</si>
  <si>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</si>
  <si>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</si>
  <si>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</si>
  <si>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</si>
  <si>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</si>
  <si>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Rider RESRAM</t>
  </si>
  <si>
    <t>Actual RES Costs Incurred in Accumulation Period (Actual RES Costs)</t>
  </si>
  <si>
    <t>RES Expenses Recovered in Accumulation Period (RES Costs Recovered)</t>
  </si>
  <si>
    <t>RES Over/Under Recovery</t>
  </si>
  <si>
    <t>Interest</t>
  </si>
  <si>
    <t>(Over)/Under Recovered Costs</t>
  </si>
  <si>
    <t>RES Revenue Requirement</t>
  </si>
  <si>
    <t>True-Up</t>
  </si>
  <si>
    <t>Ordered Adjustment</t>
  </si>
  <si>
    <t>Required Offset Amount</t>
  </si>
  <si>
    <t>RESRAM Rate</t>
  </si>
  <si>
    <t>Final RESRAM Rate</t>
  </si>
  <si>
    <t>Actual RES Costs (ARC)</t>
  </si>
  <si>
    <t>RESRAM Base Amount (RBA)</t>
  </si>
  <si>
    <t>Monthly Base Amount (MBA)</t>
  </si>
  <si>
    <t>RCR (RES Costs Recovered)</t>
  </si>
  <si>
    <t>REC Costs</t>
  </si>
  <si>
    <t>Solar Rebates</t>
  </si>
  <si>
    <t>Row_ID</t>
  </si>
  <si>
    <t>Dt</t>
  </si>
  <si>
    <t>Year</t>
  </si>
  <si>
    <t>Month</t>
  </si>
  <si>
    <t>RES</t>
  </si>
  <si>
    <t>COMSGS</t>
  </si>
  <si>
    <t>COMLGS</t>
  </si>
  <si>
    <t>COMSPS</t>
  </si>
  <si>
    <t>COMLPS</t>
  </si>
  <si>
    <t>INDSGS</t>
  </si>
  <si>
    <t>INDLGS</t>
  </si>
  <si>
    <t>INDSPS</t>
  </si>
  <si>
    <t>INDLPS</t>
  </si>
  <si>
    <t>LIGHTING</t>
  </si>
  <si>
    <t>TOTAL Retail</t>
  </si>
  <si>
    <t>Baseline Calculation (DOES NOT CHANGE)</t>
  </si>
  <si>
    <t>Current Average Rate vs. Average Base Rate and Rider Adjustment Cap Calculations</t>
  </si>
  <si>
    <t xml:space="preserve">Smart Energy Plan Baseline </t>
  </si>
  <si>
    <t>Average Overall Rate</t>
  </si>
  <si>
    <t>Effective Date</t>
  </si>
  <si>
    <t>Average Base Rate</t>
  </si>
  <si>
    <t>Average Rider Rate</t>
  </si>
  <si>
    <t>ER-2016-0179</t>
  </si>
  <si>
    <t>Avg Overall Rate % Change vs. Baseline</t>
  </si>
  <si>
    <t>Target Revenue</t>
  </si>
  <si>
    <t>Class kWh</t>
  </si>
  <si>
    <t>FAC Revenue</t>
  </si>
  <si>
    <t>Total Revenues w/FAC</t>
  </si>
  <si>
    <t>Residential</t>
  </si>
  <si>
    <t>Full year number since baseline rate set*</t>
  </si>
  <si>
    <t>Small General Service</t>
  </si>
  <si>
    <t>2.85% target cap for Average Overall Rate</t>
  </si>
  <si>
    <t>Large General Service</t>
  </si>
  <si>
    <t>Current Base Rate Delta from Baseline</t>
  </si>
  <si>
    <t>Small Primary Service</t>
  </si>
  <si>
    <t>Average Overall Rate Increase Cap</t>
  </si>
  <si>
    <t>Large Primary Service*</t>
  </si>
  <si>
    <t>Current FAC</t>
  </si>
  <si>
    <t>Lighting Company Owned</t>
  </si>
  <si>
    <t>Current RESRAM</t>
  </si>
  <si>
    <t>Lighting Customer Owned</t>
  </si>
  <si>
    <t>MSD</t>
  </si>
  <si>
    <t>Average Rider Rate Caps</t>
  </si>
  <si>
    <t>Total</t>
  </si>
  <si>
    <t>RESRAM Cap</t>
  </si>
  <si>
    <t>FAC Cap</t>
  </si>
  <si>
    <t>Tax-Reform Docket (ER-2018-0362)</t>
  </si>
  <si>
    <t>Currently Effective Rates and Revenues at Time of Analysis</t>
  </si>
  <si>
    <t>Revenue Reduction</t>
  </si>
  <si>
    <t>Currently Effective Billing Units (Most Recent Rate Case)</t>
  </si>
  <si>
    <t>Currently Effective Base Rev. Req. (Most Recent Rate Case)</t>
  </si>
  <si>
    <t>Current FAC Rate</t>
  </si>
  <si>
    <t>FAC Revenues</t>
  </si>
  <si>
    <t>RESRAM Revenues</t>
  </si>
  <si>
    <t>Total Revenues</t>
  </si>
  <si>
    <t>Rate per kWh</t>
  </si>
  <si>
    <t>Rate Adjustment Cap (RAC)</t>
  </si>
  <si>
    <t>Total RESRAM Recoveries (TRR)</t>
  </si>
  <si>
    <r>
      <t xml:space="preserve">TRR Rate </t>
    </r>
    <r>
      <rPr>
        <sz val="11"/>
        <color rgb="FFFF0000"/>
        <rFont val="Calibri"/>
        <family val="2"/>
        <scheme val="minor"/>
      </rPr>
      <t>*</t>
    </r>
  </si>
  <si>
    <t>*</t>
  </si>
  <si>
    <r>
      <t>Estimated Recovery Period Sales (kWh)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)</t>
    </r>
  </si>
  <si>
    <r>
      <t>TRR Rate = Minimum of TRR divided by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, and RAC</t>
    </r>
  </si>
  <si>
    <t>Total (PAR CP)</t>
  </si>
  <si>
    <t>Revolver</t>
  </si>
  <si>
    <t>PAR CP</t>
  </si>
  <si>
    <t>ACCRUED AFTER REPORT PERIOD</t>
  </si>
  <si>
    <t>CP BALANCE</t>
  </si>
  <si>
    <t>TOTAL ST BALANCE</t>
  </si>
  <si>
    <t>MONTHLY SHORT-TERM BORROWING ANALYSIS</t>
  </si>
  <si>
    <t>Amount Outstanding</t>
  </si>
  <si>
    <t>JANUARY 2019</t>
  </si>
  <si>
    <t>TOTAL FOR MONTH</t>
  </si>
  <si>
    <t>Avg Daily Borrowing</t>
  </si>
  <si>
    <t>ST Balance on GL</t>
  </si>
  <si>
    <t>Weighted Average Rate</t>
  </si>
  <si>
    <t>From BNP Paribas Monthly Accrued Interest Report</t>
  </si>
  <si>
    <t>Peak Borrowing</t>
  </si>
  <si>
    <t>Total Borrowings</t>
  </si>
  <si>
    <t>Total Revolver Borrowings</t>
  </si>
  <si>
    <t>Total Commercial Paper Borrowings</t>
  </si>
  <si>
    <t>PAR AMT USED FOR RATE CALC ONLY</t>
  </si>
  <si>
    <t>Weighted</t>
  </si>
  <si>
    <t>PAR</t>
  </si>
  <si>
    <t>NET</t>
  </si>
  <si>
    <t>CP</t>
  </si>
  <si>
    <t>Regulated Money Pool</t>
  </si>
  <si>
    <t>Non-Regulated Money Pool</t>
  </si>
  <si>
    <t>AMC Direct Loan</t>
  </si>
  <si>
    <t>AMC Subordinated Loan</t>
  </si>
  <si>
    <t>AMC Direct Loan (Notes Backed)</t>
  </si>
  <si>
    <t>Revolver Loan 1</t>
  </si>
  <si>
    <t>Revolver Loan 2</t>
  </si>
  <si>
    <t>Revolver Loan 3</t>
  </si>
  <si>
    <t>Revolver Loan 4</t>
  </si>
  <si>
    <t>Revolver Loan 5 (ABR 365)</t>
  </si>
  <si>
    <t>Revolver Loan 6 (ABR 365)</t>
  </si>
  <si>
    <t>Commercial Paper 1</t>
  </si>
  <si>
    <t>Commercial Paper 2</t>
  </si>
  <si>
    <t>Commercial Paper 3</t>
  </si>
  <si>
    <t>Commercial Paper 4</t>
  </si>
  <si>
    <t>Commercial Paper 5</t>
  </si>
  <si>
    <t>Commercial Paper 6</t>
  </si>
  <si>
    <t>Commercial Paper 7</t>
  </si>
  <si>
    <t>Commercial Paper 8</t>
  </si>
  <si>
    <t>Commercial Paper 9</t>
  </si>
  <si>
    <t>Commercial Paper 10</t>
  </si>
  <si>
    <t>Commercial Paper 11</t>
  </si>
  <si>
    <t>Commercial Paper 12</t>
  </si>
  <si>
    <t>Commercial Paper 13</t>
  </si>
  <si>
    <t>Commercial Paper 14</t>
  </si>
  <si>
    <t>Commercial Paper 15</t>
  </si>
  <si>
    <t>Commercial Paper 16</t>
  </si>
  <si>
    <t>Commercial Paper 17</t>
  </si>
  <si>
    <t>Commercial Paper 18</t>
  </si>
  <si>
    <t>Commercial Paper 19</t>
  </si>
  <si>
    <t>Commercial Paper 20</t>
  </si>
  <si>
    <t>Commercial Paper 21</t>
  </si>
  <si>
    <t>Commercial Paper 22</t>
  </si>
  <si>
    <t>Commercial Paper 23</t>
  </si>
  <si>
    <t>Commercial Paper 24</t>
  </si>
  <si>
    <t>Commercial Paper 25</t>
  </si>
  <si>
    <t>Commercial Paper 26</t>
  </si>
  <si>
    <t>Commercial Paper 27</t>
  </si>
  <si>
    <t>Commercial Paper 28</t>
  </si>
  <si>
    <t>Commercial Paper 29</t>
  </si>
  <si>
    <t>Commercial Paper 30</t>
  </si>
  <si>
    <t>Future Use 1 - Term Loan</t>
  </si>
  <si>
    <t>TOTAL NET CP PROCEEDS</t>
  </si>
  <si>
    <t>(PAR CP)</t>
  </si>
  <si>
    <t>(NET CP)</t>
  </si>
  <si>
    <t>Daily</t>
  </si>
  <si>
    <t>Average</t>
  </si>
  <si>
    <t>Revolvers</t>
  </si>
  <si>
    <t>Date</t>
  </si>
  <si>
    <t>Amount</t>
  </si>
  <si>
    <t>Rate</t>
  </si>
  <si>
    <t>Outstanding</t>
  </si>
  <si>
    <t>MAY 2019</t>
  </si>
  <si>
    <t>APRIL 2019</t>
  </si>
  <si>
    <t>FEBRUARY 2019</t>
  </si>
  <si>
    <t>MARCH 2019</t>
  </si>
  <si>
    <t>JULY 2019</t>
  </si>
  <si>
    <t>JUNE 2019</t>
  </si>
  <si>
    <t>Accumulation Period 2</t>
  </si>
  <si>
    <t>Accumulation Period 1</t>
  </si>
  <si>
    <t>Projected RESRAM Billed kWh</t>
  </si>
  <si>
    <t>Calculated Projected RESRAM Revenues</t>
  </si>
  <si>
    <t>Revenue Authorized for Collection</t>
  </si>
  <si>
    <t>ROUR Amortization</t>
  </si>
  <si>
    <t>True-Up Calculation</t>
  </si>
  <si>
    <t>Annual Total</t>
  </si>
  <si>
    <t>557/509BLH - Wind REC Costs</t>
  </si>
  <si>
    <t>557/509CSR - Solar REC Costs</t>
  </si>
  <si>
    <t>557/5090BM - Biomass REC Costs</t>
  </si>
  <si>
    <t>557/509H20 - Hydro REC Costs</t>
  </si>
  <si>
    <t>557/509PSR - Non Customer Solar REC Costs</t>
  </si>
  <si>
    <t>(Over)/Under Difference between Billed/Authorized and Projected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</si>
  <si>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</si>
  <si>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</si>
  <si>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</si>
  <si>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</si>
  <si>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</si>
  <si>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</si>
  <si>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</si>
  <si>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</si>
  <si>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</si>
  <si>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</si>
  <si>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</si>
  <si>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</si>
  <si>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Ameren Corporation</t>
  </si>
  <si>
    <t>Reclass AP1 to AP2</t>
  </si>
  <si>
    <t>Accumulation Period 3</t>
  </si>
  <si>
    <t>ROUR+True-Up Amortization</t>
  </si>
  <si>
    <t>Interconnection Expenses</t>
  </si>
  <si>
    <t>Rate Calcuation for Recovery Period 3</t>
  </si>
  <si>
    <t>August 2020 - July 2021</t>
  </si>
  <si>
    <t>RESRAM Revenue Requirement (RRR) for Recovery Period 3</t>
  </si>
  <si>
    <t>RRR for RP 3</t>
  </si>
  <si>
    <t>Billed RESRAM ROUR &amp; True-Up Revenues</t>
  </si>
  <si>
    <t>Annualized</t>
  </si>
  <si>
    <t>Final ROUR &amp; True-Up RESRAM Rate</t>
  </si>
  <si>
    <t>8 Months</t>
  </si>
  <si>
    <t>Capital Investments</t>
  </si>
  <si>
    <t>PLANT IN-SERVICE ACCOUNTING</t>
  </si>
  <si>
    <t>Electric plant placed in-service</t>
  </si>
  <si>
    <t>Less: New Business</t>
  </si>
  <si>
    <t>Total qualifying electric plant</t>
  </si>
  <si>
    <t>Less: Assets depreciated to clearing accounts</t>
  </si>
  <si>
    <t>Less:  Retirements of plant related to in-service additions</t>
  </si>
  <si>
    <t>Total Plant for Deferred Depreciation</t>
  </si>
  <si>
    <t>Incremental rate base</t>
  </si>
  <si>
    <t>Total qualifying electric plant (from above)</t>
  </si>
  <si>
    <t>Less: Change in accumulated depreciation</t>
  </si>
  <si>
    <t>Less: Marginal increase in ADIT</t>
  </si>
  <si>
    <t>Qualifying electric plant rate base for cost of capital return</t>
  </si>
  <si>
    <t xml:space="preserve">            1 - Tax Rate</t>
  </si>
  <si>
    <t>(1) Tax Rate</t>
  </si>
  <si>
    <t>Weighted average cost of capital, plus applicable federal, state, and local income or excise taxes</t>
  </si>
  <si>
    <t>Weighted Cost of Debt</t>
  </si>
  <si>
    <t>Tax weighted Cost of Equity (Including Preferred Stock)</t>
  </si>
  <si>
    <t>Weighted Cost of Equity and Preferred Stock</t>
  </si>
  <si>
    <t>Tax Multiplier (1/1-tax rate) (1)</t>
  </si>
  <si>
    <t>Tax Weighted Rate of Return</t>
  </si>
  <si>
    <t>TOTAL</t>
  </si>
  <si>
    <t>Common Equity</t>
  </si>
  <si>
    <t>Preferred Stock</t>
  </si>
  <si>
    <t>Short Term Debt</t>
  </si>
  <si>
    <t>Long Term Debt</t>
  </si>
  <si>
    <t>Cost</t>
  </si>
  <si>
    <t>Each Type</t>
  </si>
  <si>
    <t>of Total</t>
  </si>
  <si>
    <t>Type of Capital</t>
  </si>
  <si>
    <t xml:space="preserve">Cost of </t>
  </si>
  <si>
    <t>Proportion</t>
  </si>
  <si>
    <t>Pro Forma</t>
  </si>
  <si>
    <t>input 08/02/05</t>
  </si>
  <si>
    <t>CONFIDENTIAL</t>
  </si>
  <si>
    <t>PRO FORMA</t>
  </si>
  <si>
    <t>COST OF CAPITAL SUMMARY</t>
  </si>
  <si>
    <t>AMEREN MISSOURI</t>
  </si>
  <si>
    <t>RESRAM-eligible capital investments</t>
  </si>
  <si>
    <t>Qualifying electric plant</t>
  </si>
  <si>
    <t>Cumulative Depreciation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</si>
  <si>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 ROUR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1 filing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</si>
  <si>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2 filing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</si>
</sst>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\-yy;@"/>
    <numFmt numFmtId="166" formatCode="0.0000%"/>
    <numFmt numFmtId="167" formatCode="_(* #,##0_);_(* \(#,##0\);_(* &quot;-&quot;??_);_(@_)"/>
    <numFmt numFmtId="168" formatCode="#,##0;\-#,##0"/>
    <numFmt numFmtId="169" formatCode="_(* #,##0.00000_);_(* \(#,##0.00000\);_(* &quot;-&quot;??_);_(@_)"/>
    <numFmt numFmtId="170" formatCode="&quot;$&quot;#,##0.0000"/>
    <numFmt numFmtId="171" formatCode="&quot;$&quot;#,##0.00000"/>
    <numFmt numFmtId="172" formatCode="0.0%"/>
    <numFmt numFmtId="173" formatCode="&quot;$&quot;#,##0"/>
    <numFmt numFmtId="174" formatCode="_(&quot;$&quot;* #,##0.0000_);_(&quot;$&quot;* \(#,##0.0000\);_(&quot;$&quot;* &quot;-&quot;??_);_(@_)"/>
    <numFmt numFmtId="175" formatCode="0.000000%"/>
    <numFmt numFmtId="176" formatCode="[$-409]mmmm\ yyyy;@"/>
    <numFmt numFmtId="177" formatCode="_(&quot;$&quot;* #,##0_);_(&quot;$&quot;* \(#,##0\);_(&quot;$&quot;* &quot;-&quot;??_);_(@_)"/>
    <numFmt numFmtId="178" formatCode="_(&quot;$&quot;* #,##0.00000_);_(&quot;$&quot;* \(#,##0.00000\);_(&quot;$&quot;* &quot;-&quot;??_);_(@_)"/>
    <numFmt numFmtId="179" formatCode="0.000%"/>
    <numFmt numFmtId="180" formatCode="0.0000000%"/>
    <numFmt numFmtId="181" formatCode="mm/dd/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i/>
      <u/>
      <sz val="10"/>
      <name val="Arial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0" fontId="2" fillId="0" borderId="0"/>
    <xf numFmtId="0" fontId="21" fillId="0" borderId="0"/>
  </cellStyleXfs>
  <cellXfs count="350">
    <xf numFmtId="0" fontId="0" fillId="0" borderId="0" xfId="0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wrapText="1"/>
    </xf>
    <xf numFmtId="0" fontId="0" fillId="0" borderId="0" xfId="0" applyAlignment="1">
      <alignment horizontal="left" indent="2"/>
    </xf>
    <xf numFmtId="43" fontId="0" fillId="0" borderId="0" xfId="0" applyNumberFormat="1"/>
    <xf numFmtId="44" fontId="1" fillId="0" borderId="1" xfId="2" applyBorder="1"/>
    <xf numFmtId="0" fontId="0" fillId="0" borderId="0" xfId="0" applyFill="1" applyAlignment="1">
      <alignment horizontal="left" indent="2"/>
    </xf>
    <xf numFmtId="0" fontId="3" fillId="2" borderId="1" xfId="4" applyFont="1" applyFill="1" applyBorder="1" applyAlignment="1">
      <alignment wrapText="1"/>
    </xf>
    <xf numFmtId="166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0" fontId="0" fillId="0" borderId="0" xfId="0" applyAlignment="1">
      <alignment horizontal="left" indent="3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44" fontId="1" fillId="2" borderId="1" xfId="2" applyFont="1" applyFill="1" applyBorder="1"/>
    <xf numFmtId="44" fontId="0" fillId="0" borderId="0" xfId="0" applyNumberFormat="1"/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3" fillId="0" borderId="9" xfId="4" applyNumberFormat="1" applyFont="1" applyBorder="1" applyAlignment="1">
      <alignment horizontal="center"/>
    </xf>
    <xf numFmtId="165" fontId="3" fillId="0" borderId="0" xfId="4" quotePrefix="1" applyNumberFormat="1" applyFont="1" applyBorder="1" applyAlignment="1">
      <alignment horizontal="center"/>
    </xf>
    <xf numFmtId="0" fontId="4" fillId="0" borderId="9" xfId="4" applyFont="1" applyBorder="1"/>
    <xf numFmtId="43" fontId="1" fillId="0" borderId="0" xfId="5" applyFont="1" applyBorder="1"/>
    <xf numFmtId="44" fontId="0" fillId="0" borderId="9" xfId="2" applyFont="1" applyBorder="1"/>
    <xf numFmtId="44" fontId="0" fillId="0" borderId="0" xfId="2" applyFont="1" applyBorder="1"/>
    <xf numFmtId="44" fontId="0" fillId="0" borderId="0" xfId="2" applyFont="1" applyFill="1" applyBorder="1"/>
    <xf numFmtId="43" fontId="0" fillId="0" borderId="9" xfId="0" applyNumberFormat="1" applyBorder="1"/>
    <xf numFmtId="43" fontId="0" fillId="0" borderId="0" xfId="0" applyNumberFormat="1" applyBorder="1"/>
    <xf numFmtId="44" fontId="1" fillId="0" borderId="11" xfId="2" applyBorder="1"/>
    <xf numFmtId="43" fontId="1" fillId="0" borderId="0" xfId="5" quotePrefix="1" applyFont="1" applyBorder="1"/>
    <xf numFmtId="44" fontId="1" fillId="0" borderId="0" xfId="2" quotePrefix="1" applyFont="1" applyFill="1" applyBorder="1"/>
    <xf numFmtId="43" fontId="4" fillId="0" borderId="9" xfId="1" applyFont="1" applyBorder="1"/>
    <xf numFmtId="166" fontId="0" fillId="0" borderId="12" xfId="3" applyNumberFormat="1" applyFont="1" applyFill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4" fontId="0" fillId="0" borderId="0" xfId="0" applyNumberFormat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6" fillId="5" borderId="18" xfId="0" applyNumberFormat="1" applyFont="1" applyFill="1" applyBorder="1"/>
    <xf numFmtId="0" fontId="0" fillId="0" borderId="19" xfId="0" applyBorder="1"/>
    <xf numFmtId="171" fontId="0" fillId="0" borderId="20" xfId="0" applyNumberFormat="1" applyBorder="1"/>
    <xf numFmtId="14" fontId="0" fillId="0" borderId="22" xfId="0" applyNumberFormat="1" applyBorder="1"/>
    <xf numFmtId="0" fontId="0" fillId="0" borderId="16" xfId="0" applyBorder="1"/>
    <xf numFmtId="171" fontId="0" fillId="0" borderId="18" xfId="0" applyNumberFormat="1" applyBorder="1"/>
    <xf numFmtId="0" fontId="0" fillId="0" borderId="16" xfId="0" applyFill="1" applyBorder="1"/>
    <xf numFmtId="172" fontId="0" fillId="0" borderId="18" xfId="3" applyNumberFormat="1" applyFont="1" applyBorder="1"/>
    <xf numFmtId="0" fontId="0" fillId="0" borderId="17" xfId="0" applyBorder="1"/>
    <xf numFmtId="0" fontId="0" fillId="0" borderId="18" xfId="0" applyBorder="1"/>
    <xf numFmtId="14" fontId="0" fillId="6" borderId="18" xfId="0" applyNumberFormat="1" applyFill="1" applyBorder="1"/>
    <xf numFmtId="173" fontId="0" fillId="0" borderId="17" xfId="0" applyNumberFormat="1" applyBorder="1"/>
    <xf numFmtId="3" fontId="0" fillId="0" borderId="17" xfId="0" applyNumberFormat="1" applyBorder="1"/>
    <xf numFmtId="44" fontId="0" fillId="0" borderId="17" xfId="2" applyFont="1" applyBorder="1"/>
    <xf numFmtId="44" fontId="0" fillId="0" borderId="18" xfId="2" applyFont="1" applyBorder="1"/>
    <xf numFmtId="2" fontId="0" fillId="0" borderId="18" xfId="0" applyNumberFormat="1" applyFill="1" applyBorder="1"/>
    <xf numFmtId="0" fontId="0" fillId="0" borderId="23" xfId="0" applyBorder="1"/>
    <xf numFmtId="171" fontId="0" fillId="0" borderId="22" xfId="0" applyNumberFormat="1" applyBorder="1"/>
    <xf numFmtId="170" fontId="6" fillId="7" borderId="18" xfId="0" applyNumberFormat="1" applyFont="1" applyFill="1" applyBorder="1"/>
    <xf numFmtId="0" fontId="0" fillId="0" borderId="26" xfId="0" applyBorder="1"/>
    <xf numFmtId="0" fontId="0" fillId="0" borderId="27" xfId="0" applyBorder="1"/>
    <xf numFmtId="170" fontId="0" fillId="0" borderId="27" xfId="0" applyNumberFormat="1" applyBorder="1"/>
    <xf numFmtId="170" fontId="6" fillId="0" borderId="27" xfId="0" applyNumberFormat="1" applyFont="1" applyBorder="1"/>
    <xf numFmtId="174" fontId="6" fillId="5" borderId="22" xfId="0" applyNumberFormat="1" applyFont="1" applyFill="1" applyBorder="1"/>
    <xf numFmtId="170" fontId="6" fillId="7" borderId="22" xfId="0" applyNumberFormat="1" applyFont="1" applyFill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73" fontId="0" fillId="0" borderId="18" xfId="0" applyNumberFormat="1" applyBorder="1"/>
    <xf numFmtId="3" fontId="0" fillId="6" borderId="16" xfId="0" applyNumberFormat="1" applyFill="1" applyBorder="1"/>
    <xf numFmtId="173" fontId="0" fillId="6" borderId="17" xfId="0" applyNumberFormat="1" applyFill="1" applyBorder="1"/>
    <xf numFmtId="3" fontId="0" fillId="0" borderId="16" xfId="0" applyNumberFormat="1" applyBorder="1"/>
    <xf numFmtId="170" fontId="6" fillId="5" borderId="22" xfId="0" applyNumberFormat="1" applyFont="1" applyFill="1" applyBorder="1"/>
    <xf numFmtId="0" fontId="0" fillId="0" borderId="23" xfId="0" applyBorder="1" applyAlignment="1">
      <alignment horizontal="right"/>
    </xf>
    <xf numFmtId="0" fontId="0" fillId="0" borderId="29" xfId="0" applyBorder="1"/>
    <xf numFmtId="0" fontId="0" fillId="0" borderId="27" xfId="0" applyBorder="1" applyAlignment="1">
      <alignment horizontal="right"/>
    </xf>
    <xf numFmtId="171" fontId="0" fillId="0" borderId="27" xfId="0" applyNumberFormat="1" applyBorder="1"/>
    <xf numFmtId="170" fontId="0" fillId="0" borderId="22" xfId="0" applyNumberFormat="1" applyBorder="1"/>
    <xf numFmtId="0" fontId="8" fillId="0" borderId="0" xfId="0" applyFont="1" applyAlignment="1">
      <alignment horizontal="right"/>
    </xf>
    <xf numFmtId="0" fontId="12" fillId="0" borderId="0" xfId="0" applyFont="1"/>
    <xf numFmtId="8" fontId="13" fillId="0" borderId="0" xfId="0" applyNumberFormat="1" applyFont="1"/>
    <xf numFmtId="175" fontId="13" fillId="0" borderId="0" xfId="0" applyNumberFormat="1" applyFont="1"/>
    <xf numFmtId="0" fontId="13" fillId="0" borderId="0" xfId="0" applyFont="1"/>
    <xf numFmtId="8" fontId="14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8" fontId="12" fillId="0" borderId="0" xfId="0" applyNumberFormat="1" applyFont="1"/>
    <xf numFmtId="8" fontId="0" fillId="0" borderId="0" xfId="0" applyNumberFormat="1" applyBorder="1"/>
    <xf numFmtId="17" fontId="12" fillId="0" borderId="0" xfId="0" applyNumberFormat="1" applyFont="1"/>
    <xf numFmtId="8" fontId="0" fillId="0" borderId="0" xfId="0" applyNumberFormat="1"/>
    <xf numFmtId="175" fontId="0" fillId="0" borderId="0" xfId="0" applyNumberFormat="1"/>
    <xf numFmtId="8" fontId="14" fillId="0" borderId="30" xfId="0" applyNumberFormat="1" applyFont="1" applyBorder="1"/>
    <xf numFmtId="175" fontId="0" fillId="0" borderId="31" xfId="0" applyNumberFormat="1" applyBorder="1"/>
    <xf numFmtId="0" fontId="0" fillId="0" borderId="32" xfId="0" applyBorder="1"/>
    <xf numFmtId="8" fontId="14" fillId="0" borderId="33" xfId="0" applyNumberFormat="1" applyFont="1" applyBorder="1"/>
    <xf numFmtId="175" fontId="0" fillId="0" borderId="0" xfId="0" applyNumberFormat="1" applyBorder="1"/>
    <xf numFmtId="0" fontId="0" fillId="0" borderId="34" xfId="0" applyBorder="1"/>
    <xf numFmtId="0" fontId="0" fillId="0" borderId="33" xfId="0" applyBorder="1"/>
    <xf numFmtId="8" fontId="0" fillId="0" borderId="34" xfId="0" applyNumberFormat="1" applyBorder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0" fontId="0" fillId="0" borderId="0" xfId="0" applyFill="1" applyBorder="1"/>
    <xf numFmtId="175" fontId="0" fillId="0" borderId="34" xfId="0" applyNumberFormat="1" applyBorder="1"/>
    <xf numFmtId="0" fontId="0" fillId="0" borderId="35" xfId="0" applyFill="1" applyBorder="1"/>
    <xf numFmtId="8" fontId="0" fillId="0" borderId="36" xfId="0" applyNumberFormat="1" applyBorder="1"/>
    <xf numFmtId="8" fontId="0" fillId="0" borderId="37" xfId="0" applyNumberFormat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8" fontId="1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2" xfId="0" applyNumberFormat="1" applyBorder="1" applyAlignment="1">
      <alignment horizontal="centerContinuous"/>
    </xf>
    <xf numFmtId="175" fontId="0" fillId="0" borderId="2" xfId="0" applyNumberFormat="1" applyBorder="1" applyAlignment="1">
      <alignment horizontal="centerContinuous"/>
    </xf>
    <xf numFmtId="8" fontId="2" fillId="0" borderId="2" xfId="0" applyNumberFormat="1" applyFont="1" applyBorder="1" applyAlignment="1">
      <alignment horizontal="centerContinuous"/>
    </xf>
    <xf numFmtId="8" fontId="14" fillId="0" borderId="2" xfId="0" applyNumberFormat="1" applyFont="1" applyBorder="1" applyAlignment="1">
      <alignment horizontal="centerContinuous"/>
    </xf>
    <xf numFmtId="8" fontId="15" fillId="0" borderId="0" xfId="0" applyNumberFormat="1" applyFont="1" applyAlignment="1">
      <alignment horizontal="center"/>
    </xf>
    <xf numFmtId="17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173" fontId="0" fillId="0" borderId="0" xfId="0" applyNumberFormat="1" applyFill="1" applyBorder="1" applyProtection="1">
      <protection locked="0"/>
    </xf>
    <xf numFmtId="175" fontId="0" fillId="0" borderId="0" xfId="0" applyNumberFormat="1" applyFill="1" applyBorder="1" applyProtection="1">
      <protection locked="0"/>
    </xf>
    <xf numFmtId="8" fontId="2" fillId="0" borderId="0" xfId="0" applyNumberFormat="1" applyFont="1"/>
    <xf numFmtId="0" fontId="14" fillId="0" borderId="0" xfId="0" applyFont="1" applyAlignment="1">
      <alignment horizontal="right"/>
    </xf>
    <xf numFmtId="8" fontId="0" fillId="0" borderId="4" xfId="0" applyNumberFormat="1" applyBorder="1"/>
    <xf numFmtId="4" fontId="0" fillId="0" borderId="0" xfId="0" applyNumberFormat="1"/>
    <xf numFmtId="166" fontId="0" fillId="0" borderId="0" xfId="0" applyNumberFormat="1"/>
    <xf numFmtId="43" fontId="0" fillId="0" borderId="0" xfId="1" applyFont="1"/>
    <xf numFmtId="176" fontId="14" fillId="0" borderId="0" xfId="0" quotePrefix="1" applyNumberFormat="1" applyFont="1" applyFill="1" applyAlignment="1">
      <alignment horizontal="left"/>
    </xf>
    <xf numFmtId="0" fontId="17" fillId="8" borderId="38" xfId="7" applyFont="1" applyFill="1" applyBorder="1" applyAlignment="1">
      <alignment horizontal="center" wrapText="1"/>
    </xf>
    <xf numFmtId="177" fontId="18" fillId="0" borderId="0" xfId="2" applyNumberFormat="1" applyFont="1" applyFill="1" applyBorder="1" applyAlignment="1"/>
    <xf numFmtId="167" fontId="18" fillId="0" borderId="0" xfId="1" applyNumberFormat="1" applyFont="1" applyFill="1" applyBorder="1" applyAlignment="1"/>
    <xf numFmtId="177" fontId="0" fillId="0" borderId="0" xfId="2" applyNumberFormat="1" applyFont="1" applyFill="1"/>
    <xf numFmtId="0" fontId="17" fillId="0" borderId="5" xfId="0" applyFont="1" applyFill="1" applyBorder="1"/>
    <xf numFmtId="177" fontId="18" fillId="0" borderId="5" xfId="2" applyNumberFormat="1" applyFont="1" applyFill="1" applyBorder="1" applyAlignment="1"/>
    <xf numFmtId="167" fontId="18" fillId="0" borderId="5" xfId="1" applyNumberFormat="1" applyFont="1" applyFill="1" applyBorder="1" applyAlignment="1"/>
    <xf numFmtId="42" fontId="18" fillId="0" borderId="5" xfId="0" applyNumberFormat="1" applyFont="1" applyFill="1" applyBorder="1" applyAlignment="1"/>
    <xf numFmtId="42" fontId="0" fillId="0" borderId="0" xfId="0" applyNumberFormat="1"/>
    <xf numFmtId="164" fontId="18" fillId="0" borderId="0" xfId="0" applyNumberFormat="1" applyFont="1" applyFill="1" applyBorder="1" applyAlignment="1">
      <alignment horizontal="left"/>
    </xf>
    <xf numFmtId="171" fontId="8" fillId="6" borderId="17" xfId="0" applyNumberFormat="1" applyFont="1" applyFill="1" applyBorder="1"/>
    <xf numFmtId="171" fontId="0" fillId="5" borderId="17" xfId="0" applyNumberFormat="1" applyFill="1" applyBorder="1"/>
    <xf numFmtId="165" fontId="3" fillId="0" borderId="40" xfId="4" quotePrefix="1" applyNumberFormat="1" applyFont="1" applyBorder="1" applyAlignment="1">
      <alignment horizontal="center"/>
    </xf>
    <xf numFmtId="43" fontId="1" fillId="0" borderId="41" xfId="5" applyFont="1" applyBorder="1"/>
    <xf numFmtId="44" fontId="0" fillId="0" borderId="41" xfId="2" applyFont="1" applyFill="1" applyBorder="1"/>
    <xf numFmtId="43" fontId="0" fillId="0" borderId="41" xfId="0" applyNumberFormat="1" applyBorder="1"/>
    <xf numFmtId="44" fontId="1" fillId="0" borderId="21" xfId="2" applyBorder="1"/>
    <xf numFmtId="43" fontId="1" fillId="0" borderId="41" xfId="5" quotePrefix="1" applyFont="1" applyBorder="1"/>
    <xf numFmtId="166" fontId="0" fillId="0" borderId="42" xfId="3" applyNumberFormat="1" applyFont="1" applyFill="1" applyBorder="1"/>
    <xf numFmtId="177" fontId="1" fillId="0" borderId="0" xfId="2" quotePrefix="1" applyNumberFormat="1" applyFont="1" applyBorder="1"/>
    <xf numFmtId="177" fontId="1" fillId="0" borderId="41" xfId="2" quotePrefix="1" applyNumberFormat="1" applyFont="1" applyBorder="1"/>
    <xf numFmtId="177" fontId="1" fillId="0" borderId="0" xfId="2" quotePrefix="1" applyNumberFormat="1" applyFont="1" applyFill="1" applyBorder="1"/>
    <xf numFmtId="177" fontId="0" fillId="0" borderId="0" xfId="2" applyNumberFormat="1" applyFont="1" applyBorder="1"/>
    <xf numFmtId="177" fontId="0" fillId="0" borderId="41" xfId="2" applyNumberFormat="1" applyFont="1" applyBorder="1"/>
    <xf numFmtId="177" fontId="1" fillId="2" borderId="1" xfId="2" applyNumberFormat="1" applyFont="1" applyFill="1" applyBorder="1"/>
    <xf numFmtId="177" fontId="1" fillId="2" borderId="21" xfId="2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41" xfId="1" applyNumberFormat="1" applyFont="1" applyBorder="1"/>
    <xf numFmtId="167" fontId="0" fillId="0" borderId="0" xfId="0" applyNumberFormat="1" applyBorder="1"/>
    <xf numFmtId="167" fontId="0" fillId="0" borderId="9" xfId="0" applyNumberFormat="1" applyBorder="1"/>
    <xf numFmtId="167" fontId="0" fillId="0" borderId="41" xfId="0" applyNumberFormat="1" applyBorder="1"/>
    <xf numFmtId="177" fontId="0" fillId="0" borderId="9" xfId="2" applyNumberFormat="1" applyFont="1" applyBorder="1"/>
    <xf numFmtId="177" fontId="0" fillId="0" borderId="0" xfId="2" applyNumberFormat="1" applyFont="1" applyFill="1" applyBorder="1"/>
    <xf numFmtId="177" fontId="0" fillId="0" borderId="41" xfId="2" applyNumberFormat="1" applyFont="1" applyFill="1" applyBorder="1"/>
    <xf numFmtId="177" fontId="1" fillId="0" borderId="11" xfId="2" applyNumberFormat="1" applyBorder="1"/>
    <xf numFmtId="177" fontId="1" fillId="0" borderId="1" xfId="2" applyNumberFormat="1" applyBorder="1"/>
    <xf numFmtId="177" fontId="1" fillId="0" borderId="21" xfId="2" applyNumberFormat="1" applyBorder="1"/>
    <xf numFmtId="177" fontId="4" fillId="0" borderId="9" xfId="4" applyNumberFormat="1" applyFont="1" applyBorder="1"/>
    <xf numFmtId="177" fontId="1" fillId="0" borderId="0" xfId="5" quotePrefix="1" applyNumberFormat="1" applyFont="1" applyBorder="1"/>
    <xf numFmtId="177" fontId="1" fillId="0" borderId="41" xfId="5" quotePrefix="1" applyNumberFormat="1" applyFont="1" applyBorder="1"/>
    <xf numFmtId="177" fontId="1" fillId="0" borderId="9" xfId="2" quotePrefix="1" applyNumberFormat="1" applyFont="1" applyBorder="1"/>
    <xf numFmtId="177" fontId="1" fillId="0" borderId="41" xfId="2" quotePrefix="1" applyNumberFormat="1" applyFont="1" applyFill="1" applyBorder="1"/>
    <xf numFmtId="177" fontId="0" fillId="0" borderId="43" xfId="2" applyNumberFormat="1" applyFont="1" applyBorder="1"/>
    <xf numFmtId="177" fontId="1" fillId="2" borderId="11" xfId="2" applyNumberFormat="1" applyFont="1" applyFill="1" applyBorder="1"/>
    <xf numFmtId="177" fontId="0" fillId="0" borderId="0" xfId="2" applyNumberFormat="1" applyFont="1"/>
    <xf numFmtId="177" fontId="0" fillId="0" borderId="0" xfId="0" applyNumberFormat="1"/>
    <xf numFmtId="177" fontId="0" fillId="0" borderId="4" xfId="0" applyNumberFormat="1" applyBorder="1"/>
    <xf numFmtId="0" fontId="19" fillId="0" borderId="0" xfId="0" applyFont="1"/>
    <xf numFmtId="177" fontId="0" fillId="0" borderId="0" xfId="0" applyNumberFormat="1" applyFill="1"/>
    <xf numFmtId="177" fontId="0" fillId="2" borderId="1" xfId="2" applyNumberFormat="1" applyFont="1" applyFill="1" applyBorder="1"/>
    <xf numFmtId="0" fontId="0" fillId="0" borderId="0" xfId="0" applyFill="1"/>
    <xf numFmtId="42" fontId="18" fillId="0" borderId="0" xfId="2" applyNumberFormat="1" applyFont="1" applyFill="1" applyBorder="1" applyAlignment="1"/>
    <xf numFmtId="0" fontId="12" fillId="0" borderId="0" xfId="8" applyFont="1"/>
    <xf numFmtId="8" fontId="13" fillId="0" borderId="0" xfId="8" applyNumberFormat="1" applyFont="1"/>
    <xf numFmtId="175" fontId="13" fillId="0" borderId="0" xfId="8" applyNumberFormat="1" applyFont="1"/>
    <xf numFmtId="0" fontId="13" fillId="0" borderId="0" xfId="8" applyFont="1"/>
    <xf numFmtId="8" fontId="14" fillId="0" borderId="0" xfId="8" applyNumberFormat="1" applyFont="1" applyBorder="1"/>
    <xf numFmtId="0" fontId="12" fillId="0" borderId="0" xfId="8" applyFont="1" applyAlignment="1">
      <alignment horizontal="center"/>
    </xf>
    <xf numFmtId="0" fontId="12" fillId="0" borderId="0" xfId="8" applyFont="1" applyAlignment="1">
      <alignment horizontal="left"/>
    </xf>
    <xf numFmtId="8" fontId="12" fillId="0" borderId="0" xfId="8" applyNumberFormat="1" applyFont="1"/>
    <xf numFmtId="0" fontId="21" fillId="0" borderId="0" xfId="8" applyBorder="1"/>
    <xf numFmtId="8" fontId="21" fillId="0" borderId="0" xfId="8" applyNumberFormat="1" applyBorder="1"/>
    <xf numFmtId="17" fontId="12" fillId="0" borderId="0" xfId="8" applyNumberFormat="1" applyFont="1"/>
    <xf numFmtId="8" fontId="21" fillId="0" borderId="0" xfId="8" applyNumberFormat="1"/>
    <xf numFmtId="175" fontId="21" fillId="0" borderId="0" xfId="8" applyNumberFormat="1"/>
    <xf numFmtId="0" fontId="21" fillId="0" borderId="0" xfId="8"/>
    <xf numFmtId="8" fontId="14" fillId="0" borderId="30" xfId="8" applyNumberFormat="1" applyFont="1" applyBorder="1"/>
    <xf numFmtId="175" fontId="21" fillId="0" borderId="31" xfId="8" applyNumberFormat="1" applyBorder="1"/>
    <xf numFmtId="0" fontId="21" fillId="0" borderId="32" xfId="8" applyBorder="1"/>
    <xf numFmtId="0" fontId="21" fillId="0" borderId="33" xfId="8" applyBorder="1"/>
    <xf numFmtId="8" fontId="21" fillId="0" borderId="34" xfId="8" applyNumberFormat="1" applyBorder="1"/>
    <xf numFmtId="0" fontId="14" fillId="0" borderId="0" xfId="8" applyFont="1"/>
    <xf numFmtId="175" fontId="21" fillId="0" borderId="0" xfId="8" applyNumberFormat="1" applyBorder="1"/>
    <xf numFmtId="0" fontId="2" fillId="0" borderId="0" xfId="8" applyFont="1"/>
    <xf numFmtId="0" fontId="14" fillId="0" borderId="0" xfId="8" applyFont="1" applyAlignment="1">
      <alignment horizontal="center"/>
    </xf>
    <xf numFmtId="8" fontId="12" fillId="0" borderId="0" xfId="8" applyNumberFormat="1" applyFont="1" applyAlignment="1">
      <alignment horizontal="center"/>
    </xf>
    <xf numFmtId="0" fontId="21" fillId="0" borderId="0" xfId="8" applyFill="1" applyBorder="1"/>
    <xf numFmtId="175" fontId="21" fillId="0" borderId="34" xfId="8" applyNumberFormat="1" applyBorder="1"/>
    <xf numFmtId="0" fontId="21" fillId="0" borderId="35" xfId="8" applyFill="1" applyBorder="1"/>
    <xf numFmtId="8" fontId="21" fillId="0" borderId="36" xfId="8" applyNumberFormat="1" applyBorder="1"/>
    <xf numFmtId="8" fontId="21" fillId="0" borderId="37" xfId="8" applyNumberFormat="1" applyBorder="1"/>
    <xf numFmtId="0" fontId="2" fillId="0" borderId="2" xfId="8" applyFont="1" applyBorder="1" applyAlignment="1">
      <alignment horizontal="centerContinuous"/>
    </xf>
    <xf numFmtId="0" fontId="21" fillId="0" borderId="2" xfId="8" applyBorder="1" applyAlignment="1">
      <alignment horizontal="centerContinuous"/>
    </xf>
    <xf numFmtId="0" fontId="21" fillId="0" borderId="0" xfId="8" applyBorder="1" applyAlignment="1">
      <alignment horizontal="centerContinuous"/>
    </xf>
    <xf numFmtId="8" fontId="14" fillId="0" borderId="0" xfId="8" applyNumberFormat="1" applyFont="1"/>
    <xf numFmtId="0" fontId="21" fillId="0" borderId="0" xfId="8" applyAlignment="1">
      <alignment horizontal="center"/>
    </xf>
    <xf numFmtId="0" fontId="2" fillId="0" borderId="0" xfId="8" applyFont="1" applyAlignment="1">
      <alignment horizontal="center"/>
    </xf>
    <xf numFmtId="8" fontId="21" fillId="0" borderId="2" xfId="8" applyNumberFormat="1" applyBorder="1" applyAlignment="1">
      <alignment horizontal="centerContinuous"/>
    </xf>
    <xf numFmtId="175" fontId="21" fillId="0" borderId="2" xfId="8" applyNumberFormat="1" applyBorder="1" applyAlignment="1">
      <alignment horizontal="centerContinuous"/>
    </xf>
    <xf numFmtId="8" fontId="2" fillId="0" borderId="2" xfId="8" applyNumberFormat="1" applyFont="1" applyBorder="1" applyAlignment="1">
      <alignment horizontal="centerContinuous"/>
    </xf>
    <xf numFmtId="8" fontId="14" fillId="0" borderId="2" xfId="8" applyNumberFormat="1" applyFont="1" applyBorder="1" applyAlignment="1">
      <alignment horizontal="centerContinuous"/>
    </xf>
    <xf numFmtId="8" fontId="15" fillId="0" borderId="0" xfId="8" applyNumberFormat="1" applyFont="1" applyAlignment="1">
      <alignment horizontal="center"/>
    </xf>
    <xf numFmtId="175" fontId="15" fillId="0" borderId="0" xfId="8" applyNumberFormat="1" applyFont="1" applyAlignment="1">
      <alignment horizontal="center"/>
    </xf>
    <xf numFmtId="0" fontId="15" fillId="0" borderId="0" xfId="8" applyFont="1" applyAlignment="1">
      <alignment horizontal="center"/>
    </xf>
    <xf numFmtId="0" fontId="15" fillId="0" borderId="0" xfId="8" applyFont="1" applyFill="1" applyBorder="1" applyAlignment="1">
      <alignment horizontal="center"/>
    </xf>
    <xf numFmtId="14" fontId="21" fillId="0" borderId="0" xfId="8" applyNumberFormat="1"/>
    <xf numFmtId="173" fontId="21" fillId="0" borderId="0" xfId="8" applyNumberFormat="1" applyFill="1" applyBorder="1" applyProtection="1">
      <protection locked="0"/>
    </xf>
    <xf numFmtId="175" fontId="21" fillId="0" borderId="0" xfId="8" applyNumberFormat="1" applyFill="1" applyBorder="1" applyProtection="1">
      <protection locked="0"/>
    </xf>
    <xf numFmtId="8" fontId="2" fillId="0" borderId="0" xfId="8" applyNumberFormat="1" applyFont="1"/>
    <xf numFmtId="0" fontId="14" fillId="0" borderId="0" xfId="8" applyFont="1" applyAlignment="1">
      <alignment horizontal="right"/>
    </xf>
    <xf numFmtId="8" fontId="21" fillId="0" borderId="4" xfId="8" applyNumberFormat="1" applyBorder="1"/>
    <xf numFmtId="4" fontId="21" fillId="0" borderId="0" xfId="8" applyNumberFormat="1"/>
    <xf numFmtId="173" fontId="2" fillId="0" borderId="0" xfId="0" applyNumberFormat="1" applyFont="1" applyFill="1" applyBorder="1" applyProtection="1">
      <protection locked="0"/>
    </xf>
    <xf numFmtId="173" fontId="0" fillId="0" borderId="0" xfId="0" applyNumberFormat="1" applyFill="1" applyBorder="1" applyAlignment="1" applyProtection="1">
      <alignment horizontal="center"/>
      <protection locked="0"/>
    </xf>
    <xf numFmtId="0" fontId="12" fillId="0" borderId="0" xfId="7" applyFont="1"/>
    <xf numFmtId="8" fontId="13" fillId="0" borderId="0" xfId="7" applyNumberFormat="1" applyFont="1"/>
    <xf numFmtId="175" fontId="13" fillId="0" borderId="0" xfId="7" applyNumberFormat="1" applyFont="1"/>
    <xf numFmtId="0" fontId="13" fillId="0" borderId="0" xfId="7" applyFont="1"/>
    <xf numFmtId="8" fontId="14" fillId="0" borderId="0" xfId="7" applyNumberFormat="1" applyFont="1" applyBorder="1"/>
    <xf numFmtId="0" fontId="12" fillId="0" borderId="0" xfId="7" applyFont="1" applyAlignment="1">
      <alignment horizontal="center"/>
    </xf>
    <xf numFmtId="0" fontId="12" fillId="0" borderId="0" xfId="7" applyFont="1" applyAlignment="1">
      <alignment horizontal="left"/>
    </xf>
    <xf numFmtId="8" fontId="12" fillId="0" borderId="0" xfId="7" applyNumberFormat="1" applyFont="1" applyAlignment="1">
      <alignment horizontal="center"/>
    </xf>
    <xf numFmtId="0" fontId="2" fillId="0" borderId="0" xfId="7" applyBorder="1"/>
    <xf numFmtId="8" fontId="2" fillId="0" borderId="0" xfId="7" applyNumberFormat="1" applyBorder="1"/>
    <xf numFmtId="17" fontId="12" fillId="0" borderId="0" xfId="7" applyNumberFormat="1" applyFont="1"/>
    <xf numFmtId="8" fontId="2" fillId="0" borderId="0" xfId="7" applyNumberFormat="1"/>
    <xf numFmtId="175" fontId="2" fillId="0" borderId="0" xfId="7" applyNumberFormat="1"/>
    <xf numFmtId="0" fontId="2" fillId="0" borderId="0" xfId="7"/>
    <xf numFmtId="8" fontId="14" fillId="0" borderId="30" xfId="7" applyNumberFormat="1" applyFont="1" applyBorder="1"/>
    <xf numFmtId="175" fontId="2" fillId="0" borderId="31" xfId="7" applyNumberFormat="1" applyBorder="1"/>
    <xf numFmtId="0" fontId="2" fillId="0" borderId="32" xfId="7" applyBorder="1"/>
    <xf numFmtId="0" fontId="2" fillId="0" borderId="33" xfId="7" applyBorder="1"/>
    <xf numFmtId="8" fontId="2" fillId="0" borderId="34" xfId="7" applyNumberFormat="1" applyBorder="1"/>
    <xf numFmtId="0" fontId="14" fillId="0" borderId="0" xfId="7" applyFont="1"/>
    <xf numFmtId="175" fontId="2" fillId="0" borderId="0" xfId="7" applyNumberFormat="1" applyBorder="1"/>
    <xf numFmtId="0" fontId="2" fillId="0" borderId="0" xfId="7" applyFont="1"/>
    <xf numFmtId="0" fontId="14" fillId="0" borderId="0" xfId="7" applyFont="1" applyAlignment="1">
      <alignment horizontal="center"/>
    </xf>
    <xf numFmtId="0" fontId="2" fillId="0" borderId="0" xfId="7" applyFill="1" applyBorder="1"/>
    <xf numFmtId="175" fontId="2" fillId="0" borderId="34" xfId="7" applyNumberFormat="1" applyBorder="1"/>
    <xf numFmtId="0" fontId="2" fillId="0" borderId="35" xfId="7" applyFill="1" applyBorder="1"/>
    <xf numFmtId="8" fontId="2" fillId="0" borderId="36" xfId="7" applyNumberFormat="1" applyBorder="1"/>
    <xf numFmtId="8" fontId="2" fillId="0" borderId="37" xfId="7" applyNumberFormat="1" applyBorder="1"/>
    <xf numFmtId="0" fontId="2" fillId="0" borderId="2" xfId="7" applyFont="1" applyBorder="1" applyAlignment="1">
      <alignment horizontal="centerContinuous"/>
    </xf>
    <xf numFmtId="0" fontId="2" fillId="0" borderId="2" xfId="7" applyBorder="1" applyAlignment="1">
      <alignment horizontal="centerContinuous"/>
    </xf>
    <xf numFmtId="0" fontId="2" fillId="0" borderId="0" xfId="7" applyBorder="1" applyAlignment="1">
      <alignment horizontal="centerContinuous"/>
    </xf>
    <xf numFmtId="8" fontId="14" fillId="0" borderId="0" xfId="7" applyNumberFormat="1" applyFont="1"/>
    <xf numFmtId="0" fontId="2" fillId="0" borderId="0" xfId="7" applyAlignment="1">
      <alignment horizontal="center"/>
    </xf>
    <xf numFmtId="0" fontId="2" fillId="0" borderId="0" xfId="7" applyFont="1" applyAlignment="1">
      <alignment horizontal="center"/>
    </xf>
    <xf numFmtId="8" fontId="2" fillId="0" borderId="2" xfId="7" applyNumberFormat="1" applyBorder="1" applyAlignment="1">
      <alignment horizontal="centerContinuous"/>
    </xf>
    <xf numFmtId="175" fontId="2" fillId="0" borderId="2" xfId="7" applyNumberFormat="1" applyBorder="1" applyAlignment="1">
      <alignment horizontal="centerContinuous"/>
    </xf>
    <xf numFmtId="8" fontId="2" fillId="0" borderId="2" xfId="7" applyNumberFormat="1" applyFont="1" applyBorder="1" applyAlignment="1">
      <alignment horizontal="centerContinuous"/>
    </xf>
    <xf numFmtId="8" fontId="14" fillId="0" borderId="2" xfId="7" applyNumberFormat="1" applyFont="1" applyBorder="1" applyAlignment="1">
      <alignment horizontal="centerContinuous"/>
    </xf>
    <xf numFmtId="8" fontId="15" fillId="0" borderId="0" xfId="7" applyNumberFormat="1" applyFont="1" applyAlignment="1">
      <alignment horizontal="center"/>
    </xf>
    <xf numFmtId="175" fontId="15" fillId="0" borderId="0" xfId="7" applyNumberFormat="1" applyFont="1" applyAlignment="1">
      <alignment horizontal="center"/>
    </xf>
    <xf numFmtId="0" fontId="15" fillId="0" borderId="0" xfId="7" applyFont="1" applyAlignment="1">
      <alignment horizontal="center"/>
    </xf>
    <xf numFmtId="0" fontId="15" fillId="0" borderId="0" xfId="7" applyFont="1" applyFill="1" applyBorder="1" applyAlignment="1">
      <alignment horizontal="center"/>
    </xf>
    <xf numFmtId="14" fontId="2" fillId="0" borderId="0" xfId="7" applyNumberFormat="1"/>
    <xf numFmtId="173" fontId="2" fillId="0" borderId="0" xfId="7" applyNumberFormat="1" applyFill="1" applyBorder="1" applyProtection="1">
      <protection locked="0"/>
    </xf>
    <xf numFmtId="175" fontId="2" fillId="0" borderId="0" xfId="7" applyNumberFormat="1" applyFill="1" applyBorder="1" applyProtection="1">
      <protection locked="0"/>
    </xf>
    <xf numFmtId="8" fontId="2" fillId="0" borderId="0" xfId="7" applyNumberFormat="1" applyFont="1"/>
    <xf numFmtId="0" fontId="14" fillId="0" borderId="0" xfId="7" applyFont="1" applyAlignment="1">
      <alignment horizontal="right"/>
    </xf>
    <xf numFmtId="8" fontId="2" fillId="0" borderId="4" xfId="7" applyNumberFormat="1" applyBorder="1"/>
    <xf numFmtId="4" fontId="2" fillId="0" borderId="0" xfId="7" applyNumberFormat="1"/>
    <xf numFmtId="169" fontId="0" fillId="0" borderId="0" xfId="1" applyNumberFormat="1" applyFont="1"/>
    <xf numFmtId="0" fontId="0" fillId="0" borderId="44" xfId="0" applyBorder="1"/>
    <xf numFmtId="178" fontId="18" fillId="0" borderId="0" xfId="2" applyNumberFormat="1" applyFont="1" applyFill="1" applyBorder="1" applyAlignment="1"/>
    <xf numFmtId="0" fontId="22" fillId="0" borderId="0" xfId="0" applyFont="1"/>
    <xf numFmtId="3" fontId="22" fillId="0" borderId="0" xfId="0" applyNumberFormat="1" applyFont="1"/>
    <xf numFmtId="0" fontId="22" fillId="0" borderId="0" xfId="0" applyFont="1" applyFill="1"/>
    <xf numFmtId="165" fontId="0" fillId="0" borderId="0" xfId="0" applyNumberFormat="1" applyFill="1"/>
    <xf numFmtId="0" fontId="3" fillId="0" borderId="2" xfId="4" applyFont="1" applyFill="1" applyBorder="1" applyAlignment="1">
      <alignment horizontal="left" wrapText="1" indent="2"/>
    </xf>
    <xf numFmtId="167" fontId="0" fillId="0" borderId="0" xfId="1" applyNumberFormat="1" applyFont="1" applyFill="1"/>
    <xf numFmtId="0" fontId="0" fillId="0" borderId="0" xfId="0" applyFill="1" applyAlignment="1">
      <alignment horizontal="left" indent="1"/>
    </xf>
    <xf numFmtId="9" fontId="0" fillId="0" borderId="0" xfId="3" applyFont="1" applyFill="1" applyBorder="1"/>
    <xf numFmtId="167" fontId="0" fillId="0" borderId="0" xfId="0" applyNumberFormat="1" applyFill="1"/>
    <xf numFmtId="0" fontId="0" fillId="0" borderId="0" xfId="0" applyFill="1" applyAlignment="1">
      <alignment horizontal="left"/>
    </xf>
    <xf numFmtId="179" fontId="0" fillId="0" borderId="0" xfId="0" applyNumberFormat="1"/>
    <xf numFmtId="179" fontId="0" fillId="0" borderId="0" xfId="3" applyNumberFormat="1" applyFont="1"/>
    <xf numFmtId="179" fontId="0" fillId="0" borderId="0" xfId="0" applyNumberFormat="1" applyFill="1"/>
    <xf numFmtId="180" fontId="0" fillId="0" borderId="0" xfId="3" applyNumberFormat="1" applyFont="1" applyFill="1"/>
    <xf numFmtId="179" fontId="0" fillId="0" borderId="2" xfId="0" applyNumberFormat="1" applyFill="1" applyBorder="1"/>
    <xf numFmtId="169" fontId="2" fillId="0" borderId="0" xfId="1" applyNumberFormat="1" applyFont="1" applyFill="1"/>
    <xf numFmtId="0" fontId="25" fillId="0" borderId="0" xfId="0" applyFont="1"/>
    <xf numFmtId="177" fontId="2" fillId="0" borderId="0" xfId="0" applyNumberFormat="1" applyFont="1" applyBorder="1"/>
    <xf numFmtId="179" fontId="2" fillId="0" borderId="45" xfId="0" applyNumberFormat="1" applyFont="1" applyBorder="1"/>
    <xf numFmtId="177" fontId="2" fillId="0" borderId="45" xfId="0" applyNumberFormat="1" applyFont="1" applyBorder="1"/>
    <xf numFmtId="179" fontId="26" fillId="0" borderId="0" xfId="0" applyNumberFormat="1" applyFont="1" applyFill="1"/>
    <xf numFmtId="179" fontId="2" fillId="0" borderId="2" xfId="0" applyNumberFormat="1" applyFont="1" applyFill="1" applyBorder="1"/>
    <xf numFmtId="167" fontId="26" fillId="0" borderId="2" xfId="0" applyNumberFormat="1" applyFont="1" applyFill="1" applyBorder="1"/>
    <xf numFmtId="179" fontId="2" fillId="0" borderId="0" xfId="0" applyNumberFormat="1" applyFont="1" applyFill="1"/>
    <xf numFmtId="167" fontId="26" fillId="0" borderId="0" xfId="0" applyNumberFormat="1" applyFont="1" applyFill="1"/>
    <xf numFmtId="177" fontId="26" fillId="0" borderId="0" xfId="0" applyNumberFormat="1" applyFont="1" applyFill="1"/>
    <xf numFmtId="177" fontId="26" fillId="0" borderId="0" xfId="2" applyNumberFormat="1" applyFont="1" applyFill="1"/>
    <xf numFmtId="0" fontId="25" fillId="0" borderId="0" xfId="0" applyFont="1" applyAlignment="1">
      <alignment horizontal="center"/>
    </xf>
    <xf numFmtId="0" fontId="27" fillId="0" borderId="0" xfId="0" applyFont="1"/>
    <xf numFmtId="0" fontId="0" fillId="0" borderId="0" xfId="0" applyAlignment="1">
      <alignment horizontal="centerContinuous"/>
    </xf>
    <xf numFmtId="181" fontId="14" fillId="0" borderId="0" xfId="0" applyNumberFormat="1" applyFont="1" applyAlignment="1" applyProtection="1">
      <alignment horizontal="centerContinuous"/>
      <protection locked="0"/>
    </xf>
    <xf numFmtId="181" fontId="28" fillId="0" borderId="0" xfId="0" applyNumberFormat="1" applyFont="1" applyAlignment="1" applyProtection="1">
      <alignment horizontal="centerContinuous"/>
      <protection locked="0"/>
    </xf>
    <xf numFmtId="14" fontId="14" fillId="0" borderId="0" xfId="0" applyNumberFormat="1" applyFont="1" applyAlignment="1" applyProtection="1">
      <alignment horizontal="centerContinuous"/>
      <protection locked="0"/>
    </xf>
    <xf numFmtId="0" fontId="14" fillId="0" borderId="0" xfId="0" applyFont="1" applyAlignment="1">
      <alignment horizontal="centerContinuous"/>
    </xf>
    <xf numFmtId="179" fontId="0" fillId="0" borderId="0" xfId="3" applyNumberFormat="1" applyFont="1" applyFill="1"/>
    <xf numFmtId="179" fontId="0" fillId="0" borderId="5" xfId="0" applyNumberFormat="1" applyFill="1" applyBorder="1"/>
    <xf numFmtId="0" fontId="10" fillId="0" borderId="0" xfId="0" applyFont="1" applyFill="1"/>
    <xf numFmtId="0" fontId="6" fillId="0" borderId="0" xfId="0" applyFont="1" applyFill="1"/>
    <xf numFmtId="17" fontId="6" fillId="0" borderId="0" xfId="0" applyNumberFormat="1" applyFont="1" applyFill="1" applyBorder="1" applyAlignment="1">
      <alignment horizontal="center"/>
    </xf>
    <xf numFmtId="0" fontId="23" fillId="0" borderId="0" xfId="0" applyFont="1" applyFill="1" applyAlignment="1"/>
    <xf numFmtId="17" fontId="24" fillId="0" borderId="0" xfId="0" applyNumberFormat="1" applyFont="1" applyFill="1" applyAlignment="1">
      <alignment horizontal="right" indent="1"/>
    </xf>
    <xf numFmtId="167" fontId="0" fillId="0" borderId="2" xfId="1" applyNumberFormat="1" applyFont="1" applyFill="1" applyBorder="1"/>
    <xf numFmtId="0" fontId="29" fillId="0" borderId="0" xfId="2" applyNumberFormat="1" applyFont="1" applyFill="1" applyBorder="1" applyAlignment="1">
      <alignment horizontal="left" vertical="top"/>
    </xf>
    <xf numFmtId="177" fontId="0" fillId="0" borderId="5" xfId="2" applyNumberFormat="1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1" xfId="0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9">
    <cellStyle name="Comma" xfId="1" builtinId="3"/>
    <cellStyle name="Comma 3" xfId="5"/>
    <cellStyle name="Currency" xfId="2" builtinId="4"/>
    <cellStyle name="Normal" xfId="0" builtinId="0"/>
    <cellStyle name="Normal 2" xfId="6"/>
    <cellStyle name="Normal 2 2" xfId="7"/>
    <cellStyle name="Normal 3" xfId="4"/>
    <cellStyle name="Normal 4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"/>
  <sheetViews>
    <sheetView zoomScaleNormal="100" workbookViewId="0">
      <pane ySplit="4" topLeftCell="A5" activePane="bottomLeft" state="frozen"/>
      <selection activeCell="A18" sqref="A18:XFD18"/>
      <selection pane="bottomLeft" activeCell="D34" sqref="D34"/>
    </sheetView>
  </sheetViews>
  <sheetFormatPr defaultColWidth="13.42578125" defaultRowHeight="15" x14ac:dyDescent="0.25"/>
  <cols>
    <col min="1" max="1" width="45.28515625" customWidth="1"/>
    <col min="2" max="2" width="16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177</v>
      </c>
      <c r="C3" s="330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2"/>
    </row>
    <row r="4" spans="1:14" x14ac:dyDescent="0.25">
      <c r="A4" s="1"/>
      <c r="B4" s="19">
        <v>44013</v>
      </c>
      <c r="C4" s="18">
        <v>44044</v>
      </c>
      <c r="D4" s="19">
        <v>44075</v>
      </c>
      <c r="E4" s="19">
        <v>44105</v>
      </c>
      <c r="F4" s="19">
        <v>44136</v>
      </c>
      <c r="G4" s="19">
        <v>44166</v>
      </c>
      <c r="H4" s="19">
        <v>44197</v>
      </c>
      <c r="I4" s="19">
        <v>44228</v>
      </c>
      <c r="J4" s="19">
        <v>44256</v>
      </c>
      <c r="K4" s="19">
        <v>44287</v>
      </c>
      <c r="L4" s="19">
        <v>44317</v>
      </c>
      <c r="M4" s="19">
        <v>44348</v>
      </c>
      <c r="N4" s="141">
        <v>44378</v>
      </c>
    </row>
    <row r="5" spans="1:14" x14ac:dyDescent="0.25">
      <c r="A5" s="2" t="s">
        <v>27</v>
      </c>
      <c r="B5" s="21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142"/>
    </row>
    <row r="6" spans="1:14" x14ac:dyDescent="0.25">
      <c r="A6" s="3" t="s">
        <v>184</v>
      </c>
      <c r="B6" s="23"/>
      <c r="C6" s="22"/>
      <c r="D6" s="23"/>
      <c r="E6" s="23"/>
      <c r="F6" s="23"/>
      <c r="G6" s="23"/>
      <c r="H6" s="23"/>
      <c r="I6" s="23"/>
      <c r="J6" s="23"/>
      <c r="K6" s="24"/>
      <c r="L6" s="24"/>
      <c r="M6" s="24"/>
      <c r="N6" s="143"/>
    </row>
    <row r="7" spans="1:14" x14ac:dyDescent="0.25">
      <c r="A7" s="3" t="s">
        <v>185</v>
      </c>
      <c r="B7" s="23"/>
      <c r="C7" s="22"/>
      <c r="D7" s="23"/>
      <c r="E7" s="23"/>
      <c r="F7" s="23"/>
      <c r="G7" s="23"/>
      <c r="H7" s="23"/>
      <c r="I7" s="23"/>
      <c r="J7" s="23"/>
      <c r="K7" s="24"/>
      <c r="L7" s="24"/>
      <c r="M7" s="24"/>
      <c r="N7" s="143"/>
    </row>
    <row r="8" spans="1:14" x14ac:dyDescent="0.25">
      <c r="A8" s="3" t="s">
        <v>186</v>
      </c>
      <c r="B8" s="23"/>
      <c r="C8" s="22"/>
      <c r="D8" s="23"/>
      <c r="E8" s="23"/>
      <c r="F8" s="23"/>
      <c r="G8" s="23"/>
      <c r="H8" s="23"/>
      <c r="I8" s="23"/>
      <c r="J8" s="23"/>
      <c r="K8" s="24"/>
      <c r="L8" s="24"/>
      <c r="M8" s="24"/>
      <c r="N8" s="143"/>
    </row>
    <row r="9" spans="1:14" x14ac:dyDescent="0.25">
      <c r="A9" s="3" t="s">
        <v>2</v>
      </c>
      <c r="B9" s="23"/>
      <c r="C9" s="22"/>
      <c r="D9" s="23"/>
      <c r="E9" s="23"/>
      <c r="F9" s="23"/>
      <c r="G9" s="23"/>
      <c r="H9" s="23"/>
      <c r="I9" s="23"/>
      <c r="J9" s="23"/>
      <c r="K9" s="24"/>
      <c r="L9" s="24"/>
      <c r="M9" s="24"/>
      <c r="N9" s="143"/>
    </row>
    <row r="10" spans="1:14" x14ac:dyDescent="0.25">
      <c r="A10" s="3" t="s">
        <v>187</v>
      </c>
      <c r="B10" s="23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4"/>
      <c r="N10" s="143"/>
    </row>
    <row r="11" spans="1:14" x14ac:dyDescent="0.25">
      <c r="A11" s="3" t="s">
        <v>188</v>
      </c>
      <c r="B11" s="23"/>
      <c r="C11" s="22"/>
      <c r="D11" s="23"/>
      <c r="E11" s="23"/>
      <c r="F11" s="23"/>
      <c r="G11" s="23"/>
      <c r="H11" s="23"/>
      <c r="I11" s="23"/>
      <c r="J11" s="23"/>
      <c r="K11" s="24"/>
      <c r="L11" s="24"/>
      <c r="M11" s="24"/>
      <c r="N11" s="143"/>
    </row>
    <row r="12" spans="1:14" x14ac:dyDescent="0.25">
      <c r="A12" s="3" t="s">
        <v>3</v>
      </c>
      <c r="B12" s="24"/>
      <c r="C12" s="22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43"/>
    </row>
    <row r="13" spans="1:14" x14ac:dyDescent="0.25">
      <c r="A13" s="3" t="s">
        <v>4</v>
      </c>
      <c r="B13" s="26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44"/>
    </row>
    <row r="14" spans="1:14" x14ac:dyDescent="0.25">
      <c r="A14" s="3" t="s">
        <v>5</v>
      </c>
      <c r="B14" s="26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44"/>
    </row>
    <row r="15" spans="1:14" x14ac:dyDescent="0.25">
      <c r="A15" s="3" t="s">
        <v>6</v>
      </c>
      <c r="B15" s="26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44"/>
    </row>
    <row r="16" spans="1:14" x14ac:dyDescent="0.25">
      <c r="A16" s="3" t="s">
        <v>7</v>
      </c>
      <c r="B16" s="26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144"/>
    </row>
    <row r="17" spans="1:14" x14ac:dyDescent="0.25">
      <c r="A17" s="3" t="s">
        <v>8</v>
      </c>
      <c r="B17" s="26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144"/>
    </row>
    <row r="18" spans="1:14" x14ac:dyDescent="0.25">
      <c r="A18" s="6" t="s">
        <v>206</v>
      </c>
      <c r="B18" s="26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44"/>
    </row>
    <row r="19" spans="1:14" x14ac:dyDescent="0.25">
      <c r="A19" s="3" t="s">
        <v>9</v>
      </c>
      <c r="B19" s="26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144"/>
    </row>
    <row r="20" spans="1:14" ht="15.75" thickBot="1" x14ac:dyDescent="0.3">
      <c r="A20" s="2" t="s">
        <v>10</v>
      </c>
      <c r="B20" s="5"/>
      <c r="C20" s="27">
        <f t="shared" ref="C20:N20" si="0">SUM(C6:C14)</f>
        <v>0</v>
      </c>
      <c r="D20" s="5">
        <f t="shared" si="0"/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5">
        <f t="shared" si="0"/>
        <v>0</v>
      </c>
      <c r="I20" s="5">
        <f t="shared" si="0"/>
        <v>0</v>
      </c>
      <c r="J20" s="5">
        <f t="shared" si="0"/>
        <v>0</v>
      </c>
      <c r="K20" s="5">
        <f t="shared" si="0"/>
        <v>0</v>
      </c>
      <c r="L20" s="5">
        <f t="shared" si="0"/>
        <v>0</v>
      </c>
      <c r="M20" s="5">
        <f t="shared" si="0"/>
        <v>0</v>
      </c>
      <c r="N20" s="145">
        <f t="shared" si="0"/>
        <v>0</v>
      </c>
    </row>
    <row r="21" spans="1:14" x14ac:dyDescent="0.25">
      <c r="B21" s="28"/>
      <c r="C21" s="20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46"/>
    </row>
    <row r="22" spans="1:14" x14ac:dyDescent="0.25">
      <c r="A22" s="6" t="s">
        <v>181</v>
      </c>
      <c r="B22" s="28"/>
      <c r="C22" s="170">
        <v>-630404.63</v>
      </c>
      <c r="D22" s="150">
        <v>-600492.69999999995</v>
      </c>
      <c r="E22" s="150">
        <v>-472168.22</v>
      </c>
      <c r="F22" s="150">
        <v>-476876.05000000005</v>
      </c>
      <c r="G22" s="150">
        <v>-558069.72</v>
      </c>
      <c r="H22" s="150">
        <v>-641855.02</v>
      </c>
      <c r="I22" s="148"/>
      <c r="J22" s="148"/>
      <c r="K22" s="148"/>
      <c r="L22" s="148"/>
      <c r="M22" s="148"/>
      <c r="N22" s="149"/>
    </row>
    <row r="23" spans="1:14" x14ac:dyDescent="0.25">
      <c r="A23" s="6" t="s">
        <v>28</v>
      </c>
      <c r="B23" s="29"/>
      <c r="C23" s="17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/>
      <c r="J23" s="150"/>
      <c r="K23" s="150"/>
      <c r="L23" s="150"/>
      <c r="M23" s="150"/>
      <c r="N23" s="149"/>
    </row>
    <row r="24" spans="1:14" x14ac:dyDescent="0.25">
      <c r="A24" s="3" t="s">
        <v>29</v>
      </c>
      <c r="B24" s="29"/>
      <c r="C24" s="17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/>
      <c r="J24" s="150"/>
      <c r="K24" s="150"/>
      <c r="L24" s="150"/>
      <c r="M24" s="150"/>
      <c r="N24" s="149"/>
    </row>
    <row r="25" spans="1:14" x14ac:dyDescent="0.25">
      <c r="A25" s="2" t="s">
        <v>30</v>
      </c>
      <c r="B25" s="23"/>
      <c r="C25" s="161">
        <v>-630404.63</v>
      </c>
      <c r="D25" s="151">
        <v>-600492.69999999995</v>
      </c>
      <c r="E25" s="151">
        <v>-472168.22</v>
      </c>
      <c r="F25" s="151">
        <v>-476876.05000000005</v>
      </c>
      <c r="G25" s="151">
        <v>-558069.72</v>
      </c>
      <c r="H25" s="151">
        <v>-641855.02</v>
      </c>
      <c r="I25" s="151"/>
      <c r="J25" s="151"/>
      <c r="K25" s="151"/>
      <c r="L25" s="151"/>
      <c r="M25" s="151"/>
      <c r="N25" s="152"/>
    </row>
    <row r="26" spans="1:14" ht="15.75" thickBot="1" x14ac:dyDescent="0.3">
      <c r="A26" s="7" t="s">
        <v>11</v>
      </c>
      <c r="B26" s="14"/>
      <c r="C26" s="173">
        <f t="shared" ref="C26:H26" si="1">C25-C20</f>
        <v>-630404.63</v>
      </c>
      <c r="D26" s="173">
        <f t="shared" si="1"/>
        <v>-600492.69999999995</v>
      </c>
      <c r="E26" s="173">
        <f t="shared" si="1"/>
        <v>-472168.22</v>
      </c>
      <c r="F26" s="173">
        <f t="shared" si="1"/>
        <v>-476876.05000000005</v>
      </c>
      <c r="G26" s="173">
        <f t="shared" si="1"/>
        <v>-558069.72</v>
      </c>
      <c r="H26" s="173">
        <f t="shared" si="1"/>
        <v>-641855.02</v>
      </c>
      <c r="I26" s="153">
        <f t="shared" ref="I26:N26" si="2">I25+I20</f>
        <v>0</v>
      </c>
      <c r="J26" s="153">
        <f t="shared" si="2"/>
        <v>0</v>
      </c>
      <c r="K26" s="153">
        <f t="shared" si="2"/>
        <v>0</v>
      </c>
      <c r="L26" s="153">
        <f t="shared" si="2"/>
        <v>0</v>
      </c>
      <c r="M26" s="153">
        <f t="shared" si="2"/>
        <v>0</v>
      </c>
      <c r="N26" s="154">
        <f t="shared" si="2"/>
        <v>0</v>
      </c>
    </row>
    <row r="27" spans="1:14" x14ac:dyDescent="0.25">
      <c r="A27" s="2"/>
      <c r="B27" s="21"/>
      <c r="C27" s="3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42"/>
    </row>
    <row r="28" spans="1:14" x14ac:dyDescent="0.25">
      <c r="A28" s="290" t="s">
        <v>12</v>
      </c>
      <c r="B28" s="8"/>
      <c r="C28" s="31">
        <f>+'Aug 20 Int'!G6/12</f>
        <v>1.1382091394398505E-4</v>
      </c>
      <c r="D28" s="8">
        <f>+'Sept 20 Int'!G6/12</f>
        <v>1.0326301837624119E-4</v>
      </c>
      <c r="E28" s="8">
        <f>+'Oct 20 Int'!G6/12</f>
        <v>1.6666666666666666E-4</v>
      </c>
      <c r="F28" s="8">
        <f>'Nov 20 Int'!G6/12</f>
        <v>2.1036976780640262E-4</v>
      </c>
      <c r="G28" s="8">
        <f>'Dec 20 Int'!G6/12</f>
        <v>1.6666666666666663E-4</v>
      </c>
      <c r="H28" s="8">
        <f>'Jan 21 Int'!G6/12</f>
        <v>1.7178246984776615E-4</v>
      </c>
      <c r="I28" s="8"/>
      <c r="J28" s="8"/>
      <c r="K28" s="8"/>
      <c r="L28" s="8"/>
      <c r="M28" s="8"/>
      <c r="N28" s="147"/>
    </row>
    <row r="29" spans="1:14" x14ac:dyDescent="0.25">
      <c r="A29" s="9" t="s">
        <v>13</v>
      </c>
      <c r="B29" s="155"/>
      <c r="C29" s="161">
        <f>(B33+C26)*C28</f>
        <v>389.29866025111335</v>
      </c>
      <c r="D29" s="151">
        <f t="shared" ref="D29:N29" si="3">(D26+C33)*D28</f>
        <v>291.21928084342278</v>
      </c>
      <c r="E29" s="151">
        <f t="shared" si="3"/>
        <v>391.38218964203662</v>
      </c>
      <c r="F29" s="151">
        <f t="shared" si="3"/>
        <v>393.77191322076425</v>
      </c>
      <c r="G29" s="151">
        <f t="shared" si="3"/>
        <v>219.02208699251378</v>
      </c>
      <c r="H29" s="151">
        <f t="shared" si="3"/>
        <v>115.52311386398537</v>
      </c>
      <c r="I29" s="151">
        <f t="shared" si="3"/>
        <v>0</v>
      </c>
      <c r="J29" s="151">
        <f t="shared" si="3"/>
        <v>0</v>
      </c>
      <c r="K29" s="151">
        <f t="shared" si="3"/>
        <v>0</v>
      </c>
      <c r="L29" s="151">
        <f t="shared" si="3"/>
        <v>0</v>
      </c>
      <c r="M29" s="151">
        <f t="shared" si="3"/>
        <v>0</v>
      </c>
      <c r="N29" s="152">
        <f t="shared" si="3"/>
        <v>0</v>
      </c>
    </row>
    <row r="30" spans="1:14" x14ac:dyDescent="0.25">
      <c r="A30" s="2"/>
      <c r="B30" s="158"/>
      <c r="C30" s="159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60"/>
    </row>
    <row r="31" spans="1:14" x14ac:dyDescent="0.25">
      <c r="A31" s="2" t="s">
        <v>203</v>
      </c>
      <c r="B31" s="158"/>
      <c r="C31" s="159"/>
      <c r="D31" s="158"/>
      <c r="E31" s="158"/>
      <c r="F31" s="158"/>
      <c r="G31" s="158"/>
      <c r="H31" s="158">
        <v>-672612.04715593997</v>
      </c>
      <c r="I31" s="158"/>
      <c r="J31" s="158"/>
      <c r="K31" s="158"/>
      <c r="L31" s="158"/>
      <c r="M31" s="158"/>
      <c r="N31" s="160"/>
    </row>
    <row r="32" spans="1:14" x14ac:dyDescent="0.25">
      <c r="A32" s="2"/>
      <c r="B32" s="158"/>
      <c r="C32" s="159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60"/>
    </row>
    <row r="33" spans="1:14" ht="15.75" thickBot="1" x14ac:dyDescent="0.3">
      <c r="A33" s="7" t="s">
        <v>14</v>
      </c>
      <c r="B33" s="179">
        <v>4050678.1699111257</v>
      </c>
      <c r="C33" s="173">
        <f>C26+C29+B33</f>
        <v>3420662.8385713766</v>
      </c>
      <c r="D33" s="153">
        <f>D26+D29+C33</f>
        <v>2820461.3578522201</v>
      </c>
      <c r="E33" s="153">
        <f t="shared" ref="E33:N33" si="4">E26+E29+D33</f>
        <v>2348684.520041862</v>
      </c>
      <c r="F33" s="153">
        <f t="shared" si="4"/>
        <v>1872202.2419550829</v>
      </c>
      <c r="G33" s="153">
        <f t="shared" si="4"/>
        <v>1314351.5440420755</v>
      </c>
      <c r="H33" s="153">
        <f>H26+H29+G33+H31</f>
        <v>0</v>
      </c>
      <c r="I33" s="153">
        <f t="shared" si="4"/>
        <v>0</v>
      </c>
      <c r="J33" s="153">
        <f t="shared" si="4"/>
        <v>0</v>
      </c>
      <c r="K33" s="153">
        <f t="shared" si="4"/>
        <v>0</v>
      </c>
      <c r="L33" s="153">
        <f t="shared" si="4"/>
        <v>0</v>
      </c>
      <c r="M33" s="153">
        <f t="shared" si="4"/>
        <v>0</v>
      </c>
      <c r="N33" s="154">
        <f t="shared" si="4"/>
        <v>0</v>
      </c>
    </row>
    <row r="40" spans="1:14" x14ac:dyDescent="0.25">
      <c r="C40" s="126"/>
      <c r="D40" s="126"/>
      <c r="E40" s="126"/>
      <c r="F40" s="126"/>
      <c r="G40" s="126"/>
      <c r="H40" s="126"/>
      <c r="I40" s="126"/>
    </row>
    <row r="41" spans="1:14" x14ac:dyDescent="0.25">
      <c r="C41" s="127"/>
      <c r="D41" s="127"/>
      <c r="E41" s="127"/>
      <c r="F41" s="127"/>
      <c r="G41" s="127"/>
      <c r="H41" s="127"/>
      <c r="I41" s="127"/>
    </row>
    <row r="42" spans="1:14" x14ac:dyDescent="0.25">
      <c r="C42" s="127"/>
      <c r="D42" s="127"/>
      <c r="E42" s="127"/>
      <c r="F42" s="127"/>
      <c r="G42" s="127"/>
      <c r="H42" s="127"/>
      <c r="I42" s="127"/>
    </row>
    <row r="43" spans="1:14" x14ac:dyDescent="0.25">
      <c r="C43" s="127"/>
      <c r="D43" s="127"/>
      <c r="E43" s="127"/>
      <c r="F43" s="127"/>
      <c r="G43" s="127"/>
      <c r="H43" s="127"/>
      <c r="I43" s="127"/>
    </row>
  </sheetData>
  <mergeCells count="1">
    <mergeCell ref="C3:N3"/>
  </mergeCells>
  <pageMargins left="0.7" right="0.7" top="0.75" bottom="0.75" header="0.3" footer="0.3"/>
  <pageSetup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Q44"/>
  <sheetViews>
    <sheetView workbookViewId="0">
      <selection activeCell="B5" sqref="B5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1.7109375" bestFit="1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5703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EB38</f>
        <v>495025000</v>
      </c>
      <c r="EI2" s="85">
        <f>EG40</f>
        <v>0</v>
      </c>
      <c r="EM2" s="85"/>
      <c r="EN2" s="85">
        <f>EK38</f>
        <v>495025000</v>
      </c>
      <c r="EO2" s="78">
        <v>0</v>
      </c>
      <c r="EP2" s="78">
        <v>-173840.28</v>
      </c>
      <c r="EQ2" s="78">
        <f>EE2+EO2</f>
        <v>495025000</v>
      </c>
    </row>
    <row r="3" spans="1:147" ht="16.5" thickTop="1" x14ac:dyDescent="0.25">
      <c r="A3" s="86" t="s">
        <v>172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AVERAGE(EB11:EB38)</f>
        <v>510842857.14285713</v>
      </c>
      <c r="EI3" s="85">
        <f>AVERAGE(EG11:EG40)</f>
        <v>0</v>
      </c>
      <c r="EM3" s="85"/>
      <c r="EN3" s="85">
        <f>AVERAGE(EK11:EK38)</f>
        <v>510842857.14285713</v>
      </c>
    </row>
    <row r="4" spans="1:147" x14ac:dyDescent="0.25">
      <c r="D4" s="33"/>
      <c r="E4" s="95" t="s">
        <v>102</v>
      </c>
      <c r="F4" s="85"/>
      <c r="G4" s="96">
        <f>EQ2</f>
        <v>495025000</v>
      </c>
      <c r="AI4" s="97" t="s">
        <v>106</v>
      </c>
      <c r="EB4" s="33" t="s">
        <v>107</v>
      </c>
      <c r="EC4" s="33"/>
      <c r="ED4" s="93"/>
      <c r="EE4" s="93">
        <f>IF(EE3=0,0,360*(AVERAGE(ED11:ED38)/EE3))</f>
        <v>2.8403912301798138E-2</v>
      </c>
      <c r="EI4" s="93">
        <f>IF(EI3=0,0,360*(AVERAGE(EH11:EH40)/EI3))</f>
        <v>0</v>
      </c>
      <c r="EM4" s="93"/>
      <c r="EN4" s="93">
        <f>IF(EN3=0,0,360*(AVERAGE(EM11:EM38)/EN3))</f>
        <v>2.8403912301798138E-2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510842857.14285713</v>
      </c>
      <c r="AI5" s="100" t="s">
        <v>97</v>
      </c>
      <c r="EB5" s="101" t="s">
        <v>109</v>
      </c>
      <c r="EC5" s="101"/>
      <c r="ED5" s="85"/>
      <c r="EE5" s="85">
        <f>MAX(EB11:EB38)</f>
        <v>549375000</v>
      </c>
      <c r="EI5" s="85">
        <f>MAX(EG11:EG40)</f>
        <v>0</v>
      </c>
      <c r="EM5" s="85"/>
      <c r="EN5" s="85">
        <f>MAX(EK11:EK38)</f>
        <v>549375000</v>
      </c>
    </row>
    <row r="6" spans="1:147" x14ac:dyDescent="0.25">
      <c r="D6" s="33"/>
      <c r="E6" s="95" t="s">
        <v>107</v>
      </c>
      <c r="F6" s="85"/>
      <c r="G6" s="102">
        <f>EE4</f>
        <v>2.8403912301798138E-2</v>
      </c>
    </row>
    <row r="7" spans="1:147" ht="16.5" thickBot="1" x14ac:dyDescent="0.3">
      <c r="D7" s="33"/>
      <c r="E7" s="103" t="s">
        <v>109</v>
      </c>
      <c r="F7" s="104"/>
      <c r="G7" s="105">
        <f>EE5</f>
        <v>549375000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43497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44275000+100000</f>
        <v>44375000</v>
      </c>
      <c r="AJ11" s="121">
        <v>2.7E-2</v>
      </c>
      <c r="AK11" s="87">
        <f>(AI11*AJ11)/360</f>
        <v>3328.125</v>
      </c>
      <c r="AL11" s="120">
        <f t="shared" ref="AL11:AL24" si="0">30000000</f>
        <v>30000000</v>
      </c>
      <c r="AM11" s="121">
        <v>2.9000000000000001E-2</v>
      </c>
      <c r="AN11" s="87">
        <f>(AL11*AM11)/360</f>
        <v>2416.6666666666665</v>
      </c>
      <c r="AO11" s="120">
        <f t="shared" ref="AO11:AO23" si="1">50000000</f>
        <v>50000000</v>
      </c>
      <c r="AP11" s="121">
        <v>2.9499999999999998E-2</v>
      </c>
      <c r="AQ11" s="87">
        <f>(AO11*AP11)/360</f>
        <v>4097.2222222222226</v>
      </c>
      <c r="AR11" s="120">
        <f>50000000</f>
        <v>50000000</v>
      </c>
      <c r="AS11" s="121">
        <v>2.9700000000000001E-2</v>
      </c>
      <c r="AT11" s="87">
        <f>(AR11*AS11)/360</f>
        <v>4125</v>
      </c>
      <c r="AU11" s="120">
        <f t="shared" ref="AU11:AU38" si="2">130000000+125000000+120000000</f>
        <v>375000000</v>
      </c>
      <c r="AV11" s="121">
        <v>2.8500000000000001E-2</v>
      </c>
      <c r="AW11" s="87">
        <f>(AU11*AV11)/360</f>
        <v>29687.5</v>
      </c>
      <c r="AX11" s="120"/>
      <c r="AY11" s="121"/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549375000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43654.513888888891</v>
      </c>
      <c r="EE11" s="88">
        <f>IF(EB11&lt;&gt;0,((ED11/EB11)*360),0)</f>
        <v>2.8606370875995449E-2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549375000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43654.513888888883</v>
      </c>
      <c r="EN11" s="88">
        <f>IF(EK11&lt;&gt;0,((EM11/EK11)*360),0)</f>
        <v>2.8606370875995445E-2</v>
      </c>
      <c r="EP11" s="87"/>
    </row>
    <row r="12" spans="1:147" x14ac:dyDescent="0.25">
      <c r="A12" s="35">
        <f>1+A11</f>
        <v>43498</v>
      </c>
      <c r="D12" s="87">
        <f t="shared" ref="D12:D38" si="3">(B12*C12)/360</f>
        <v>0</v>
      </c>
      <c r="G12" s="87">
        <f t="shared" ref="G12:G38" si="4">(E12*F12)/360</f>
        <v>0</v>
      </c>
      <c r="J12" s="87">
        <f t="shared" ref="J12:J38" si="5">(H12*I12)/360</f>
        <v>0</v>
      </c>
      <c r="M12" s="87">
        <f t="shared" ref="M12:M38" si="6">(K12*L12)/360</f>
        <v>0</v>
      </c>
      <c r="P12" s="87">
        <f t="shared" ref="P12:P38" si="7">(N12*O12)/360</f>
        <v>0</v>
      </c>
      <c r="S12" s="87">
        <f t="shared" ref="S12:S38" si="8">(Q12*R12)/360</f>
        <v>0</v>
      </c>
      <c r="V12" s="87">
        <f t="shared" ref="V12:V38" si="9">(T12*U12)/360</f>
        <v>0</v>
      </c>
      <c r="Y12" s="87">
        <f t="shared" ref="Y12:Y38" si="10">(W12*X12)/360</f>
        <v>0</v>
      </c>
      <c r="AB12" s="87">
        <f t="shared" ref="AB12:AB38" si="11">(Z12*AA12)/360</f>
        <v>0</v>
      </c>
      <c r="AE12" s="87">
        <v>0</v>
      </c>
      <c r="AH12" s="87">
        <v>0</v>
      </c>
      <c r="AI12" s="120">
        <f>44275000+100000</f>
        <v>44375000</v>
      </c>
      <c r="AJ12" s="121">
        <v>2.7E-2</v>
      </c>
      <c r="AK12" s="87">
        <f t="shared" ref="AK12:AK38" si="12">(AI12*AJ12)/360</f>
        <v>3328.125</v>
      </c>
      <c r="AL12" s="120">
        <f t="shared" si="0"/>
        <v>30000000</v>
      </c>
      <c r="AM12" s="121">
        <v>2.9000000000000001E-2</v>
      </c>
      <c r="AN12" s="87">
        <f t="shared" ref="AN12:AN38" si="13">(AL12*AM12)/360</f>
        <v>2416.6666666666665</v>
      </c>
      <c r="AO12" s="120">
        <f t="shared" si="1"/>
        <v>50000000</v>
      </c>
      <c r="AP12" s="121">
        <v>2.9499999999999998E-2</v>
      </c>
      <c r="AQ12" s="87">
        <f t="shared" ref="AQ12:AQ38" si="14">(AO12*AP12)/360</f>
        <v>4097.2222222222226</v>
      </c>
      <c r="AR12" s="120">
        <f>50000000</f>
        <v>50000000</v>
      </c>
      <c r="AS12" s="121">
        <v>2.9700000000000001E-2</v>
      </c>
      <c r="AT12" s="87">
        <f t="shared" ref="AT12:AT38" si="15">(AR12*AS12)/360</f>
        <v>4125</v>
      </c>
      <c r="AU12" s="120">
        <f t="shared" si="2"/>
        <v>375000000</v>
      </c>
      <c r="AV12" s="121">
        <v>2.8500000000000001E-2</v>
      </c>
      <c r="AW12" s="87">
        <f t="shared" ref="AW12:AW38" si="16">(AU12*AV12)/360</f>
        <v>29687.5</v>
      </c>
      <c r="AX12" s="120"/>
      <c r="AY12" s="121"/>
      <c r="AZ12" s="87">
        <f t="shared" ref="AZ12:AZ38" si="17">(AX12*AY12)/360</f>
        <v>0</v>
      </c>
      <c r="BC12" s="87">
        <f t="shared" ref="BC12:BC38" si="18">(BA12*BB12)/360</f>
        <v>0</v>
      </c>
      <c r="BF12" s="87">
        <f t="shared" ref="BF12:BF38" si="19">(BD12*BE12)/360</f>
        <v>0</v>
      </c>
      <c r="BI12" s="87">
        <f t="shared" ref="BI12:BI38" si="20">(BG12*BH12)/360</f>
        <v>0</v>
      </c>
      <c r="BL12" s="87">
        <f t="shared" ref="BL12:BL38" si="21">(BJ12*BK12)/360</f>
        <v>0</v>
      </c>
      <c r="BO12" s="87">
        <f t="shared" ref="BO12:BO38" si="22">(BM12*BN12)/360</f>
        <v>0</v>
      </c>
      <c r="BR12" s="87">
        <f t="shared" ref="BR12:BR38" si="23">(BP12*BQ12)/360</f>
        <v>0</v>
      </c>
      <c r="BU12" s="87">
        <f t="shared" ref="BU12:BU38" si="24">(BS12*BT12)/360</f>
        <v>0</v>
      </c>
      <c r="BX12" s="87">
        <f t="shared" ref="BX12:BX38" si="25">(BV12*BW12)/360</f>
        <v>0</v>
      </c>
      <c r="CA12" s="87">
        <f t="shared" ref="CA12:CA38" si="26">(BY12*BZ12)/360</f>
        <v>0</v>
      </c>
      <c r="CD12" s="87">
        <f t="shared" ref="CD12:CD38" si="27">(CB12*CC12)/360</f>
        <v>0</v>
      </c>
      <c r="CG12" s="87">
        <f t="shared" ref="CG12:CG38" si="28">(CE12*CF12)/360</f>
        <v>0</v>
      </c>
      <c r="CJ12" s="87">
        <f t="shared" ref="CJ12:CJ38" si="29">(CH12*CI12)/360</f>
        <v>0</v>
      </c>
      <c r="CM12" s="87">
        <f t="shared" ref="CM12:CM38" si="30">(CK12*CL12)/360</f>
        <v>0</v>
      </c>
      <c r="CP12" s="87">
        <f t="shared" ref="CP12:CP38" si="31">(CN12*CO12)/360</f>
        <v>0</v>
      </c>
      <c r="CS12" s="87">
        <f t="shared" ref="CS12:CS38" si="32">(CQ12*CR12)/360</f>
        <v>0</v>
      </c>
      <c r="CV12" s="87">
        <f t="shared" ref="CV12:CV38" si="33">(CT12*CU12)/360</f>
        <v>0</v>
      </c>
      <c r="CY12" s="87">
        <f t="shared" ref="CY12:CY38" si="34">(CW12*CX12)/360</f>
        <v>0</v>
      </c>
      <c r="DB12" s="87">
        <f t="shared" ref="DB12:DB38" si="35">(CZ12*DA12)/360</f>
        <v>0</v>
      </c>
      <c r="DE12" s="87">
        <f t="shared" ref="DE12:DE38" si="36">(DC12*DD12)/360</f>
        <v>0</v>
      </c>
      <c r="DH12" s="87">
        <f t="shared" ref="DH12:DH38" si="37">(DF12*DG12)/360</f>
        <v>0</v>
      </c>
      <c r="DK12" s="87">
        <f t="shared" ref="DK12:DK38" si="38">(DI12*DJ12)/360</f>
        <v>0</v>
      </c>
      <c r="DN12" s="87">
        <f t="shared" ref="DN12:DN38" si="39">(DL12*DM12)/360</f>
        <v>0</v>
      </c>
      <c r="DQ12" s="87">
        <f t="shared" ref="DQ12:DQ38" si="40">(DO12*DP12)/360</f>
        <v>0</v>
      </c>
      <c r="DT12" s="87">
        <f t="shared" ref="DT12:DT38" si="41">(DR12*DS12)/360</f>
        <v>0</v>
      </c>
      <c r="DW12" s="87">
        <f t="shared" ref="DW12:DW38" si="42">(DU12*DV12)/360</f>
        <v>0</v>
      </c>
      <c r="DZ12" s="87"/>
      <c r="EA12" s="87"/>
      <c r="EB12" s="122">
        <f t="shared" ref="EB12:EB38" si="43">B12+E12+H12+K12+N12+Q12+T12+W12+Z12+AC12+AF12+AL12+AO12+AR12+AU12+AX12+BA12+BD12+BG12+DU12+AI12+DR12+DO12+DL12+DI12+DF12+DC12+CZ12+CW12+CT12+CQ12+CN12+CK12+CH12+CE12+CB12+BY12+BV12+BS12+BP12+BM12+BJ12</f>
        <v>549375000</v>
      </c>
      <c r="EC12" s="122">
        <f t="shared" ref="EC12:EC38" si="44">EB12-EK12+EL12</f>
        <v>0</v>
      </c>
      <c r="ED12" s="87">
        <f t="shared" ref="ED12:ED38" si="45">D12+G12+J12+M12+P12+S12+V12+Y12+AB12+AE12+AH12+AK12+AN12+AQ12+AT12+AW12+AZ12+BC12+BF12+BI12+DW12+DT12+DQ12+DN12+DK12+DH12+DE12+DB12+CY12+CV12+CS12+CP12+CM12+CJ12+CG12+CD12+CA12+BX12+BU12+BR12+BO12+BL12</f>
        <v>43654.513888888891</v>
      </c>
      <c r="EE12" s="88">
        <f t="shared" ref="EE12:EE38" si="46">IF(EB12&lt;&gt;0,((ED12/EB12)*360),0)</f>
        <v>2.8606370875995449E-2</v>
      </c>
      <c r="EG12" s="122">
        <f t="shared" ref="EG12:EG38" si="47">Q12+T12+W12+Z12+AC12+AF12</f>
        <v>0</v>
      </c>
      <c r="EH12" s="87">
        <f t="shared" ref="EH12:EH38" si="48">S12+V12+Y12+AB12+AE12+AH12</f>
        <v>0</v>
      </c>
      <c r="EI12" s="88">
        <f t="shared" ref="EI12:EI38" si="49">IF(EG12&lt;&gt;0,((EH12/EG12)*360),0)</f>
        <v>0</v>
      </c>
      <c r="EJ12" s="88"/>
      <c r="EK12" s="122">
        <f t="shared" ref="EK12:EK38" si="50">DR12+DL12+DI12+DF12+DC12+CZ12+CW12+CT12+CQ12+CN12+CK12+CH12+CE12+CB12+BY12+BV12+BS12+BP12+BM12+BJ12+BG12+BD12+BA12+AX12+AU12+AR12+AO12+AL12+AI12+DO12</f>
        <v>549375000</v>
      </c>
      <c r="EL12" s="122">
        <f t="shared" ref="EL12:EL38" si="51">DX12</f>
        <v>0</v>
      </c>
      <c r="EM12" s="122">
        <f t="shared" ref="EM12:EM38" si="52">DT12+DQ12+DN12+DK12+DH12+DE12+DB12+CY12+CV12+CS12+CP12+CM12+CJ12+CG12+CD12+CA12+BX12+BU12+BR12+BO12+BL12+BI12+BF12+BC12+AZ12+AW12+AT12+AQ12+AN12+AK12</f>
        <v>43654.513888888883</v>
      </c>
      <c r="EN12" s="88">
        <f t="shared" ref="EN12:EN38" si="53">IF(EK12&lt;&gt;0,((EM12/EK12)*360),0)</f>
        <v>2.8606370875995445E-2</v>
      </c>
      <c r="EP12" s="87"/>
    </row>
    <row r="13" spans="1:147" x14ac:dyDescent="0.25">
      <c r="A13" s="35">
        <f t="shared" ref="A13:A38" si="54">1+A12</f>
        <v>43499</v>
      </c>
      <c r="D13" s="87">
        <f t="shared" si="3"/>
        <v>0</v>
      </c>
      <c r="G13" s="87">
        <f t="shared" si="4"/>
        <v>0</v>
      </c>
      <c r="J13" s="87">
        <f t="shared" si="5"/>
        <v>0</v>
      </c>
      <c r="M13" s="87">
        <f t="shared" si="6"/>
        <v>0</v>
      </c>
      <c r="P13" s="87">
        <f t="shared" si="7"/>
        <v>0</v>
      </c>
      <c r="S13" s="87">
        <f t="shared" si="8"/>
        <v>0</v>
      </c>
      <c r="V13" s="87">
        <f t="shared" si="9"/>
        <v>0</v>
      </c>
      <c r="Y13" s="87">
        <f t="shared" si="10"/>
        <v>0</v>
      </c>
      <c r="AB13" s="87">
        <f t="shared" si="11"/>
        <v>0</v>
      </c>
      <c r="AE13" s="87">
        <v>0</v>
      </c>
      <c r="AH13" s="87">
        <v>0</v>
      </c>
      <c r="AI13" s="120">
        <f>44275000+100000</f>
        <v>44375000</v>
      </c>
      <c r="AJ13" s="121">
        <v>2.7E-2</v>
      </c>
      <c r="AK13" s="87">
        <f t="shared" si="12"/>
        <v>3328.125</v>
      </c>
      <c r="AL13" s="120">
        <f t="shared" si="0"/>
        <v>30000000</v>
      </c>
      <c r="AM13" s="121">
        <v>2.9000000000000001E-2</v>
      </c>
      <c r="AN13" s="87">
        <f t="shared" si="13"/>
        <v>2416.6666666666665</v>
      </c>
      <c r="AO13" s="120">
        <f t="shared" si="1"/>
        <v>50000000</v>
      </c>
      <c r="AP13" s="121">
        <v>2.9499999999999998E-2</v>
      </c>
      <c r="AQ13" s="87">
        <f t="shared" si="14"/>
        <v>4097.2222222222226</v>
      </c>
      <c r="AR13" s="120">
        <f>50000000</f>
        <v>50000000</v>
      </c>
      <c r="AS13" s="121">
        <v>2.9700000000000001E-2</v>
      </c>
      <c r="AT13" s="87">
        <f t="shared" si="15"/>
        <v>4125</v>
      </c>
      <c r="AU13" s="120">
        <f t="shared" si="2"/>
        <v>375000000</v>
      </c>
      <c r="AV13" s="121">
        <v>2.8500000000000001E-2</v>
      </c>
      <c r="AW13" s="87">
        <f t="shared" si="16"/>
        <v>29687.5</v>
      </c>
      <c r="AX13" s="120"/>
      <c r="AY13" s="121"/>
      <c r="AZ13" s="87">
        <f t="shared" si="17"/>
        <v>0</v>
      </c>
      <c r="BC13" s="87">
        <f t="shared" si="18"/>
        <v>0</v>
      </c>
      <c r="BF13" s="87">
        <f t="shared" si="19"/>
        <v>0</v>
      </c>
      <c r="BI13" s="87">
        <f t="shared" si="20"/>
        <v>0</v>
      </c>
      <c r="BL13" s="87">
        <f t="shared" si="21"/>
        <v>0</v>
      </c>
      <c r="BO13" s="87">
        <f t="shared" si="22"/>
        <v>0</v>
      </c>
      <c r="BR13" s="87">
        <f t="shared" si="23"/>
        <v>0</v>
      </c>
      <c r="BU13" s="87">
        <f t="shared" si="24"/>
        <v>0</v>
      </c>
      <c r="BX13" s="87">
        <f t="shared" si="25"/>
        <v>0</v>
      </c>
      <c r="CA13" s="87">
        <f t="shared" si="26"/>
        <v>0</v>
      </c>
      <c r="CD13" s="87">
        <f t="shared" si="27"/>
        <v>0</v>
      </c>
      <c r="CG13" s="87">
        <f t="shared" si="28"/>
        <v>0</v>
      </c>
      <c r="CJ13" s="87">
        <f t="shared" si="29"/>
        <v>0</v>
      </c>
      <c r="CM13" s="87">
        <f t="shared" si="30"/>
        <v>0</v>
      </c>
      <c r="CP13" s="87">
        <f t="shared" si="31"/>
        <v>0</v>
      </c>
      <c r="CS13" s="87">
        <f t="shared" si="32"/>
        <v>0</v>
      </c>
      <c r="CV13" s="87">
        <f t="shared" si="33"/>
        <v>0</v>
      </c>
      <c r="CY13" s="87">
        <f t="shared" si="34"/>
        <v>0</v>
      </c>
      <c r="DB13" s="87">
        <f t="shared" si="35"/>
        <v>0</v>
      </c>
      <c r="DE13" s="87">
        <f t="shared" si="36"/>
        <v>0</v>
      </c>
      <c r="DH13" s="87">
        <f t="shared" si="37"/>
        <v>0</v>
      </c>
      <c r="DK13" s="87">
        <f t="shared" si="38"/>
        <v>0</v>
      </c>
      <c r="DN13" s="87">
        <f t="shared" si="39"/>
        <v>0</v>
      </c>
      <c r="DQ13" s="87">
        <f t="shared" si="40"/>
        <v>0</v>
      </c>
      <c r="DT13" s="87">
        <f t="shared" si="41"/>
        <v>0</v>
      </c>
      <c r="DW13" s="87">
        <f t="shared" si="42"/>
        <v>0</v>
      </c>
      <c r="DZ13" s="87"/>
      <c r="EA13" s="87"/>
      <c r="EB13" s="122">
        <f t="shared" si="43"/>
        <v>549375000</v>
      </c>
      <c r="EC13" s="122">
        <f t="shared" si="44"/>
        <v>0</v>
      </c>
      <c r="ED13" s="87">
        <f t="shared" si="45"/>
        <v>43654.513888888891</v>
      </c>
      <c r="EE13" s="88">
        <f t="shared" si="46"/>
        <v>2.8606370875995449E-2</v>
      </c>
      <c r="EG13" s="122">
        <f t="shared" si="47"/>
        <v>0</v>
      </c>
      <c r="EH13" s="87">
        <f t="shared" si="48"/>
        <v>0</v>
      </c>
      <c r="EI13" s="88">
        <f t="shared" si="49"/>
        <v>0</v>
      </c>
      <c r="EJ13" s="88"/>
      <c r="EK13" s="122">
        <f t="shared" si="50"/>
        <v>549375000</v>
      </c>
      <c r="EL13" s="122">
        <f t="shared" si="51"/>
        <v>0</v>
      </c>
      <c r="EM13" s="122">
        <f t="shared" si="52"/>
        <v>43654.513888888883</v>
      </c>
      <c r="EN13" s="88">
        <f t="shared" si="53"/>
        <v>2.8606370875995445E-2</v>
      </c>
      <c r="EP13" s="87"/>
    </row>
    <row r="14" spans="1:147" x14ac:dyDescent="0.25">
      <c r="A14" s="35">
        <f t="shared" si="54"/>
        <v>43500</v>
      </c>
      <c r="D14" s="87">
        <f t="shared" si="3"/>
        <v>0</v>
      </c>
      <c r="G14" s="87">
        <f t="shared" si="4"/>
        <v>0</v>
      </c>
      <c r="J14" s="87">
        <f t="shared" si="5"/>
        <v>0</v>
      </c>
      <c r="M14" s="87">
        <f t="shared" si="6"/>
        <v>0</v>
      </c>
      <c r="P14" s="87">
        <f t="shared" si="7"/>
        <v>0</v>
      </c>
      <c r="S14" s="87">
        <f t="shared" si="8"/>
        <v>0</v>
      </c>
      <c r="V14" s="87">
        <f t="shared" si="9"/>
        <v>0</v>
      </c>
      <c r="Y14" s="87">
        <f t="shared" si="10"/>
        <v>0</v>
      </c>
      <c r="AB14" s="87">
        <f t="shared" si="11"/>
        <v>0</v>
      </c>
      <c r="AE14" s="87">
        <v>0</v>
      </c>
      <c r="AH14" s="87">
        <v>0</v>
      </c>
      <c r="AI14" s="120">
        <f>93800000</f>
        <v>93800000</v>
      </c>
      <c r="AJ14" s="121">
        <v>2.7E-2</v>
      </c>
      <c r="AK14" s="87">
        <f t="shared" si="12"/>
        <v>7035</v>
      </c>
      <c r="AL14" s="120">
        <f t="shared" si="0"/>
        <v>30000000</v>
      </c>
      <c r="AM14" s="121">
        <v>2.9000000000000001E-2</v>
      </c>
      <c r="AN14" s="87">
        <f t="shared" si="13"/>
        <v>2416.6666666666665</v>
      </c>
      <c r="AO14" s="120">
        <f t="shared" si="1"/>
        <v>50000000</v>
      </c>
      <c r="AP14" s="121">
        <v>2.9499999999999998E-2</v>
      </c>
      <c r="AQ14" s="87">
        <f t="shared" si="14"/>
        <v>4097.2222222222226</v>
      </c>
      <c r="AR14" s="120"/>
      <c r="AS14" s="121"/>
      <c r="AT14" s="87">
        <f t="shared" si="15"/>
        <v>0</v>
      </c>
      <c r="AU14" s="120">
        <f t="shared" si="2"/>
        <v>375000000</v>
      </c>
      <c r="AV14" s="121">
        <v>2.8500000000000001E-2</v>
      </c>
      <c r="AW14" s="87">
        <f t="shared" si="16"/>
        <v>29687.5</v>
      </c>
      <c r="AX14" s="120"/>
      <c r="AY14" s="121"/>
      <c r="AZ14" s="87">
        <f t="shared" si="17"/>
        <v>0</v>
      </c>
      <c r="BC14" s="87">
        <f t="shared" si="18"/>
        <v>0</v>
      </c>
      <c r="BF14" s="87">
        <f t="shared" si="19"/>
        <v>0</v>
      </c>
      <c r="BI14" s="87">
        <f t="shared" si="20"/>
        <v>0</v>
      </c>
      <c r="BL14" s="87">
        <f t="shared" si="21"/>
        <v>0</v>
      </c>
      <c r="BO14" s="87">
        <f t="shared" si="22"/>
        <v>0</v>
      </c>
      <c r="BR14" s="87">
        <f t="shared" si="23"/>
        <v>0</v>
      </c>
      <c r="BU14" s="87">
        <f t="shared" si="24"/>
        <v>0</v>
      </c>
      <c r="BX14" s="87">
        <f t="shared" si="25"/>
        <v>0</v>
      </c>
      <c r="CA14" s="87">
        <f t="shared" si="26"/>
        <v>0</v>
      </c>
      <c r="CD14" s="87">
        <f t="shared" si="27"/>
        <v>0</v>
      </c>
      <c r="CG14" s="87">
        <f t="shared" si="28"/>
        <v>0</v>
      </c>
      <c r="CJ14" s="87">
        <f t="shared" si="29"/>
        <v>0</v>
      </c>
      <c r="CM14" s="87">
        <f t="shared" si="30"/>
        <v>0</v>
      </c>
      <c r="CP14" s="87">
        <f t="shared" si="31"/>
        <v>0</v>
      </c>
      <c r="CS14" s="87">
        <f t="shared" si="32"/>
        <v>0</v>
      </c>
      <c r="CV14" s="87">
        <f t="shared" si="33"/>
        <v>0</v>
      </c>
      <c r="CY14" s="87">
        <f t="shared" si="34"/>
        <v>0</v>
      </c>
      <c r="DB14" s="87">
        <f t="shared" si="35"/>
        <v>0</v>
      </c>
      <c r="DE14" s="87">
        <f t="shared" si="36"/>
        <v>0</v>
      </c>
      <c r="DH14" s="87">
        <f t="shared" si="37"/>
        <v>0</v>
      </c>
      <c r="DK14" s="87">
        <f t="shared" si="38"/>
        <v>0</v>
      </c>
      <c r="DN14" s="87">
        <f t="shared" si="39"/>
        <v>0</v>
      </c>
      <c r="DQ14" s="87">
        <f t="shared" si="40"/>
        <v>0</v>
      </c>
      <c r="DT14" s="87">
        <f t="shared" si="41"/>
        <v>0</v>
      </c>
      <c r="DW14" s="87">
        <f t="shared" si="42"/>
        <v>0</v>
      </c>
      <c r="DZ14" s="87"/>
      <c r="EA14" s="87"/>
      <c r="EB14" s="122">
        <f t="shared" si="43"/>
        <v>548800000</v>
      </c>
      <c r="EC14" s="122">
        <f t="shared" si="44"/>
        <v>0</v>
      </c>
      <c r="ED14" s="87">
        <f t="shared" si="45"/>
        <v>43236.388888888891</v>
      </c>
      <c r="EE14" s="88">
        <f t="shared" si="46"/>
        <v>2.8362062682215743E-2</v>
      </c>
      <c r="EG14" s="122">
        <f t="shared" si="47"/>
        <v>0</v>
      </c>
      <c r="EH14" s="87">
        <f t="shared" si="48"/>
        <v>0</v>
      </c>
      <c r="EI14" s="88">
        <f t="shared" si="49"/>
        <v>0</v>
      </c>
      <c r="EJ14" s="88"/>
      <c r="EK14" s="122">
        <f t="shared" si="50"/>
        <v>548800000</v>
      </c>
      <c r="EL14" s="122">
        <f t="shared" si="51"/>
        <v>0</v>
      </c>
      <c r="EM14" s="122">
        <f t="shared" si="52"/>
        <v>43236.388888888883</v>
      </c>
      <c r="EN14" s="88">
        <f t="shared" si="53"/>
        <v>2.8362062682215739E-2</v>
      </c>
      <c r="EP14" s="87"/>
    </row>
    <row r="15" spans="1:147" x14ac:dyDescent="0.25">
      <c r="A15" s="35">
        <f t="shared" si="54"/>
        <v>43501</v>
      </c>
      <c r="D15" s="87">
        <f t="shared" si="3"/>
        <v>0</v>
      </c>
      <c r="G15" s="87">
        <f t="shared" si="4"/>
        <v>0</v>
      </c>
      <c r="J15" s="87">
        <f t="shared" si="5"/>
        <v>0</v>
      </c>
      <c r="M15" s="87">
        <f t="shared" si="6"/>
        <v>0</v>
      </c>
      <c r="P15" s="87">
        <f t="shared" si="7"/>
        <v>0</v>
      </c>
      <c r="S15" s="87">
        <f t="shared" si="8"/>
        <v>0</v>
      </c>
      <c r="V15" s="87">
        <f t="shared" si="9"/>
        <v>0</v>
      </c>
      <c r="Y15" s="87">
        <f t="shared" si="10"/>
        <v>0</v>
      </c>
      <c r="AB15" s="87">
        <f t="shared" si="11"/>
        <v>0</v>
      </c>
      <c r="AE15" s="87">
        <v>0</v>
      </c>
      <c r="AH15" s="87">
        <v>0</v>
      </c>
      <c r="AI15" s="120">
        <f>53700000</f>
        <v>53700000</v>
      </c>
      <c r="AJ15" s="121">
        <v>2.7E-2</v>
      </c>
      <c r="AK15" s="87">
        <f t="shared" si="12"/>
        <v>4027.5</v>
      </c>
      <c r="AL15" s="120">
        <f t="shared" si="0"/>
        <v>30000000</v>
      </c>
      <c r="AM15" s="121">
        <v>2.9000000000000001E-2</v>
      </c>
      <c r="AN15" s="87">
        <f t="shared" si="13"/>
        <v>2416.6666666666665</v>
      </c>
      <c r="AO15" s="120">
        <f t="shared" si="1"/>
        <v>50000000</v>
      </c>
      <c r="AP15" s="121">
        <v>2.9499999999999998E-2</v>
      </c>
      <c r="AQ15" s="87">
        <f t="shared" si="14"/>
        <v>4097.2222222222226</v>
      </c>
      <c r="AR15" s="120">
        <f t="shared" ref="AR15:AR38" si="55">30000000</f>
        <v>30000000</v>
      </c>
      <c r="AS15" s="121">
        <v>2.8299999999999999E-2</v>
      </c>
      <c r="AT15" s="87">
        <f t="shared" si="15"/>
        <v>2358.3333333333335</v>
      </c>
      <c r="AU15" s="120">
        <f t="shared" si="2"/>
        <v>375000000</v>
      </c>
      <c r="AV15" s="121">
        <v>2.8500000000000001E-2</v>
      </c>
      <c r="AW15" s="87">
        <f t="shared" si="16"/>
        <v>29687.5</v>
      </c>
      <c r="AX15" s="120"/>
      <c r="AY15" s="121"/>
      <c r="AZ15" s="87">
        <f t="shared" si="17"/>
        <v>0</v>
      </c>
      <c r="BC15" s="87">
        <f t="shared" si="18"/>
        <v>0</v>
      </c>
      <c r="BF15" s="87">
        <f t="shared" si="19"/>
        <v>0</v>
      </c>
      <c r="BI15" s="87">
        <f t="shared" si="20"/>
        <v>0</v>
      </c>
      <c r="BL15" s="87">
        <f t="shared" si="21"/>
        <v>0</v>
      </c>
      <c r="BO15" s="87">
        <f t="shared" si="22"/>
        <v>0</v>
      </c>
      <c r="BR15" s="87">
        <f t="shared" si="23"/>
        <v>0</v>
      </c>
      <c r="BU15" s="87">
        <f t="shared" si="24"/>
        <v>0</v>
      </c>
      <c r="BX15" s="87">
        <f t="shared" si="25"/>
        <v>0</v>
      </c>
      <c r="CA15" s="87">
        <f t="shared" si="26"/>
        <v>0</v>
      </c>
      <c r="CD15" s="87">
        <f t="shared" si="27"/>
        <v>0</v>
      </c>
      <c r="CG15" s="87">
        <f t="shared" si="28"/>
        <v>0</v>
      </c>
      <c r="CJ15" s="87">
        <f t="shared" si="29"/>
        <v>0</v>
      </c>
      <c r="CM15" s="87">
        <f t="shared" si="30"/>
        <v>0</v>
      </c>
      <c r="CP15" s="87">
        <f t="shared" si="31"/>
        <v>0</v>
      </c>
      <c r="CS15" s="87">
        <f t="shared" si="32"/>
        <v>0</v>
      </c>
      <c r="CV15" s="87">
        <f t="shared" si="33"/>
        <v>0</v>
      </c>
      <c r="CY15" s="87">
        <f t="shared" si="34"/>
        <v>0</v>
      </c>
      <c r="DB15" s="87">
        <f t="shared" si="35"/>
        <v>0</v>
      </c>
      <c r="DE15" s="87">
        <f t="shared" si="36"/>
        <v>0</v>
      </c>
      <c r="DH15" s="87">
        <f t="shared" si="37"/>
        <v>0</v>
      </c>
      <c r="DK15" s="87">
        <f t="shared" si="38"/>
        <v>0</v>
      </c>
      <c r="DN15" s="87">
        <f t="shared" si="39"/>
        <v>0</v>
      </c>
      <c r="DQ15" s="87">
        <f t="shared" si="40"/>
        <v>0</v>
      </c>
      <c r="DT15" s="87">
        <f t="shared" si="41"/>
        <v>0</v>
      </c>
      <c r="DW15" s="87">
        <f t="shared" si="42"/>
        <v>0</v>
      </c>
      <c r="DZ15" s="87"/>
      <c r="EA15" s="87"/>
      <c r="EB15" s="122">
        <f t="shared" si="43"/>
        <v>538700000</v>
      </c>
      <c r="EC15" s="122">
        <f t="shared" si="44"/>
        <v>0</v>
      </c>
      <c r="ED15" s="87">
        <f t="shared" si="45"/>
        <v>42587.222222222219</v>
      </c>
      <c r="EE15" s="88">
        <f t="shared" si="46"/>
        <v>2.8459996287358454E-2</v>
      </c>
      <c r="EG15" s="122">
        <f t="shared" si="47"/>
        <v>0</v>
      </c>
      <c r="EH15" s="87">
        <f t="shared" si="48"/>
        <v>0</v>
      </c>
      <c r="EI15" s="88">
        <f t="shared" si="49"/>
        <v>0</v>
      </c>
      <c r="EJ15" s="88"/>
      <c r="EK15" s="122">
        <f t="shared" si="50"/>
        <v>538700000</v>
      </c>
      <c r="EL15" s="122">
        <f t="shared" si="51"/>
        <v>0</v>
      </c>
      <c r="EM15" s="122">
        <f t="shared" si="52"/>
        <v>42587.222222222219</v>
      </c>
      <c r="EN15" s="88">
        <f t="shared" si="53"/>
        <v>2.8459996287358454E-2</v>
      </c>
      <c r="EP15" s="87"/>
    </row>
    <row r="16" spans="1:147" x14ac:dyDescent="0.25">
      <c r="A16" s="35">
        <f t="shared" si="54"/>
        <v>43502</v>
      </c>
      <c r="D16" s="87">
        <f t="shared" si="3"/>
        <v>0</v>
      </c>
      <c r="G16" s="87">
        <f t="shared" si="4"/>
        <v>0</v>
      </c>
      <c r="J16" s="87">
        <f t="shared" si="5"/>
        <v>0</v>
      </c>
      <c r="M16" s="87">
        <f t="shared" si="6"/>
        <v>0</v>
      </c>
      <c r="P16" s="87">
        <f t="shared" si="7"/>
        <v>0</v>
      </c>
      <c r="S16" s="87">
        <f t="shared" si="8"/>
        <v>0</v>
      </c>
      <c r="V16" s="87">
        <f t="shared" si="9"/>
        <v>0</v>
      </c>
      <c r="Y16" s="87">
        <f t="shared" si="10"/>
        <v>0</v>
      </c>
      <c r="AB16" s="87">
        <f t="shared" si="11"/>
        <v>0</v>
      </c>
      <c r="AE16" s="87">
        <v>0</v>
      </c>
      <c r="AH16" s="87">
        <v>0</v>
      </c>
      <c r="AI16" s="120">
        <f>41750000</f>
        <v>41750000</v>
      </c>
      <c r="AJ16" s="121">
        <v>2.7E-2</v>
      </c>
      <c r="AK16" s="87">
        <f t="shared" si="12"/>
        <v>3131.25</v>
      </c>
      <c r="AL16" s="120">
        <f t="shared" si="0"/>
        <v>30000000</v>
      </c>
      <c r="AM16" s="121">
        <v>2.9000000000000001E-2</v>
      </c>
      <c r="AN16" s="87">
        <f t="shared" si="13"/>
        <v>2416.6666666666665</v>
      </c>
      <c r="AO16" s="120">
        <f t="shared" si="1"/>
        <v>50000000</v>
      </c>
      <c r="AP16" s="121">
        <v>2.9499999999999998E-2</v>
      </c>
      <c r="AQ16" s="87">
        <f t="shared" si="14"/>
        <v>4097.2222222222226</v>
      </c>
      <c r="AR16" s="120">
        <f t="shared" si="55"/>
        <v>30000000</v>
      </c>
      <c r="AS16" s="121">
        <v>2.8299999999999999E-2</v>
      </c>
      <c r="AT16" s="87">
        <f t="shared" si="15"/>
        <v>2358.3333333333335</v>
      </c>
      <c r="AU16" s="120">
        <f t="shared" si="2"/>
        <v>375000000</v>
      </c>
      <c r="AV16" s="121">
        <v>2.8500000000000001E-2</v>
      </c>
      <c r="AW16" s="87">
        <f t="shared" si="16"/>
        <v>29687.5</v>
      </c>
      <c r="AX16" s="120"/>
      <c r="AY16" s="121"/>
      <c r="AZ16" s="87">
        <f t="shared" si="17"/>
        <v>0</v>
      </c>
      <c r="BC16" s="87">
        <f t="shared" si="18"/>
        <v>0</v>
      </c>
      <c r="BF16" s="87">
        <f t="shared" si="19"/>
        <v>0</v>
      </c>
      <c r="BI16" s="87">
        <f t="shared" si="20"/>
        <v>0</v>
      </c>
      <c r="BL16" s="87">
        <f t="shared" si="21"/>
        <v>0</v>
      </c>
      <c r="BO16" s="87">
        <f t="shared" si="22"/>
        <v>0</v>
      </c>
      <c r="BR16" s="87">
        <f t="shared" si="23"/>
        <v>0</v>
      </c>
      <c r="BU16" s="87">
        <f t="shared" si="24"/>
        <v>0</v>
      </c>
      <c r="BX16" s="87">
        <f t="shared" si="25"/>
        <v>0</v>
      </c>
      <c r="CA16" s="87">
        <f t="shared" si="26"/>
        <v>0</v>
      </c>
      <c r="CD16" s="87">
        <f t="shared" si="27"/>
        <v>0</v>
      </c>
      <c r="CG16" s="87">
        <f t="shared" si="28"/>
        <v>0</v>
      </c>
      <c r="CJ16" s="87">
        <f t="shared" si="29"/>
        <v>0</v>
      </c>
      <c r="CM16" s="87">
        <f t="shared" si="30"/>
        <v>0</v>
      </c>
      <c r="CP16" s="87">
        <f t="shared" si="31"/>
        <v>0</v>
      </c>
      <c r="CS16" s="87">
        <f t="shared" si="32"/>
        <v>0</v>
      </c>
      <c r="CV16" s="87">
        <f t="shared" si="33"/>
        <v>0</v>
      </c>
      <c r="CY16" s="87">
        <f t="shared" si="34"/>
        <v>0</v>
      </c>
      <c r="DB16" s="87">
        <f t="shared" si="35"/>
        <v>0</v>
      </c>
      <c r="DE16" s="87">
        <f t="shared" si="36"/>
        <v>0</v>
      </c>
      <c r="DH16" s="87">
        <f t="shared" si="37"/>
        <v>0</v>
      </c>
      <c r="DK16" s="87">
        <f t="shared" si="38"/>
        <v>0</v>
      </c>
      <c r="DN16" s="87">
        <f t="shared" si="39"/>
        <v>0</v>
      </c>
      <c r="DQ16" s="87">
        <f t="shared" si="40"/>
        <v>0</v>
      </c>
      <c r="DT16" s="87">
        <f t="shared" si="41"/>
        <v>0</v>
      </c>
      <c r="DW16" s="87">
        <f t="shared" si="42"/>
        <v>0</v>
      </c>
      <c r="DZ16" s="87"/>
      <c r="EA16" s="87"/>
      <c r="EB16" s="122">
        <f t="shared" si="43"/>
        <v>526750000</v>
      </c>
      <c r="EC16" s="122">
        <f t="shared" si="44"/>
        <v>0</v>
      </c>
      <c r="ED16" s="87">
        <f t="shared" si="45"/>
        <v>41690.972222222219</v>
      </c>
      <c r="EE16" s="88">
        <f t="shared" si="46"/>
        <v>2.8493118177503555E-2</v>
      </c>
      <c r="EG16" s="122">
        <f t="shared" si="47"/>
        <v>0</v>
      </c>
      <c r="EH16" s="87">
        <f t="shared" si="48"/>
        <v>0</v>
      </c>
      <c r="EI16" s="88">
        <f t="shared" si="49"/>
        <v>0</v>
      </c>
      <c r="EJ16" s="88"/>
      <c r="EK16" s="122">
        <f t="shared" si="50"/>
        <v>526750000</v>
      </c>
      <c r="EL16" s="122">
        <f t="shared" si="51"/>
        <v>0</v>
      </c>
      <c r="EM16" s="122">
        <f t="shared" si="52"/>
        <v>41690.972222222219</v>
      </c>
      <c r="EN16" s="88">
        <f t="shared" si="53"/>
        <v>2.8493118177503555E-2</v>
      </c>
      <c r="EP16" s="87"/>
    </row>
    <row r="17" spans="1:146" x14ac:dyDescent="0.25">
      <c r="A17" s="35">
        <f t="shared" si="54"/>
        <v>43503</v>
      </c>
      <c r="D17" s="87">
        <f t="shared" si="3"/>
        <v>0</v>
      </c>
      <c r="G17" s="87">
        <f t="shared" si="4"/>
        <v>0</v>
      </c>
      <c r="J17" s="87">
        <f t="shared" si="5"/>
        <v>0</v>
      </c>
      <c r="M17" s="87">
        <f t="shared" si="6"/>
        <v>0</v>
      </c>
      <c r="P17" s="87">
        <f t="shared" si="7"/>
        <v>0</v>
      </c>
      <c r="S17" s="87">
        <f t="shared" si="8"/>
        <v>0</v>
      </c>
      <c r="V17" s="87">
        <f t="shared" si="9"/>
        <v>0</v>
      </c>
      <c r="Y17" s="87">
        <f t="shared" si="10"/>
        <v>0</v>
      </c>
      <c r="AB17" s="87">
        <f t="shared" si="11"/>
        <v>0</v>
      </c>
      <c r="AE17" s="87">
        <v>0</v>
      </c>
      <c r="AH17" s="87">
        <v>0</v>
      </c>
      <c r="AI17" s="120">
        <v>25775000</v>
      </c>
      <c r="AJ17" s="121">
        <v>2.7E-2</v>
      </c>
      <c r="AK17" s="87">
        <f t="shared" si="12"/>
        <v>1933.125</v>
      </c>
      <c r="AL17" s="120">
        <f t="shared" si="0"/>
        <v>30000000</v>
      </c>
      <c r="AM17" s="121">
        <v>2.9000000000000001E-2</v>
      </c>
      <c r="AN17" s="87">
        <f t="shared" si="13"/>
        <v>2416.6666666666665</v>
      </c>
      <c r="AO17" s="120">
        <f t="shared" si="1"/>
        <v>50000000</v>
      </c>
      <c r="AP17" s="121">
        <v>2.9499999999999998E-2</v>
      </c>
      <c r="AQ17" s="87">
        <f t="shared" si="14"/>
        <v>4097.2222222222226</v>
      </c>
      <c r="AR17" s="120">
        <f t="shared" si="55"/>
        <v>30000000</v>
      </c>
      <c r="AS17" s="121">
        <v>2.8299999999999999E-2</v>
      </c>
      <c r="AT17" s="87">
        <f t="shared" si="15"/>
        <v>2358.3333333333335</v>
      </c>
      <c r="AU17" s="120">
        <f t="shared" si="2"/>
        <v>375000000</v>
      </c>
      <c r="AV17" s="121">
        <v>2.8500000000000001E-2</v>
      </c>
      <c r="AW17" s="87">
        <f t="shared" si="16"/>
        <v>29687.5</v>
      </c>
      <c r="AX17" s="120"/>
      <c r="AY17" s="121"/>
      <c r="AZ17" s="87">
        <f t="shared" si="17"/>
        <v>0</v>
      </c>
      <c r="BC17" s="87">
        <f t="shared" si="18"/>
        <v>0</v>
      </c>
      <c r="BF17" s="87">
        <f t="shared" si="19"/>
        <v>0</v>
      </c>
      <c r="BI17" s="87">
        <f t="shared" si="20"/>
        <v>0</v>
      </c>
      <c r="BL17" s="87">
        <f t="shared" si="21"/>
        <v>0</v>
      </c>
      <c r="BO17" s="87">
        <f t="shared" si="22"/>
        <v>0</v>
      </c>
      <c r="BR17" s="87">
        <f t="shared" si="23"/>
        <v>0</v>
      </c>
      <c r="BU17" s="87">
        <f t="shared" si="24"/>
        <v>0</v>
      </c>
      <c r="BX17" s="87">
        <f t="shared" si="25"/>
        <v>0</v>
      </c>
      <c r="CA17" s="87">
        <f t="shared" si="26"/>
        <v>0</v>
      </c>
      <c r="CD17" s="87">
        <f t="shared" si="27"/>
        <v>0</v>
      </c>
      <c r="CG17" s="87">
        <f t="shared" si="28"/>
        <v>0</v>
      </c>
      <c r="CJ17" s="87">
        <f t="shared" si="29"/>
        <v>0</v>
      </c>
      <c r="CM17" s="87">
        <f t="shared" si="30"/>
        <v>0</v>
      </c>
      <c r="CP17" s="87">
        <f t="shared" si="31"/>
        <v>0</v>
      </c>
      <c r="CS17" s="87">
        <f t="shared" si="32"/>
        <v>0</v>
      </c>
      <c r="CV17" s="87">
        <f t="shared" si="33"/>
        <v>0</v>
      </c>
      <c r="CY17" s="87">
        <f t="shared" si="34"/>
        <v>0</v>
      </c>
      <c r="DB17" s="87">
        <f t="shared" si="35"/>
        <v>0</v>
      </c>
      <c r="DE17" s="87">
        <f t="shared" si="36"/>
        <v>0</v>
      </c>
      <c r="DH17" s="87">
        <f t="shared" si="37"/>
        <v>0</v>
      </c>
      <c r="DK17" s="87">
        <f t="shared" si="38"/>
        <v>0</v>
      </c>
      <c r="DN17" s="87">
        <f t="shared" si="39"/>
        <v>0</v>
      </c>
      <c r="DQ17" s="87">
        <f t="shared" si="40"/>
        <v>0</v>
      </c>
      <c r="DT17" s="87">
        <f t="shared" si="41"/>
        <v>0</v>
      </c>
      <c r="DW17" s="87">
        <f t="shared" si="42"/>
        <v>0</v>
      </c>
      <c r="DZ17" s="87"/>
      <c r="EA17" s="87"/>
      <c r="EB17" s="122">
        <f t="shared" si="43"/>
        <v>510775000</v>
      </c>
      <c r="EC17" s="122">
        <f t="shared" si="44"/>
        <v>0</v>
      </c>
      <c r="ED17" s="87">
        <f t="shared" si="45"/>
        <v>40492.847222222219</v>
      </c>
      <c r="EE17" s="88">
        <f t="shared" si="46"/>
        <v>2.853981694483872E-2</v>
      </c>
      <c r="EG17" s="122">
        <f t="shared" si="47"/>
        <v>0</v>
      </c>
      <c r="EH17" s="87">
        <f t="shared" si="48"/>
        <v>0</v>
      </c>
      <c r="EI17" s="88">
        <f t="shared" si="49"/>
        <v>0</v>
      </c>
      <c r="EJ17" s="88"/>
      <c r="EK17" s="122">
        <f t="shared" si="50"/>
        <v>510775000</v>
      </c>
      <c r="EL17" s="122">
        <f t="shared" si="51"/>
        <v>0</v>
      </c>
      <c r="EM17" s="122">
        <f t="shared" si="52"/>
        <v>40492.847222222219</v>
      </c>
      <c r="EN17" s="88">
        <f t="shared" si="53"/>
        <v>2.853981694483872E-2</v>
      </c>
      <c r="EP17" s="87"/>
    </row>
    <row r="18" spans="1:146" x14ac:dyDescent="0.25">
      <c r="A18" s="35">
        <f t="shared" si="54"/>
        <v>43504</v>
      </c>
      <c r="D18" s="87">
        <f t="shared" si="3"/>
        <v>0</v>
      </c>
      <c r="G18" s="87">
        <f t="shared" si="4"/>
        <v>0</v>
      </c>
      <c r="J18" s="87">
        <f t="shared" si="5"/>
        <v>0</v>
      </c>
      <c r="M18" s="87">
        <f t="shared" si="6"/>
        <v>0</v>
      </c>
      <c r="P18" s="87">
        <f t="shared" si="7"/>
        <v>0</v>
      </c>
      <c r="S18" s="87">
        <f t="shared" si="8"/>
        <v>0</v>
      </c>
      <c r="V18" s="87">
        <f t="shared" si="9"/>
        <v>0</v>
      </c>
      <c r="Y18" s="87">
        <f t="shared" si="10"/>
        <v>0</v>
      </c>
      <c r="AB18" s="87">
        <f t="shared" si="11"/>
        <v>0</v>
      </c>
      <c r="AE18" s="87">
        <v>0</v>
      </c>
      <c r="AH18" s="87">
        <v>0</v>
      </c>
      <c r="AI18" s="120">
        <f>26225000</f>
        <v>26225000</v>
      </c>
      <c r="AJ18" s="121">
        <v>2.7E-2</v>
      </c>
      <c r="AK18" s="87">
        <f t="shared" si="12"/>
        <v>1966.875</v>
      </c>
      <c r="AL18" s="120">
        <f t="shared" si="0"/>
        <v>30000000</v>
      </c>
      <c r="AM18" s="121">
        <v>2.9000000000000001E-2</v>
      </c>
      <c r="AN18" s="87">
        <f t="shared" si="13"/>
        <v>2416.6666666666665</v>
      </c>
      <c r="AO18" s="120">
        <f t="shared" si="1"/>
        <v>50000000</v>
      </c>
      <c r="AP18" s="121">
        <v>2.9499999999999998E-2</v>
      </c>
      <c r="AQ18" s="87">
        <f t="shared" si="14"/>
        <v>4097.2222222222226</v>
      </c>
      <c r="AR18" s="120">
        <f t="shared" si="55"/>
        <v>30000000</v>
      </c>
      <c r="AS18" s="121">
        <v>2.8299999999999999E-2</v>
      </c>
      <c r="AT18" s="87">
        <f t="shared" si="15"/>
        <v>2358.3333333333335</v>
      </c>
      <c r="AU18" s="120">
        <f t="shared" si="2"/>
        <v>375000000</v>
      </c>
      <c r="AV18" s="121">
        <v>2.8500000000000001E-2</v>
      </c>
      <c r="AW18" s="87">
        <f t="shared" si="16"/>
        <v>29687.5</v>
      </c>
      <c r="AX18" s="120"/>
      <c r="AY18" s="121"/>
      <c r="AZ18" s="87">
        <f t="shared" si="17"/>
        <v>0</v>
      </c>
      <c r="BC18" s="87">
        <f t="shared" si="18"/>
        <v>0</v>
      </c>
      <c r="BF18" s="87">
        <f t="shared" si="19"/>
        <v>0</v>
      </c>
      <c r="BI18" s="87">
        <f t="shared" si="20"/>
        <v>0</v>
      </c>
      <c r="BL18" s="87">
        <f t="shared" si="21"/>
        <v>0</v>
      </c>
      <c r="BO18" s="87">
        <f t="shared" si="22"/>
        <v>0</v>
      </c>
      <c r="BR18" s="87">
        <f t="shared" si="23"/>
        <v>0</v>
      </c>
      <c r="BU18" s="87">
        <f t="shared" si="24"/>
        <v>0</v>
      </c>
      <c r="BX18" s="87">
        <f t="shared" si="25"/>
        <v>0</v>
      </c>
      <c r="CA18" s="87">
        <f t="shared" si="26"/>
        <v>0</v>
      </c>
      <c r="CD18" s="87">
        <f t="shared" si="27"/>
        <v>0</v>
      </c>
      <c r="CG18" s="87">
        <f t="shared" si="28"/>
        <v>0</v>
      </c>
      <c r="CJ18" s="87">
        <f t="shared" si="29"/>
        <v>0</v>
      </c>
      <c r="CM18" s="87">
        <f t="shared" si="30"/>
        <v>0</v>
      </c>
      <c r="CP18" s="87">
        <f t="shared" si="31"/>
        <v>0</v>
      </c>
      <c r="CS18" s="87">
        <f t="shared" si="32"/>
        <v>0</v>
      </c>
      <c r="CV18" s="87">
        <f t="shared" si="33"/>
        <v>0</v>
      </c>
      <c r="CY18" s="87">
        <f t="shared" si="34"/>
        <v>0</v>
      </c>
      <c r="DB18" s="87">
        <f t="shared" si="35"/>
        <v>0</v>
      </c>
      <c r="DE18" s="87">
        <f t="shared" si="36"/>
        <v>0</v>
      </c>
      <c r="DH18" s="87">
        <f t="shared" si="37"/>
        <v>0</v>
      </c>
      <c r="DK18" s="87">
        <f t="shared" si="38"/>
        <v>0</v>
      </c>
      <c r="DN18" s="87">
        <f t="shared" si="39"/>
        <v>0</v>
      </c>
      <c r="DQ18" s="87">
        <f t="shared" si="40"/>
        <v>0</v>
      </c>
      <c r="DT18" s="87">
        <f t="shared" si="41"/>
        <v>0</v>
      </c>
      <c r="DW18" s="87">
        <f t="shared" si="42"/>
        <v>0</v>
      </c>
      <c r="DZ18" s="87"/>
      <c r="EA18" s="87"/>
      <c r="EB18" s="122">
        <f t="shared" si="43"/>
        <v>511225000</v>
      </c>
      <c r="EC18" s="122">
        <f t="shared" si="44"/>
        <v>0</v>
      </c>
      <c r="ED18" s="87">
        <f t="shared" si="45"/>
        <v>40526.597222222219</v>
      </c>
      <c r="EE18" s="88">
        <f t="shared" si="46"/>
        <v>2.8538461538461537E-2</v>
      </c>
      <c r="EG18" s="122">
        <f t="shared" si="47"/>
        <v>0</v>
      </c>
      <c r="EH18" s="87">
        <f t="shared" si="48"/>
        <v>0</v>
      </c>
      <c r="EI18" s="88">
        <f t="shared" si="49"/>
        <v>0</v>
      </c>
      <c r="EJ18" s="88"/>
      <c r="EK18" s="122">
        <f t="shared" si="50"/>
        <v>511225000</v>
      </c>
      <c r="EL18" s="122">
        <f t="shared" si="51"/>
        <v>0</v>
      </c>
      <c r="EM18" s="122">
        <f t="shared" si="52"/>
        <v>40526.597222222219</v>
      </c>
      <c r="EN18" s="88">
        <f t="shared" si="53"/>
        <v>2.8538461538461537E-2</v>
      </c>
      <c r="EP18" s="87"/>
    </row>
    <row r="19" spans="1:146" x14ac:dyDescent="0.25">
      <c r="A19" s="35">
        <f t="shared" si="54"/>
        <v>43505</v>
      </c>
      <c r="D19" s="87">
        <f t="shared" si="3"/>
        <v>0</v>
      </c>
      <c r="G19" s="87">
        <f t="shared" si="4"/>
        <v>0</v>
      </c>
      <c r="J19" s="87">
        <f t="shared" si="5"/>
        <v>0</v>
      </c>
      <c r="M19" s="87">
        <f t="shared" si="6"/>
        <v>0</v>
      </c>
      <c r="P19" s="87">
        <f t="shared" si="7"/>
        <v>0</v>
      </c>
      <c r="S19" s="87">
        <f t="shared" si="8"/>
        <v>0</v>
      </c>
      <c r="V19" s="87">
        <f t="shared" si="9"/>
        <v>0</v>
      </c>
      <c r="Y19" s="87">
        <f t="shared" si="10"/>
        <v>0</v>
      </c>
      <c r="AB19" s="87">
        <f t="shared" si="11"/>
        <v>0</v>
      </c>
      <c r="AE19" s="87">
        <v>0</v>
      </c>
      <c r="AH19" s="87">
        <v>0</v>
      </c>
      <c r="AI19" s="120">
        <f>26225000</f>
        <v>26225000</v>
      </c>
      <c r="AJ19" s="121">
        <v>2.7E-2</v>
      </c>
      <c r="AK19" s="87">
        <f t="shared" si="12"/>
        <v>1966.875</v>
      </c>
      <c r="AL19" s="120">
        <f t="shared" si="0"/>
        <v>30000000</v>
      </c>
      <c r="AM19" s="121">
        <v>2.9000000000000001E-2</v>
      </c>
      <c r="AN19" s="87">
        <f t="shared" si="13"/>
        <v>2416.6666666666665</v>
      </c>
      <c r="AO19" s="120">
        <f t="shared" si="1"/>
        <v>50000000</v>
      </c>
      <c r="AP19" s="121">
        <v>2.9499999999999998E-2</v>
      </c>
      <c r="AQ19" s="87">
        <f t="shared" si="14"/>
        <v>4097.2222222222226</v>
      </c>
      <c r="AR19" s="120">
        <f t="shared" si="55"/>
        <v>30000000</v>
      </c>
      <c r="AS19" s="121">
        <v>2.8299999999999999E-2</v>
      </c>
      <c r="AT19" s="87">
        <f t="shared" si="15"/>
        <v>2358.3333333333335</v>
      </c>
      <c r="AU19" s="120">
        <f t="shared" si="2"/>
        <v>375000000</v>
      </c>
      <c r="AV19" s="121">
        <v>2.8500000000000001E-2</v>
      </c>
      <c r="AW19" s="87">
        <f t="shared" si="16"/>
        <v>29687.5</v>
      </c>
      <c r="AX19" s="120"/>
      <c r="AY19" s="121"/>
      <c r="AZ19" s="87">
        <f t="shared" si="17"/>
        <v>0</v>
      </c>
      <c r="BC19" s="87">
        <f t="shared" si="18"/>
        <v>0</v>
      </c>
      <c r="BF19" s="87">
        <f t="shared" si="19"/>
        <v>0</v>
      </c>
      <c r="BI19" s="87">
        <f t="shared" si="20"/>
        <v>0</v>
      </c>
      <c r="BL19" s="87">
        <f t="shared" si="21"/>
        <v>0</v>
      </c>
      <c r="BO19" s="87">
        <f t="shared" si="22"/>
        <v>0</v>
      </c>
      <c r="BR19" s="87">
        <f t="shared" si="23"/>
        <v>0</v>
      </c>
      <c r="BU19" s="87">
        <f t="shared" si="24"/>
        <v>0</v>
      </c>
      <c r="BX19" s="87">
        <f t="shared" si="25"/>
        <v>0</v>
      </c>
      <c r="CA19" s="87">
        <f t="shared" si="26"/>
        <v>0</v>
      </c>
      <c r="CD19" s="87">
        <f t="shared" si="27"/>
        <v>0</v>
      </c>
      <c r="CG19" s="87">
        <f t="shared" si="28"/>
        <v>0</v>
      </c>
      <c r="CJ19" s="87">
        <f t="shared" si="29"/>
        <v>0</v>
      </c>
      <c r="CM19" s="87">
        <f t="shared" si="30"/>
        <v>0</v>
      </c>
      <c r="CP19" s="87">
        <f t="shared" si="31"/>
        <v>0</v>
      </c>
      <c r="CS19" s="87">
        <f t="shared" si="32"/>
        <v>0</v>
      </c>
      <c r="CV19" s="87">
        <f t="shared" si="33"/>
        <v>0</v>
      </c>
      <c r="CY19" s="87">
        <f t="shared" si="34"/>
        <v>0</v>
      </c>
      <c r="DB19" s="87">
        <f t="shared" si="35"/>
        <v>0</v>
      </c>
      <c r="DE19" s="87">
        <f t="shared" si="36"/>
        <v>0</v>
      </c>
      <c r="DH19" s="87">
        <f t="shared" si="37"/>
        <v>0</v>
      </c>
      <c r="DK19" s="87">
        <f t="shared" si="38"/>
        <v>0</v>
      </c>
      <c r="DN19" s="87">
        <f t="shared" si="39"/>
        <v>0</v>
      </c>
      <c r="DQ19" s="87">
        <f t="shared" si="40"/>
        <v>0</v>
      </c>
      <c r="DT19" s="87">
        <f t="shared" si="41"/>
        <v>0</v>
      </c>
      <c r="DW19" s="87">
        <f t="shared" si="42"/>
        <v>0</v>
      </c>
      <c r="DZ19" s="87"/>
      <c r="EA19" s="87"/>
      <c r="EB19" s="122">
        <f t="shared" si="43"/>
        <v>511225000</v>
      </c>
      <c r="EC19" s="122">
        <f t="shared" si="44"/>
        <v>0</v>
      </c>
      <c r="ED19" s="87">
        <f t="shared" si="45"/>
        <v>40526.597222222219</v>
      </c>
      <c r="EE19" s="88">
        <f t="shared" si="46"/>
        <v>2.8538461538461537E-2</v>
      </c>
      <c r="EG19" s="122">
        <f t="shared" si="47"/>
        <v>0</v>
      </c>
      <c r="EH19" s="87">
        <f t="shared" si="48"/>
        <v>0</v>
      </c>
      <c r="EI19" s="88">
        <f t="shared" si="49"/>
        <v>0</v>
      </c>
      <c r="EJ19" s="88"/>
      <c r="EK19" s="122">
        <f t="shared" si="50"/>
        <v>511225000</v>
      </c>
      <c r="EL19" s="122">
        <f t="shared" si="51"/>
        <v>0</v>
      </c>
      <c r="EM19" s="122">
        <f t="shared" si="52"/>
        <v>40526.597222222219</v>
      </c>
      <c r="EN19" s="88">
        <f t="shared" si="53"/>
        <v>2.8538461538461537E-2</v>
      </c>
      <c r="EP19" s="87"/>
    </row>
    <row r="20" spans="1:146" x14ac:dyDescent="0.25">
      <c r="A20" s="35">
        <f t="shared" si="54"/>
        <v>43506</v>
      </c>
      <c r="D20" s="87">
        <f t="shared" si="3"/>
        <v>0</v>
      </c>
      <c r="G20" s="87">
        <f t="shared" si="4"/>
        <v>0</v>
      </c>
      <c r="J20" s="87">
        <f t="shared" si="5"/>
        <v>0</v>
      </c>
      <c r="M20" s="87">
        <f t="shared" si="6"/>
        <v>0</v>
      </c>
      <c r="P20" s="87">
        <f t="shared" si="7"/>
        <v>0</v>
      </c>
      <c r="S20" s="87">
        <f t="shared" si="8"/>
        <v>0</v>
      </c>
      <c r="V20" s="87">
        <f t="shared" si="9"/>
        <v>0</v>
      </c>
      <c r="Y20" s="87">
        <f t="shared" si="10"/>
        <v>0</v>
      </c>
      <c r="AB20" s="87">
        <f t="shared" si="11"/>
        <v>0</v>
      </c>
      <c r="AE20" s="87">
        <v>0</v>
      </c>
      <c r="AH20" s="87">
        <v>0</v>
      </c>
      <c r="AI20" s="120">
        <f>26225000</f>
        <v>26225000</v>
      </c>
      <c r="AJ20" s="121">
        <v>2.7E-2</v>
      </c>
      <c r="AK20" s="87">
        <f t="shared" si="12"/>
        <v>1966.875</v>
      </c>
      <c r="AL20" s="120">
        <f t="shared" si="0"/>
        <v>30000000</v>
      </c>
      <c r="AM20" s="121">
        <v>2.9000000000000001E-2</v>
      </c>
      <c r="AN20" s="87">
        <f t="shared" si="13"/>
        <v>2416.6666666666665</v>
      </c>
      <c r="AO20" s="120">
        <f t="shared" si="1"/>
        <v>50000000</v>
      </c>
      <c r="AP20" s="121">
        <v>2.9499999999999998E-2</v>
      </c>
      <c r="AQ20" s="87">
        <f t="shared" si="14"/>
        <v>4097.2222222222226</v>
      </c>
      <c r="AR20" s="120">
        <f t="shared" si="55"/>
        <v>30000000</v>
      </c>
      <c r="AS20" s="121">
        <v>2.8299999999999999E-2</v>
      </c>
      <c r="AT20" s="87">
        <f t="shared" si="15"/>
        <v>2358.3333333333335</v>
      </c>
      <c r="AU20" s="120">
        <f t="shared" si="2"/>
        <v>375000000</v>
      </c>
      <c r="AV20" s="121">
        <v>2.8500000000000001E-2</v>
      </c>
      <c r="AW20" s="87">
        <f t="shared" si="16"/>
        <v>29687.5</v>
      </c>
      <c r="AX20" s="120"/>
      <c r="AY20" s="121"/>
      <c r="AZ20" s="87">
        <f t="shared" si="17"/>
        <v>0</v>
      </c>
      <c r="BC20" s="87">
        <f t="shared" si="18"/>
        <v>0</v>
      </c>
      <c r="BF20" s="87">
        <f t="shared" si="19"/>
        <v>0</v>
      </c>
      <c r="BI20" s="87">
        <f t="shared" si="20"/>
        <v>0</v>
      </c>
      <c r="BL20" s="87">
        <f t="shared" si="21"/>
        <v>0</v>
      </c>
      <c r="BO20" s="87">
        <f t="shared" si="22"/>
        <v>0</v>
      </c>
      <c r="BR20" s="87">
        <f t="shared" si="23"/>
        <v>0</v>
      </c>
      <c r="BU20" s="87">
        <f t="shared" si="24"/>
        <v>0</v>
      </c>
      <c r="BX20" s="87">
        <f t="shared" si="25"/>
        <v>0</v>
      </c>
      <c r="CA20" s="87">
        <f t="shared" si="26"/>
        <v>0</v>
      </c>
      <c r="CD20" s="87">
        <f t="shared" si="27"/>
        <v>0</v>
      </c>
      <c r="CG20" s="87">
        <f t="shared" si="28"/>
        <v>0</v>
      </c>
      <c r="CJ20" s="87">
        <f t="shared" si="29"/>
        <v>0</v>
      </c>
      <c r="CM20" s="87">
        <f t="shared" si="30"/>
        <v>0</v>
      </c>
      <c r="CP20" s="87">
        <f t="shared" si="31"/>
        <v>0</v>
      </c>
      <c r="CS20" s="87">
        <f t="shared" si="32"/>
        <v>0</v>
      </c>
      <c r="CV20" s="87">
        <f t="shared" si="33"/>
        <v>0</v>
      </c>
      <c r="CY20" s="87">
        <f t="shared" si="34"/>
        <v>0</v>
      </c>
      <c r="DB20" s="87">
        <f t="shared" si="35"/>
        <v>0</v>
      </c>
      <c r="DE20" s="87">
        <f t="shared" si="36"/>
        <v>0</v>
      </c>
      <c r="DH20" s="87">
        <f t="shared" si="37"/>
        <v>0</v>
      </c>
      <c r="DK20" s="87">
        <f t="shared" si="38"/>
        <v>0</v>
      </c>
      <c r="DN20" s="87">
        <f t="shared" si="39"/>
        <v>0</v>
      </c>
      <c r="DQ20" s="87">
        <f t="shared" si="40"/>
        <v>0</v>
      </c>
      <c r="DT20" s="87">
        <f t="shared" si="41"/>
        <v>0</v>
      </c>
      <c r="DW20" s="87">
        <f t="shared" si="42"/>
        <v>0</v>
      </c>
      <c r="DZ20" s="87"/>
      <c r="EA20" s="87"/>
      <c r="EB20" s="122">
        <f t="shared" si="43"/>
        <v>511225000</v>
      </c>
      <c r="EC20" s="122">
        <f t="shared" si="44"/>
        <v>0</v>
      </c>
      <c r="ED20" s="87">
        <f t="shared" si="45"/>
        <v>40526.597222222219</v>
      </c>
      <c r="EE20" s="88">
        <f t="shared" si="46"/>
        <v>2.8538461538461537E-2</v>
      </c>
      <c r="EG20" s="122">
        <f t="shared" si="47"/>
        <v>0</v>
      </c>
      <c r="EH20" s="87">
        <f t="shared" si="48"/>
        <v>0</v>
      </c>
      <c r="EI20" s="88">
        <f t="shared" si="49"/>
        <v>0</v>
      </c>
      <c r="EJ20" s="88"/>
      <c r="EK20" s="122">
        <f t="shared" si="50"/>
        <v>511225000</v>
      </c>
      <c r="EL20" s="122">
        <f t="shared" si="51"/>
        <v>0</v>
      </c>
      <c r="EM20" s="122">
        <f t="shared" si="52"/>
        <v>40526.597222222219</v>
      </c>
      <c r="EN20" s="88">
        <f t="shared" si="53"/>
        <v>2.8538461538461537E-2</v>
      </c>
      <c r="EP20" s="87"/>
    </row>
    <row r="21" spans="1:146" x14ac:dyDescent="0.25">
      <c r="A21" s="35">
        <f t="shared" si="54"/>
        <v>43507</v>
      </c>
      <c r="D21" s="87">
        <f t="shared" si="3"/>
        <v>0</v>
      </c>
      <c r="G21" s="87">
        <f t="shared" si="4"/>
        <v>0</v>
      </c>
      <c r="J21" s="87">
        <f t="shared" si="5"/>
        <v>0</v>
      </c>
      <c r="M21" s="87">
        <f t="shared" si="6"/>
        <v>0</v>
      </c>
      <c r="P21" s="87">
        <f t="shared" si="7"/>
        <v>0</v>
      </c>
      <c r="S21" s="87">
        <f t="shared" si="8"/>
        <v>0</v>
      </c>
      <c r="V21" s="87">
        <f t="shared" si="9"/>
        <v>0</v>
      </c>
      <c r="Y21" s="87">
        <f t="shared" si="10"/>
        <v>0</v>
      </c>
      <c r="AB21" s="87">
        <f t="shared" si="11"/>
        <v>0</v>
      </c>
      <c r="AE21" s="87">
        <v>0</v>
      </c>
      <c r="AH21" s="87">
        <v>0</v>
      </c>
      <c r="AI21" s="120">
        <f>19650000</f>
        <v>19650000</v>
      </c>
      <c r="AJ21" s="121">
        <v>2.7E-2</v>
      </c>
      <c r="AK21" s="87">
        <f t="shared" si="12"/>
        <v>1473.75</v>
      </c>
      <c r="AL21" s="120">
        <f t="shared" si="0"/>
        <v>30000000</v>
      </c>
      <c r="AM21" s="121">
        <v>2.9000000000000001E-2</v>
      </c>
      <c r="AN21" s="87">
        <f t="shared" si="13"/>
        <v>2416.6666666666665</v>
      </c>
      <c r="AO21" s="120">
        <f t="shared" si="1"/>
        <v>50000000</v>
      </c>
      <c r="AP21" s="121">
        <v>2.9499999999999998E-2</v>
      </c>
      <c r="AQ21" s="87">
        <f t="shared" si="14"/>
        <v>4097.2222222222226</v>
      </c>
      <c r="AR21" s="120">
        <f t="shared" si="55"/>
        <v>30000000</v>
      </c>
      <c r="AS21" s="121">
        <v>2.8299999999999999E-2</v>
      </c>
      <c r="AT21" s="87">
        <f t="shared" si="15"/>
        <v>2358.3333333333335</v>
      </c>
      <c r="AU21" s="120">
        <f t="shared" si="2"/>
        <v>375000000</v>
      </c>
      <c r="AV21" s="121">
        <v>2.8500000000000001E-2</v>
      </c>
      <c r="AW21" s="87">
        <f t="shared" si="16"/>
        <v>29687.5</v>
      </c>
      <c r="AX21" s="120"/>
      <c r="AY21" s="121"/>
      <c r="AZ21" s="87">
        <f t="shared" si="17"/>
        <v>0</v>
      </c>
      <c r="BC21" s="87">
        <f t="shared" si="18"/>
        <v>0</v>
      </c>
      <c r="BF21" s="87">
        <f t="shared" si="19"/>
        <v>0</v>
      </c>
      <c r="BI21" s="87">
        <f t="shared" si="20"/>
        <v>0</v>
      </c>
      <c r="BL21" s="87">
        <f t="shared" si="21"/>
        <v>0</v>
      </c>
      <c r="BO21" s="87">
        <f t="shared" si="22"/>
        <v>0</v>
      </c>
      <c r="BR21" s="87">
        <f t="shared" si="23"/>
        <v>0</v>
      </c>
      <c r="BU21" s="87">
        <f t="shared" si="24"/>
        <v>0</v>
      </c>
      <c r="BX21" s="87">
        <f t="shared" si="25"/>
        <v>0</v>
      </c>
      <c r="CA21" s="87">
        <f t="shared" si="26"/>
        <v>0</v>
      </c>
      <c r="CD21" s="87">
        <f t="shared" si="27"/>
        <v>0</v>
      </c>
      <c r="CG21" s="87">
        <f t="shared" si="28"/>
        <v>0</v>
      </c>
      <c r="CJ21" s="87">
        <f t="shared" si="29"/>
        <v>0</v>
      </c>
      <c r="CM21" s="87">
        <f t="shared" si="30"/>
        <v>0</v>
      </c>
      <c r="CP21" s="87">
        <f t="shared" si="31"/>
        <v>0</v>
      </c>
      <c r="CS21" s="87">
        <f t="shared" si="32"/>
        <v>0</v>
      </c>
      <c r="CV21" s="87">
        <f t="shared" si="33"/>
        <v>0</v>
      </c>
      <c r="CY21" s="87">
        <f t="shared" si="34"/>
        <v>0</v>
      </c>
      <c r="DB21" s="87">
        <f t="shared" si="35"/>
        <v>0</v>
      </c>
      <c r="DE21" s="87">
        <f t="shared" si="36"/>
        <v>0</v>
      </c>
      <c r="DH21" s="87">
        <f t="shared" si="37"/>
        <v>0</v>
      </c>
      <c r="DK21" s="87">
        <f t="shared" si="38"/>
        <v>0</v>
      </c>
      <c r="DN21" s="87">
        <f t="shared" si="39"/>
        <v>0</v>
      </c>
      <c r="DQ21" s="87">
        <f t="shared" si="40"/>
        <v>0</v>
      </c>
      <c r="DT21" s="87">
        <f t="shared" si="41"/>
        <v>0</v>
      </c>
      <c r="DW21" s="87">
        <f t="shared" si="42"/>
        <v>0</v>
      </c>
      <c r="DZ21" s="87"/>
      <c r="EA21" s="87"/>
      <c r="EB21" s="122">
        <f t="shared" si="43"/>
        <v>504650000</v>
      </c>
      <c r="EC21" s="122">
        <f t="shared" si="44"/>
        <v>0</v>
      </c>
      <c r="ED21" s="87">
        <f t="shared" si="45"/>
        <v>40033.472222222219</v>
      </c>
      <c r="EE21" s="88">
        <f t="shared" si="46"/>
        <v>2.8558505895174873E-2</v>
      </c>
      <c r="EG21" s="122">
        <f t="shared" si="47"/>
        <v>0</v>
      </c>
      <c r="EH21" s="87">
        <f t="shared" si="48"/>
        <v>0</v>
      </c>
      <c r="EI21" s="88">
        <f t="shared" si="49"/>
        <v>0</v>
      </c>
      <c r="EJ21" s="88"/>
      <c r="EK21" s="122">
        <f t="shared" si="50"/>
        <v>504650000</v>
      </c>
      <c r="EL21" s="122">
        <f t="shared" si="51"/>
        <v>0</v>
      </c>
      <c r="EM21" s="122">
        <f t="shared" si="52"/>
        <v>40033.472222222219</v>
      </c>
      <c r="EN21" s="88">
        <f t="shared" si="53"/>
        <v>2.8558505895174873E-2</v>
      </c>
      <c r="EP21" s="87"/>
    </row>
    <row r="22" spans="1:146" x14ac:dyDescent="0.25">
      <c r="A22" s="35">
        <f t="shared" si="54"/>
        <v>43508</v>
      </c>
      <c r="D22" s="87">
        <f t="shared" si="3"/>
        <v>0</v>
      </c>
      <c r="G22" s="87">
        <f t="shared" si="4"/>
        <v>0</v>
      </c>
      <c r="J22" s="87">
        <f t="shared" si="5"/>
        <v>0</v>
      </c>
      <c r="M22" s="87">
        <f t="shared" si="6"/>
        <v>0</v>
      </c>
      <c r="P22" s="87">
        <f t="shared" si="7"/>
        <v>0</v>
      </c>
      <c r="S22" s="87">
        <f t="shared" si="8"/>
        <v>0</v>
      </c>
      <c r="V22" s="87">
        <f t="shared" si="9"/>
        <v>0</v>
      </c>
      <c r="Y22" s="87">
        <f t="shared" si="10"/>
        <v>0</v>
      </c>
      <c r="AB22" s="87">
        <f t="shared" si="11"/>
        <v>0</v>
      </c>
      <c r="AE22" s="87">
        <v>0</v>
      </c>
      <c r="AH22" s="87">
        <v>0</v>
      </c>
      <c r="AI22" s="120">
        <f>13350000</f>
        <v>13350000</v>
      </c>
      <c r="AJ22" s="121">
        <v>2.7E-2</v>
      </c>
      <c r="AK22" s="87">
        <f t="shared" si="12"/>
        <v>1001.25</v>
      </c>
      <c r="AL22" s="120">
        <f t="shared" si="0"/>
        <v>30000000</v>
      </c>
      <c r="AM22" s="121">
        <v>2.9000000000000001E-2</v>
      </c>
      <c r="AN22" s="87">
        <f t="shared" si="13"/>
        <v>2416.6666666666665</v>
      </c>
      <c r="AO22" s="120">
        <f t="shared" si="1"/>
        <v>50000000</v>
      </c>
      <c r="AP22" s="121">
        <v>2.9499999999999998E-2</v>
      </c>
      <c r="AQ22" s="87">
        <f t="shared" si="14"/>
        <v>4097.2222222222226</v>
      </c>
      <c r="AR22" s="120">
        <f t="shared" si="55"/>
        <v>30000000</v>
      </c>
      <c r="AS22" s="121">
        <v>2.8299999999999999E-2</v>
      </c>
      <c r="AT22" s="87">
        <f t="shared" si="15"/>
        <v>2358.3333333333335</v>
      </c>
      <c r="AU22" s="120">
        <f t="shared" si="2"/>
        <v>375000000</v>
      </c>
      <c r="AV22" s="121">
        <v>2.8500000000000001E-2</v>
      </c>
      <c r="AW22" s="87">
        <f t="shared" si="16"/>
        <v>29687.5</v>
      </c>
      <c r="AX22" s="120"/>
      <c r="AY22" s="121"/>
      <c r="AZ22" s="87">
        <f t="shared" si="17"/>
        <v>0</v>
      </c>
      <c r="BC22" s="87">
        <f t="shared" si="18"/>
        <v>0</v>
      </c>
      <c r="BF22" s="87">
        <f t="shared" si="19"/>
        <v>0</v>
      </c>
      <c r="BI22" s="87">
        <f t="shared" si="20"/>
        <v>0</v>
      </c>
      <c r="BL22" s="87">
        <f t="shared" si="21"/>
        <v>0</v>
      </c>
      <c r="BO22" s="87">
        <f t="shared" si="22"/>
        <v>0</v>
      </c>
      <c r="BR22" s="87">
        <f t="shared" si="23"/>
        <v>0</v>
      </c>
      <c r="BU22" s="87">
        <f t="shared" si="24"/>
        <v>0</v>
      </c>
      <c r="BX22" s="87">
        <f t="shared" si="25"/>
        <v>0</v>
      </c>
      <c r="CA22" s="87">
        <f t="shared" si="26"/>
        <v>0</v>
      </c>
      <c r="CD22" s="87">
        <f t="shared" si="27"/>
        <v>0</v>
      </c>
      <c r="CG22" s="87">
        <f t="shared" si="28"/>
        <v>0</v>
      </c>
      <c r="CJ22" s="87">
        <f t="shared" si="29"/>
        <v>0</v>
      </c>
      <c r="CM22" s="87">
        <f t="shared" si="30"/>
        <v>0</v>
      </c>
      <c r="CP22" s="87">
        <f t="shared" si="31"/>
        <v>0</v>
      </c>
      <c r="CS22" s="87">
        <f t="shared" si="32"/>
        <v>0</v>
      </c>
      <c r="CV22" s="87">
        <f t="shared" si="33"/>
        <v>0</v>
      </c>
      <c r="CY22" s="87">
        <f t="shared" si="34"/>
        <v>0</v>
      </c>
      <c r="DB22" s="87">
        <f t="shared" si="35"/>
        <v>0</v>
      </c>
      <c r="DE22" s="87">
        <f t="shared" si="36"/>
        <v>0</v>
      </c>
      <c r="DH22" s="87">
        <f t="shared" si="37"/>
        <v>0</v>
      </c>
      <c r="DK22" s="87">
        <f t="shared" si="38"/>
        <v>0</v>
      </c>
      <c r="DN22" s="87">
        <f t="shared" si="39"/>
        <v>0</v>
      </c>
      <c r="DQ22" s="87">
        <f t="shared" si="40"/>
        <v>0</v>
      </c>
      <c r="DT22" s="87">
        <f t="shared" si="41"/>
        <v>0</v>
      </c>
      <c r="DW22" s="87">
        <f t="shared" si="42"/>
        <v>0</v>
      </c>
      <c r="DZ22" s="87"/>
      <c r="EA22" s="87"/>
      <c r="EB22" s="122">
        <f t="shared" si="43"/>
        <v>498350000</v>
      </c>
      <c r="EC22" s="122">
        <f t="shared" si="44"/>
        <v>0</v>
      </c>
      <c r="ED22" s="87">
        <f t="shared" si="45"/>
        <v>39560.972222222219</v>
      </c>
      <c r="EE22" s="88">
        <f t="shared" si="46"/>
        <v>2.8578208086686058E-2</v>
      </c>
      <c r="EG22" s="122">
        <f t="shared" si="47"/>
        <v>0</v>
      </c>
      <c r="EH22" s="87">
        <f t="shared" si="48"/>
        <v>0</v>
      </c>
      <c r="EI22" s="88">
        <f t="shared" si="49"/>
        <v>0</v>
      </c>
      <c r="EJ22" s="88"/>
      <c r="EK22" s="122">
        <f t="shared" si="50"/>
        <v>498350000</v>
      </c>
      <c r="EL22" s="122">
        <f t="shared" si="51"/>
        <v>0</v>
      </c>
      <c r="EM22" s="122">
        <f t="shared" si="52"/>
        <v>39560.972222222219</v>
      </c>
      <c r="EN22" s="88">
        <f t="shared" si="53"/>
        <v>2.8578208086686058E-2</v>
      </c>
      <c r="EP22" s="87"/>
    </row>
    <row r="23" spans="1:146" x14ac:dyDescent="0.25">
      <c r="A23" s="35">
        <f t="shared" si="54"/>
        <v>43509</v>
      </c>
      <c r="D23" s="87">
        <f t="shared" si="3"/>
        <v>0</v>
      </c>
      <c r="G23" s="87">
        <f t="shared" si="4"/>
        <v>0</v>
      </c>
      <c r="J23" s="87">
        <f t="shared" si="5"/>
        <v>0</v>
      </c>
      <c r="M23" s="87">
        <f t="shared" si="6"/>
        <v>0</v>
      </c>
      <c r="P23" s="87">
        <f t="shared" si="7"/>
        <v>0</v>
      </c>
      <c r="S23" s="87">
        <f t="shared" si="8"/>
        <v>0</v>
      </c>
      <c r="V23" s="87">
        <f t="shared" si="9"/>
        <v>0</v>
      </c>
      <c r="Y23" s="87">
        <f t="shared" si="10"/>
        <v>0</v>
      </c>
      <c r="AB23" s="87">
        <f t="shared" si="11"/>
        <v>0</v>
      </c>
      <c r="AE23" s="87">
        <v>0</v>
      </c>
      <c r="AH23" s="87">
        <v>0</v>
      </c>
      <c r="AI23" s="120">
        <f>13675000</f>
        <v>13675000</v>
      </c>
      <c r="AJ23" s="121">
        <v>2.7E-2</v>
      </c>
      <c r="AK23" s="87">
        <f t="shared" si="12"/>
        <v>1025.625</v>
      </c>
      <c r="AL23" s="120">
        <f t="shared" si="0"/>
        <v>30000000</v>
      </c>
      <c r="AM23" s="121">
        <v>2.9000000000000001E-2</v>
      </c>
      <c r="AN23" s="87">
        <f t="shared" si="13"/>
        <v>2416.6666666666665</v>
      </c>
      <c r="AO23" s="120">
        <f t="shared" si="1"/>
        <v>50000000</v>
      </c>
      <c r="AP23" s="121">
        <v>2.9499999999999998E-2</v>
      </c>
      <c r="AQ23" s="87">
        <f t="shared" si="14"/>
        <v>4097.2222222222226</v>
      </c>
      <c r="AR23" s="120">
        <f t="shared" si="55"/>
        <v>30000000</v>
      </c>
      <c r="AS23" s="121">
        <v>2.8299999999999999E-2</v>
      </c>
      <c r="AT23" s="87">
        <f t="shared" si="15"/>
        <v>2358.3333333333335</v>
      </c>
      <c r="AU23" s="120">
        <f t="shared" si="2"/>
        <v>375000000</v>
      </c>
      <c r="AV23" s="121">
        <v>2.8500000000000001E-2</v>
      </c>
      <c r="AW23" s="87">
        <f t="shared" si="16"/>
        <v>29687.5</v>
      </c>
      <c r="AX23" s="120"/>
      <c r="AY23" s="121"/>
      <c r="AZ23" s="87">
        <f t="shared" si="17"/>
        <v>0</v>
      </c>
      <c r="BC23" s="87">
        <f t="shared" si="18"/>
        <v>0</v>
      </c>
      <c r="BF23" s="87">
        <f t="shared" si="19"/>
        <v>0</v>
      </c>
      <c r="BI23" s="87">
        <f t="shared" si="20"/>
        <v>0</v>
      </c>
      <c r="BL23" s="87">
        <f t="shared" si="21"/>
        <v>0</v>
      </c>
      <c r="BO23" s="87">
        <f t="shared" si="22"/>
        <v>0</v>
      </c>
      <c r="BR23" s="87">
        <f t="shared" si="23"/>
        <v>0</v>
      </c>
      <c r="BU23" s="87">
        <f t="shared" si="24"/>
        <v>0</v>
      </c>
      <c r="BX23" s="87">
        <f t="shared" si="25"/>
        <v>0</v>
      </c>
      <c r="CA23" s="87">
        <f t="shared" si="26"/>
        <v>0</v>
      </c>
      <c r="CD23" s="87">
        <f t="shared" si="27"/>
        <v>0</v>
      </c>
      <c r="CG23" s="87">
        <f t="shared" si="28"/>
        <v>0</v>
      </c>
      <c r="CJ23" s="87">
        <f t="shared" si="29"/>
        <v>0</v>
      </c>
      <c r="CM23" s="87">
        <f t="shared" si="30"/>
        <v>0</v>
      </c>
      <c r="CP23" s="87">
        <f t="shared" si="31"/>
        <v>0</v>
      </c>
      <c r="CS23" s="87">
        <f t="shared" si="32"/>
        <v>0</v>
      </c>
      <c r="CV23" s="87">
        <f t="shared" si="33"/>
        <v>0</v>
      </c>
      <c r="CY23" s="87">
        <f t="shared" si="34"/>
        <v>0</v>
      </c>
      <c r="DB23" s="87">
        <f t="shared" si="35"/>
        <v>0</v>
      </c>
      <c r="DE23" s="87">
        <f t="shared" si="36"/>
        <v>0</v>
      </c>
      <c r="DH23" s="87">
        <f t="shared" si="37"/>
        <v>0</v>
      </c>
      <c r="DK23" s="87">
        <f t="shared" si="38"/>
        <v>0</v>
      </c>
      <c r="DN23" s="87">
        <f t="shared" si="39"/>
        <v>0</v>
      </c>
      <c r="DQ23" s="87">
        <f t="shared" si="40"/>
        <v>0</v>
      </c>
      <c r="DT23" s="87">
        <f t="shared" si="41"/>
        <v>0</v>
      </c>
      <c r="DW23" s="87">
        <f t="shared" si="42"/>
        <v>0</v>
      </c>
      <c r="DZ23" s="87"/>
      <c r="EA23" s="87"/>
      <c r="EB23" s="122">
        <f t="shared" si="43"/>
        <v>498675000</v>
      </c>
      <c r="EC23" s="122">
        <f t="shared" si="44"/>
        <v>0</v>
      </c>
      <c r="ED23" s="87">
        <f t="shared" si="45"/>
        <v>39585.347222222219</v>
      </c>
      <c r="EE23" s="88">
        <f t="shared" si="46"/>
        <v>2.8577179525743217E-2</v>
      </c>
      <c r="EG23" s="122">
        <f t="shared" si="47"/>
        <v>0</v>
      </c>
      <c r="EH23" s="87">
        <f t="shared" si="48"/>
        <v>0</v>
      </c>
      <c r="EI23" s="88">
        <f t="shared" si="49"/>
        <v>0</v>
      </c>
      <c r="EJ23" s="88"/>
      <c r="EK23" s="122">
        <f t="shared" si="50"/>
        <v>498675000</v>
      </c>
      <c r="EL23" s="122">
        <f t="shared" si="51"/>
        <v>0</v>
      </c>
      <c r="EM23" s="122">
        <f t="shared" si="52"/>
        <v>39585.347222222219</v>
      </c>
      <c r="EN23" s="88">
        <f t="shared" si="53"/>
        <v>2.8577179525743217E-2</v>
      </c>
      <c r="EP23" s="87"/>
    </row>
    <row r="24" spans="1:146" x14ac:dyDescent="0.25">
      <c r="A24" s="35">
        <f t="shared" si="54"/>
        <v>43510</v>
      </c>
      <c r="D24" s="87">
        <f t="shared" si="3"/>
        <v>0</v>
      </c>
      <c r="G24" s="87">
        <f t="shared" si="4"/>
        <v>0</v>
      </c>
      <c r="J24" s="87">
        <f t="shared" si="5"/>
        <v>0</v>
      </c>
      <c r="M24" s="87">
        <f t="shared" si="6"/>
        <v>0</v>
      </c>
      <c r="P24" s="87">
        <f t="shared" si="7"/>
        <v>0</v>
      </c>
      <c r="S24" s="87">
        <f t="shared" si="8"/>
        <v>0</v>
      </c>
      <c r="V24" s="87">
        <f t="shared" si="9"/>
        <v>0</v>
      </c>
      <c r="Y24" s="87">
        <f t="shared" si="10"/>
        <v>0</v>
      </c>
      <c r="AB24" s="87">
        <f t="shared" si="11"/>
        <v>0</v>
      </c>
      <c r="AE24" s="87">
        <v>0</v>
      </c>
      <c r="AH24" s="87">
        <v>0</v>
      </c>
      <c r="AI24" s="120">
        <f>30300000</f>
        <v>30300000</v>
      </c>
      <c r="AJ24" s="121">
        <v>2.7E-2</v>
      </c>
      <c r="AK24" s="87">
        <f t="shared" si="12"/>
        <v>2272.5</v>
      </c>
      <c r="AL24" s="120">
        <f t="shared" si="0"/>
        <v>30000000</v>
      </c>
      <c r="AM24" s="121">
        <v>2.9000000000000001E-2</v>
      </c>
      <c r="AN24" s="87">
        <f t="shared" si="13"/>
        <v>2416.6666666666665</v>
      </c>
      <c r="AO24" s="120"/>
      <c r="AP24" s="121"/>
      <c r="AQ24" s="87">
        <f t="shared" si="14"/>
        <v>0</v>
      </c>
      <c r="AR24" s="120">
        <f t="shared" si="55"/>
        <v>30000000</v>
      </c>
      <c r="AS24" s="121">
        <v>2.8299999999999999E-2</v>
      </c>
      <c r="AT24" s="87">
        <f t="shared" si="15"/>
        <v>2358.3333333333335</v>
      </c>
      <c r="AU24" s="120">
        <f t="shared" si="2"/>
        <v>375000000</v>
      </c>
      <c r="AV24" s="121">
        <v>2.8500000000000001E-2</v>
      </c>
      <c r="AW24" s="87">
        <f t="shared" si="16"/>
        <v>29687.5</v>
      </c>
      <c r="AX24" s="120">
        <f t="shared" ref="AX24:AX38" si="56">35000000</f>
        <v>35000000</v>
      </c>
      <c r="AY24" s="121">
        <v>2.8000000000000001E-2</v>
      </c>
      <c r="AZ24" s="87">
        <f t="shared" si="17"/>
        <v>2722.2222222222222</v>
      </c>
      <c r="BC24" s="87">
        <f t="shared" si="18"/>
        <v>0</v>
      </c>
      <c r="BF24" s="87">
        <f t="shared" si="19"/>
        <v>0</v>
      </c>
      <c r="BI24" s="87">
        <f t="shared" si="20"/>
        <v>0</v>
      </c>
      <c r="BL24" s="87">
        <f t="shared" si="21"/>
        <v>0</v>
      </c>
      <c r="BO24" s="87">
        <f t="shared" si="22"/>
        <v>0</v>
      </c>
      <c r="BR24" s="87">
        <f t="shared" si="23"/>
        <v>0</v>
      </c>
      <c r="BU24" s="87">
        <f t="shared" si="24"/>
        <v>0</v>
      </c>
      <c r="BX24" s="87">
        <f t="shared" si="25"/>
        <v>0</v>
      </c>
      <c r="CA24" s="87">
        <f t="shared" si="26"/>
        <v>0</v>
      </c>
      <c r="CD24" s="87">
        <f t="shared" si="27"/>
        <v>0</v>
      </c>
      <c r="CG24" s="87">
        <f t="shared" si="28"/>
        <v>0</v>
      </c>
      <c r="CJ24" s="87">
        <f t="shared" si="29"/>
        <v>0</v>
      </c>
      <c r="CM24" s="87">
        <f t="shared" si="30"/>
        <v>0</v>
      </c>
      <c r="CP24" s="87">
        <f t="shared" si="31"/>
        <v>0</v>
      </c>
      <c r="CS24" s="87">
        <f t="shared" si="32"/>
        <v>0</v>
      </c>
      <c r="CV24" s="87">
        <f t="shared" si="33"/>
        <v>0</v>
      </c>
      <c r="CY24" s="87">
        <f t="shared" si="34"/>
        <v>0</v>
      </c>
      <c r="DB24" s="87">
        <f t="shared" si="35"/>
        <v>0</v>
      </c>
      <c r="DE24" s="87">
        <f t="shared" si="36"/>
        <v>0</v>
      </c>
      <c r="DH24" s="87">
        <f t="shared" si="37"/>
        <v>0</v>
      </c>
      <c r="DK24" s="87">
        <f t="shared" si="38"/>
        <v>0</v>
      </c>
      <c r="DN24" s="87">
        <f t="shared" si="39"/>
        <v>0</v>
      </c>
      <c r="DQ24" s="87">
        <f t="shared" si="40"/>
        <v>0</v>
      </c>
      <c r="DT24" s="87">
        <f t="shared" si="41"/>
        <v>0</v>
      </c>
      <c r="DW24" s="87">
        <f t="shared" si="42"/>
        <v>0</v>
      </c>
      <c r="DZ24" s="87"/>
      <c r="EA24" s="87"/>
      <c r="EB24" s="122">
        <f t="shared" si="43"/>
        <v>500300000</v>
      </c>
      <c r="EC24" s="122">
        <f t="shared" si="44"/>
        <v>0</v>
      </c>
      <c r="ED24" s="87">
        <f t="shared" si="45"/>
        <v>39457.222222222219</v>
      </c>
      <c r="EE24" s="88">
        <f t="shared" si="46"/>
        <v>2.8392164701179293E-2</v>
      </c>
      <c r="EG24" s="122">
        <f t="shared" si="47"/>
        <v>0</v>
      </c>
      <c r="EH24" s="87">
        <f t="shared" si="48"/>
        <v>0</v>
      </c>
      <c r="EI24" s="88">
        <f t="shared" si="49"/>
        <v>0</v>
      </c>
      <c r="EJ24" s="88"/>
      <c r="EK24" s="122">
        <f t="shared" si="50"/>
        <v>500300000</v>
      </c>
      <c r="EL24" s="122">
        <f t="shared" si="51"/>
        <v>0</v>
      </c>
      <c r="EM24" s="122">
        <f t="shared" si="52"/>
        <v>39457.222222222219</v>
      </c>
      <c r="EN24" s="88">
        <f t="shared" si="53"/>
        <v>2.8392164701179293E-2</v>
      </c>
      <c r="EP24" s="87"/>
    </row>
    <row r="25" spans="1:146" x14ac:dyDescent="0.25">
      <c r="A25" s="35">
        <f t="shared" si="54"/>
        <v>43511</v>
      </c>
      <c r="D25" s="87">
        <f t="shared" si="3"/>
        <v>0</v>
      </c>
      <c r="G25" s="87">
        <f t="shared" si="4"/>
        <v>0</v>
      </c>
      <c r="J25" s="87">
        <f t="shared" si="5"/>
        <v>0</v>
      </c>
      <c r="M25" s="87">
        <f t="shared" si="6"/>
        <v>0</v>
      </c>
      <c r="P25" s="87">
        <f t="shared" si="7"/>
        <v>0</v>
      </c>
      <c r="S25" s="87">
        <f t="shared" si="8"/>
        <v>0</v>
      </c>
      <c r="V25" s="87">
        <f t="shared" si="9"/>
        <v>0</v>
      </c>
      <c r="Y25" s="87">
        <f t="shared" si="10"/>
        <v>0</v>
      </c>
      <c r="AB25" s="87">
        <f t="shared" si="11"/>
        <v>0</v>
      </c>
      <c r="AE25" s="87">
        <v>0</v>
      </c>
      <c r="AH25" s="87">
        <v>0</v>
      </c>
      <c r="AI25" s="120">
        <f>75300000</f>
        <v>75300000</v>
      </c>
      <c r="AJ25" s="121">
        <v>2.7E-2</v>
      </c>
      <c r="AK25" s="87">
        <f t="shared" si="12"/>
        <v>5647.5</v>
      </c>
      <c r="AL25" s="120"/>
      <c r="AM25" s="121"/>
      <c r="AN25" s="87">
        <f t="shared" si="13"/>
        <v>0</v>
      </c>
      <c r="AO25" s="120"/>
      <c r="AP25" s="121"/>
      <c r="AQ25" s="87">
        <f t="shared" si="14"/>
        <v>0</v>
      </c>
      <c r="AR25" s="120">
        <f t="shared" si="55"/>
        <v>30000000</v>
      </c>
      <c r="AS25" s="121">
        <v>2.8299999999999999E-2</v>
      </c>
      <c r="AT25" s="87">
        <f t="shared" si="15"/>
        <v>2358.3333333333335</v>
      </c>
      <c r="AU25" s="120">
        <f t="shared" si="2"/>
        <v>375000000</v>
      </c>
      <c r="AV25" s="121">
        <v>2.8500000000000001E-2</v>
      </c>
      <c r="AW25" s="87">
        <f t="shared" si="16"/>
        <v>29687.5</v>
      </c>
      <c r="AX25" s="120">
        <f t="shared" si="56"/>
        <v>35000000</v>
      </c>
      <c r="AY25" s="121">
        <v>2.8000000000000001E-2</v>
      </c>
      <c r="AZ25" s="87">
        <f t="shared" si="17"/>
        <v>2722.2222222222222</v>
      </c>
      <c r="BC25" s="87">
        <f t="shared" si="18"/>
        <v>0</v>
      </c>
      <c r="BF25" s="87">
        <f t="shared" si="19"/>
        <v>0</v>
      </c>
      <c r="BI25" s="87">
        <f t="shared" si="20"/>
        <v>0</v>
      </c>
      <c r="BL25" s="87">
        <f t="shared" si="21"/>
        <v>0</v>
      </c>
      <c r="BO25" s="87">
        <f t="shared" si="22"/>
        <v>0</v>
      </c>
      <c r="BR25" s="87">
        <f t="shared" si="23"/>
        <v>0</v>
      </c>
      <c r="BU25" s="87">
        <f t="shared" si="24"/>
        <v>0</v>
      </c>
      <c r="BX25" s="87">
        <f t="shared" si="25"/>
        <v>0</v>
      </c>
      <c r="CA25" s="87">
        <f t="shared" si="26"/>
        <v>0</v>
      </c>
      <c r="CD25" s="87">
        <f t="shared" si="27"/>
        <v>0</v>
      </c>
      <c r="CG25" s="87">
        <f t="shared" si="28"/>
        <v>0</v>
      </c>
      <c r="CJ25" s="87">
        <f t="shared" si="29"/>
        <v>0</v>
      </c>
      <c r="CM25" s="87">
        <f t="shared" si="30"/>
        <v>0</v>
      </c>
      <c r="CP25" s="87">
        <f t="shared" si="31"/>
        <v>0</v>
      </c>
      <c r="CS25" s="87">
        <f t="shared" si="32"/>
        <v>0</v>
      </c>
      <c r="CV25" s="87">
        <f t="shared" si="33"/>
        <v>0</v>
      </c>
      <c r="CY25" s="87">
        <f t="shared" si="34"/>
        <v>0</v>
      </c>
      <c r="DB25" s="87">
        <f t="shared" si="35"/>
        <v>0</v>
      </c>
      <c r="DE25" s="87">
        <f t="shared" si="36"/>
        <v>0</v>
      </c>
      <c r="DH25" s="87">
        <f t="shared" si="37"/>
        <v>0</v>
      </c>
      <c r="DK25" s="87">
        <f t="shared" si="38"/>
        <v>0</v>
      </c>
      <c r="DN25" s="87">
        <f t="shared" si="39"/>
        <v>0</v>
      </c>
      <c r="DQ25" s="87">
        <f t="shared" si="40"/>
        <v>0</v>
      </c>
      <c r="DT25" s="87">
        <f t="shared" si="41"/>
        <v>0</v>
      </c>
      <c r="DW25" s="87">
        <f t="shared" si="42"/>
        <v>0</v>
      </c>
      <c r="DZ25" s="87"/>
      <c r="EA25" s="87"/>
      <c r="EB25" s="122">
        <f t="shared" si="43"/>
        <v>515300000</v>
      </c>
      <c r="EC25" s="122">
        <f t="shared" si="44"/>
        <v>0</v>
      </c>
      <c r="ED25" s="87">
        <f t="shared" si="45"/>
        <v>40415.555555555555</v>
      </c>
      <c r="EE25" s="88">
        <f t="shared" si="46"/>
        <v>2.8235202794488649E-2</v>
      </c>
      <c r="EG25" s="122">
        <f t="shared" si="47"/>
        <v>0</v>
      </c>
      <c r="EH25" s="87">
        <f t="shared" si="48"/>
        <v>0</v>
      </c>
      <c r="EI25" s="88">
        <f t="shared" si="49"/>
        <v>0</v>
      </c>
      <c r="EJ25" s="88"/>
      <c r="EK25" s="122">
        <f t="shared" si="50"/>
        <v>515300000</v>
      </c>
      <c r="EL25" s="122">
        <f t="shared" si="51"/>
        <v>0</v>
      </c>
      <c r="EM25" s="122">
        <f t="shared" si="52"/>
        <v>40415.555555555555</v>
      </c>
      <c r="EN25" s="88">
        <f t="shared" si="53"/>
        <v>2.8235202794488649E-2</v>
      </c>
      <c r="EP25" s="87"/>
    </row>
    <row r="26" spans="1:146" x14ac:dyDescent="0.25">
      <c r="A26" s="35">
        <f t="shared" si="54"/>
        <v>43512</v>
      </c>
      <c r="D26" s="87">
        <f t="shared" si="3"/>
        <v>0</v>
      </c>
      <c r="G26" s="87">
        <f t="shared" si="4"/>
        <v>0</v>
      </c>
      <c r="J26" s="87">
        <f t="shared" si="5"/>
        <v>0</v>
      </c>
      <c r="M26" s="87">
        <f t="shared" si="6"/>
        <v>0</v>
      </c>
      <c r="P26" s="87">
        <f t="shared" si="7"/>
        <v>0</v>
      </c>
      <c r="S26" s="87">
        <f t="shared" si="8"/>
        <v>0</v>
      </c>
      <c r="V26" s="87">
        <f t="shared" si="9"/>
        <v>0</v>
      </c>
      <c r="Y26" s="87">
        <f t="shared" si="10"/>
        <v>0</v>
      </c>
      <c r="AB26" s="87">
        <f t="shared" si="11"/>
        <v>0</v>
      </c>
      <c r="AE26" s="87">
        <v>0</v>
      </c>
      <c r="AH26" s="87">
        <v>0</v>
      </c>
      <c r="AI26" s="120">
        <f>75300000</f>
        <v>75300000</v>
      </c>
      <c r="AJ26" s="121">
        <v>2.7E-2</v>
      </c>
      <c r="AK26" s="87">
        <f t="shared" si="12"/>
        <v>5647.5</v>
      </c>
      <c r="AL26" s="120"/>
      <c r="AM26" s="121"/>
      <c r="AN26" s="87">
        <f t="shared" si="13"/>
        <v>0</v>
      </c>
      <c r="AO26" s="120"/>
      <c r="AP26" s="121"/>
      <c r="AQ26" s="87">
        <f t="shared" si="14"/>
        <v>0</v>
      </c>
      <c r="AR26" s="120">
        <f t="shared" si="55"/>
        <v>30000000</v>
      </c>
      <c r="AS26" s="121">
        <v>2.8299999999999999E-2</v>
      </c>
      <c r="AT26" s="87">
        <f t="shared" si="15"/>
        <v>2358.3333333333335</v>
      </c>
      <c r="AU26" s="120">
        <f t="shared" si="2"/>
        <v>375000000</v>
      </c>
      <c r="AV26" s="121">
        <v>2.8500000000000001E-2</v>
      </c>
      <c r="AW26" s="87">
        <f t="shared" si="16"/>
        <v>29687.5</v>
      </c>
      <c r="AX26" s="120">
        <f t="shared" si="56"/>
        <v>35000000</v>
      </c>
      <c r="AY26" s="121">
        <v>2.8000000000000001E-2</v>
      </c>
      <c r="AZ26" s="87">
        <f t="shared" si="17"/>
        <v>2722.2222222222222</v>
      </c>
      <c r="BC26" s="87">
        <f t="shared" si="18"/>
        <v>0</v>
      </c>
      <c r="BF26" s="87">
        <f t="shared" si="19"/>
        <v>0</v>
      </c>
      <c r="BI26" s="87">
        <f t="shared" si="20"/>
        <v>0</v>
      </c>
      <c r="BL26" s="87">
        <f t="shared" si="21"/>
        <v>0</v>
      </c>
      <c r="BO26" s="87">
        <f t="shared" si="22"/>
        <v>0</v>
      </c>
      <c r="BR26" s="87">
        <f t="shared" si="23"/>
        <v>0</v>
      </c>
      <c r="BU26" s="87">
        <f t="shared" si="24"/>
        <v>0</v>
      </c>
      <c r="BX26" s="87">
        <f t="shared" si="25"/>
        <v>0</v>
      </c>
      <c r="CA26" s="87">
        <f t="shared" si="26"/>
        <v>0</v>
      </c>
      <c r="CD26" s="87">
        <f t="shared" si="27"/>
        <v>0</v>
      </c>
      <c r="CG26" s="87">
        <f t="shared" si="28"/>
        <v>0</v>
      </c>
      <c r="CJ26" s="87">
        <f t="shared" si="29"/>
        <v>0</v>
      </c>
      <c r="CM26" s="87">
        <f t="shared" si="30"/>
        <v>0</v>
      </c>
      <c r="CP26" s="87">
        <f t="shared" si="31"/>
        <v>0</v>
      </c>
      <c r="CS26" s="87">
        <f t="shared" si="32"/>
        <v>0</v>
      </c>
      <c r="CV26" s="87">
        <f t="shared" si="33"/>
        <v>0</v>
      </c>
      <c r="CY26" s="87">
        <f t="shared" si="34"/>
        <v>0</v>
      </c>
      <c r="DB26" s="87">
        <f t="shared" si="35"/>
        <v>0</v>
      </c>
      <c r="DE26" s="87">
        <f t="shared" si="36"/>
        <v>0</v>
      </c>
      <c r="DH26" s="87">
        <f t="shared" si="37"/>
        <v>0</v>
      </c>
      <c r="DK26" s="87">
        <f t="shared" si="38"/>
        <v>0</v>
      </c>
      <c r="DN26" s="87">
        <f t="shared" si="39"/>
        <v>0</v>
      </c>
      <c r="DQ26" s="87">
        <f t="shared" si="40"/>
        <v>0</v>
      </c>
      <c r="DT26" s="87">
        <f t="shared" si="41"/>
        <v>0</v>
      </c>
      <c r="DW26" s="87">
        <f t="shared" si="42"/>
        <v>0</v>
      </c>
      <c r="DZ26" s="87"/>
      <c r="EA26" s="87"/>
      <c r="EB26" s="122">
        <f t="shared" si="43"/>
        <v>515300000</v>
      </c>
      <c r="EC26" s="122">
        <f t="shared" si="44"/>
        <v>0</v>
      </c>
      <c r="ED26" s="87">
        <f t="shared" si="45"/>
        <v>40415.555555555555</v>
      </c>
      <c r="EE26" s="88">
        <f t="shared" si="46"/>
        <v>2.8235202794488649E-2</v>
      </c>
      <c r="EG26" s="122">
        <f t="shared" si="47"/>
        <v>0</v>
      </c>
      <c r="EH26" s="87">
        <f t="shared" si="48"/>
        <v>0</v>
      </c>
      <c r="EI26" s="88">
        <f t="shared" si="49"/>
        <v>0</v>
      </c>
      <c r="EJ26" s="88"/>
      <c r="EK26" s="122">
        <f t="shared" si="50"/>
        <v>515300000</v>
      </c>
      <c r="EL26" s="122">
        <f t="shared" si="51"/>
        <v>0</v>
      </c>
      <c r="EM26" s="122">
        <f t="shared" si="52"/>
        <v>40415.555555555555</v>
      </c>
      <c r="EN26" s="88">
        <f t="shared" si="53"/>
        <v>2.8235202794488649E-2</v>
      </c>
      <c r="EP26" s="87"/>
    </row>
    <row r="27" spans="1:146" x14ac:dyDescent="0.25">
      <c r="A27" s="35">
        <f t="shared" si="54"/>
        <v>43513</v>
      </c>
      <c r="D27" s="87">
        <f t="shared" si="3"/>
        <v>0</v>
      </c>
      <c r="G27" s="87">
        <f t="shared" si="4"/>
        <v>0</v>
      </c>
      <c r="J27" s="87">
        <f t="shared" si="5"/>
        <v>0</v>
      </c>
      <c r="M27" s="87">
        <f t="shared" si="6"/>
        <v>0</v>
      </c>
      <c r="P27" s="87">
        <f t="shared" si="7"/>
        <v>0</v>
      </c>
      <c r="S27" s="87">
        <f t="shared" si="8"/>
        <v>0</v>
      </c>
      <c r="V27" s="87">
        <f t="shared" si="9"/>
        <v>0</v>
      </c>
      <c r="Y27" s="87">
        <f t="shared" si="10"/>
        <v>0</v>
      </c>
      <c r="AB27" s="87">
        <f t="shared" si="11"/>
        <v>0</v>
      </c>
      <c r="AE27" s="87">
        <v>0</v>
      </c>
      <c r="AH27" s="87">
        <v>0</v>
      </c>
      <c r="AI27" s="120">
        <f>75300000</f>
        <v>75300000</v>
      </c>
      <c r="AJ27" s="121">
        <v>2.7E-2</v>
      </c>
      <c r="AK27" s="87">
        <f t="shared" si="12"/>
        <v>5647.5</v>
      </c>
      <c r="AL27" s="120"/>
      <c r="AM27" s="121"/>
      <c r="AN27" s="87">
        <f t="shared" si="13"/>
        <v>0</v>
      </c>
      <c r="AO27" s="120"/>
      <c r="AP27" s="121"/>
      <c r="AQ27" s="87">
        <f t="shared" si="14"/>
        <v>0</v>
      </c>
      <c r="AR27" s="120">
        <f t="shared" si="55"/>
        <v>30000000</v>
      </c>
      <c r="AS27" s="121">
        <v>2.8299999999999999E-2</v>
      </c>
      <c r="AT27" s="87">
        <f t="shared" si="15"/>
        <v>2358.3333333333335</v>
      </c>
      <c r="AU27" s="120">
        <f t="shared" si="2"/>
        <v>375000000</v>
      </c>
      <c r="AV27" s="121">
        <v>2.8500000000000001E-2</v>
      </c>
      <c r="AW27" s="87">
        <f t="shared" si="16"/>
        <v>29687.5</v>
      </c>
      <c r="AX27" s="120">
        <f t="shared" si="56"/>
        <v>35000000</v>
      </c>
      <c r="AY27" s="121">
        <v>2.8000000000000001E-2</v>
      </c>
      <c r="AZ27" s="87">
        <f t="shared" si="17"/>
        <v>2722.2222222222222</v>
      </c>
      <c r="BC27" s="87">
        <f t="shared" si="18"/>
        <v>0</v>
      </c>
      <c r="BF27" s="87">
        <f t="shared" si="19"/>
        <v>0</v>
      </c>
      <c r="BI27" s="87">
        <f t="shared" si="20"/>
        <v>0</v>
      </c>
      <c r="BL27" s="87">
        <f t="shared" si="21"/>
        <v>0</v>
      </c>
      <c r="BO27" s="87">
        <f t="shared" si="22"/>
        <v>0</v>
      </c>
      <c r="BR27" s="87">
        <f t="shared" si="23"/>
        <v>0</v>
      </c>
      <c r="BU27" s="87">
        <f t="shared" si="24"/>
        <v>0</v>
      </c>
      <c r="BX27" s="87">
        <f t="shared" si="25"/>
        <v>0</v>
      </c>
      <c r="CA27" s="87">
        <f t="shared" si="26"/>
        <v>0</v>
      </c>
      <c r="CD27" s="87">
        <f t="shared" si="27"/>
        <v>0</v>
      </c>
      <c r="CG27" s="87">
        <f t="shared" si="28"/>
        <v>0</v>
      </c>
      <c r="CJ27" s="87">
        <f t="shared" si="29"/>
        <v>0</v>
      </c>
      <c r="CM27" s="87">
        <f t="shared" si="30"/>
        <v>0</v>
      </c>
      <c r="CP27" s="87">
        <f t="shared" si="31"/>
        <v>0</v>
      </c>
      <c r="CS27" s="87">
        <f t="shared" si="32"/>
        <v>0</v>
      </c>
      <c r="CV27" s="87">
        <f t="shared" si="33"/>
        <v>0</v>
      </c>
      <c r="CY27" s="87">
        <f t="shared" si="34"/>
        <v>0</v>
      </c>
      <c r="DB27" s="87">
        <f t="shared" si="35"/>
        <v>0</v>
      </c>
      <c r="DE27" s="87">
        <f t="shared" si="36"/>
        <v>0</v>
      </c>
      <c r="DH27" s="87">
        <f t="shared" si="37"/>
        <v>0</v>
      </c>
      <c r="DK27" s="87">
        <f t="shared" si="38"/>
        <v>0</v>
      </c>
      <c r="DN27" s="87">
        <f t="shared" si="39"/>
        <v>0</v>
      </c>
      <c r="DQ27" s="87">
        <f t="shared" si="40"/>
        <v>0</v>
      </c>
      <c r="DT27" s="87">
        <f t="shared" si="41"/>
        <v>0</v>
      </c>
      <c r="DW27" s="87">
        <f t="shared" si="42"/>
        <v>0</v>
      </c>
      <c r="DZ27" s="87"/>
      <c r="EA27" s="87"/>
      <c r="EB27" s="122">
        <f t="shared" si="43"/>
        <v>515300000</v>
      </c>
      <c r="EC27" s="122">
        <f t="shared" si="44"/>
        <v>0</v>
      </c>
      <c r="ED27" s="87">
        <f t="shared" si="45"/>
        <v>40415.555555555555</v>
      </c>
      <c r="EE27" s="88">
        <f t="shared" si="46"/>
        <v>2.8235202794488649E-2</v>
      </c>
      <c r="EG27" s="122">
        <f t="shared" si="47"/>
        <v>0</v>
      </c>
      <c r="EH27" s="87">
        <f t="shared" si="48"/>
        <v>0</v>
      </c>
      <c r="EI27" s="88">
        <f t="shared" si="49"/>
        <v>0</v>
      </c>
      <c r="EJ27" s="88"/>
      <c r="EK27" s="122">
        <f t="shared" si="50"/>
        <v>515300000</v>
      </c>
      <c r="EL27" s="122">
        <f t="shared" si="51"/>
        <v>0</v>
      </c>
      <c r="EM27" s="122">
        <f t="shared" si="52"/>
        <v>40415.555555555555</v>
      </c>
      <c r="EN27" s="88">
        <f t="shared" si="53"/>
        <v>2.8235202794488649E-2</v>
      </c>
      <c r="EP27" s="87"/>
    </row>
    <row r="28" spans="1:146" x14ac:dyDescent="0.25">
      <c r="A28" s="35">
        <f t="shared" si="54"/>
        <v>43514</v>
      </c>
      <c r="D28" s="87">
        <f t="shared" si="3"/>
        <v>0</v>
      </c>
      <c r="G28" s="87">
        <f t="shared" si="4"/>
        <v>0</v>
      </c>
      <c r="J28" s="87">
        <f t="shared" si="5"/>
        <v>0</v>
      </c>
      <c r="M28" s="87">
        <f t="shared" si="6"/>
        <v>0</v>
      </c>
      <c r="P28" s="87">
        <f t="shared" si="7"/>
        <v>0</v>
      </c>
      <c r="S28" s="87">
        <f t="shared" si="8"/>
        <v>0</v>
      </c>
      <c r="V28" s="87">
        <f t="shared" si="9"/>
        <v>0</v>
      </c>
      <c r="Y28" s="87">
        <f t="shared" si="10"/>
        <v>0</v>
      </c>
      <c r="AB28" s="87">
        <f t="shared" si="11"/>
        <v>0</v>
      </c>
      <c r="AE28" s="87">
        <v>0</v>
      </c>
      <c r="AH28" s="87">
        <v>0</v>
      </c>
      <c r="AI28" s="120">
        <f>75300000</f>
        <v>75300000</v>
      </c>
      <c r="AJ28" s="121">
        <v>2.7E-2</v>
      </c>
      <c r="AK28" s="87">
        <f t="shared" si="12"/>
        <v>5647.5</v>
      </c>
      <c r="AL28" s="120"/>
      <c r="AM28" s="121"/>
      <c r="AN28" s="87">
        <f t="shared" si="13"/>
        <v>0</v>
      </c>
      <c r="AO28" s="120"/>
      <c r="AP28" s="121"/>
      <c r="AQ28" s="87">
        <f t="shared" si="14"/>
        <v>0</v>
      </c>
      <c r="AR28" s="120">
        <f t="shared" si="55"/>
        <v>30000000</v>
      </c>
      <c r="AS28" s="121">
        <v>2.8299999999999999E-2</v>
      </c>
      <c r="AT28" s="87">
        <f t="shared" si="15"/>
        <v>2358.3333333333335</v>
      </c>
      <c r="AU28" s="120">
        <f t="shared" si="2"/>
        <v>375000000</v>
      </c>
      <c r="AV28" s="121">
        <v>2.8500000000000001E-2</v>
      </c>
      <c r="AW28" s="87">
        <f t="shared" si="16"/>
        <v>29687.5</v>
      </c>
      <c r="AX28" s="120">
        <f t="shared" si="56"/>
        <v>35000000</v>
      </c>
      <c r="AY28" s="121">
        <v>2.8000000000000001E-2</v>
      </c>
      <c r="AZ28" s="87">
        <f t="shared" si="17"/>
        <v>2722.2222222222222</v>
      </c>
      <c r="BC28" s="87">
        <f t="shared" si="18"/>
        <v>0</v>
      </c>
      <c r="BF28" s="87">
        <f t="shared" si="19"/>
        <v>0</v>
      </c>
      <c r="BI28" s="87">
        <f t="shared" si="20"/>
        <v>0</v>
      </c>
      <c r="BL28" s="87">
        <f t="shared" si="21"/>
        <v>0</v>
      </c>
      <c r="BO28" s="87">
        <f t="shared" si="22"/>
        <v>0</v>
      </c>
      <c r="BR28" s="87">
        <f t="shared" si="23"/>
        <v>0</v>
      </c>
      <c r="BU28" s="87">
        <f t="shared" si="24"/>
        <v>0</v>
      </c>
      <c r="BX28" s="87">
        <f t="shared" si="25"/>
        <v>0</v>
      </c>
      <c r="CA28" s="87">
        <f t="shared" si="26"/>
        <v>0</v>
      </c>
      <c r="CD28" s="87">
        <f t="shared" si="27"/>
        <v>0</v>
      </c>
      <c r="CG28" s="87">
        <f t="shared" si="28"/>
        <v>0</v>
      </c>
      <c r="CJ28" s="87">
        <f t="shared" si="29"/>
        <v>0</v>
      </c>
      <c r="CM28" s="87">
        <f t="shared" si="30"/>
        <v>0</v>
      </c>
      <c r="CP28" s="87">
        <f t="shared" si="31"/>
        <v>0</v>
      </c>
      <c r="CS28" s="87">
        <f t="shared" si="32"/>
        <v>0</v>
      </c>
      <c r="CV28" s="87">
        <f t="shared" si="33"/>
        <v>0</v>
      </c>
      <c r="CY28" s="87">
        <f t="shared" si="34"/>
        <v>0</v>
      </c>
      <c r="DB28" s="87">
        <f t="shared" si="35"/>
        <v>0</v>
      </c>
      <c r="DE28" s="87">
        <f t="shared" si="36"/>
        <v>0</v>
      </c>
      <c r="DH28" s="87">
        <f t="shared" si="37"/>
        <v>0</v>
      </c>
      <c r="DK28" s="87">
        <f t="shared" si="38"/>
        <v>0</v>
      </c>
      <c r="DN28" s="87">
        <f t="shared" si="39"/>
        <v>0</v>
      </c>
      <c r="DQ28" s="87">
        <f t="shared" si="40"/>
        <v>0</v>
      </c>
      <c r="DT28" s="87">
        <f t="shared" si="41"/>
        <v>0</v>
      </c>
      <c r="DW28" s="87">
        <f t="shared" si="42"/>
        <v>0</v>
      </c>
      <c r="DZ28" s="87"/>
      <c r="EA28" s="87"/>
      <c r="EB28" s="122">
        <f t="shared" si="43"/>
        <v>515300000</v>
      </c>
      <c r="EC28" s="122">
        <f t="shared" si="44"/>
        <v>0</v>
      </c>
      <c r="ED28" s="87">
        <f t="shared" si="45"/>
        <v>40415.555555555555</v>
      </c>
      <c r="EE28" s="88">
        <f t="shared" si="46"/>
        <v>2.8235202794488649E-2</v>
      </c>
      <c r="EG28" s="122">
        <f t="shared" si="47"/>
        <v>0</v>
      </c>
      <c r="EH28" s="87">
        <f t="shared" si="48"/>
        <v>0</v>
      </c>
      <c r="EI28" s="88">
        <f t="shared" si="49"/>
        <v>0</v>
      </c>
      <c r="EJ28" s="88"/>
      <c r="EK28" s="122">
        <f t="shared" si="50"/>
        <v>515300000</v>
      </c>
      <c r="EL28" s="122">
        <f t="shared" si="51"/>
        <v>0</v>
      </c>
      <c r="EM28" s="122">
        <f t="shared" si="52"/>
        <v>40415.555555555555</v>
      </c>
      <c r="EN28" s="88">
        <f t="shared" si="53"/>
        <v>2.8235202794488649E-2</v>
      </c>
      <c r="EP28" s="87"/>
    </row>
    <row r="29" spans="1:146" x14ac:dyDescent="0.25">
      <c r="A29" s="35">
        <f t="shared" si="54"/>
        <v>43515</v>
      </c>
      <c r="D29" s="87">
        <f t="shared" si="3"/>
        <v>0</v>
      </c>
      <c r="G29" s="87">
        <f t="shared" si="4"/>
        <v>0</v>
      </c>
      <c r="J29" s="87">
        <f t="shared" si="5"/>
        <v>0</v>
      </c>
      <c r="M29" s="87">
        <f t="shared" si="6"/>
        <v>0</v>
      </c>
      <c r="P29" s="87">
        <f t="shared" si="7"/>
        <v>0</v>
      </c>
      <c r="S29" s="87">
        <f t="shared" si="8"/>
        <v>0</v>
      </c>
      <c r="V29" s="87">
        <f t="shared" si="9"/>
        <v>0</v>
      </c>
      <c r="Y29" s="87">
        <f t="shared" si="10"/>
        <v>0</v>
      </c>
      <c r="AB29" s="87">
        <f t="shared" si="11"/>
        <v>0</v>
      </c>
      <c r="AE29" s="87">
        <v>0</v>
      </c>
      <c r="AH29" s="87">
        <v>0</v>
      </c>
      <c r="AI29" s="120">
        <f>62200000</f>
        <v>62200000</v>
      </c>
      <c r="AJ29" s="121">
        <v>2.7E-2</v>
      </c>
      <c r="AK29" s="87">
        <f t="shared" si="12"/>
        <v>4665</v>
      </c>
      <c r="AL29" s="120"/>
      <c r="AM29" s="121"/>
      <c r="AN29" s="87">
        <f t="shared" si="13"/>
        <v>0</v>
      </c>
      <c r="AO29" s="120"/>
      <c r="AP29" s="121"/>
      <c r="AQ29" s="87">
        <f t="shared" si="14"/>
        <v>0</v>
      </c>
      <c r="AR29" s="120">
        <f t="shared" si="55"/>
        <v>30000000</v>
      </c>
      <c r="AS29" s="121">
        <v>2.8299999999999999E-2</v>
      </c>
      <c r="AT29" s="87">
        <f t="shared" si="15"/>
        <v>2358.3333333333335</v>
      </c>
      <c r="AU29" s="120">
        <f t="shared" si="2"/>
        <v>375000000</v>
      </c>
      <c r="AV29" s="121">
        <v>2.8500000000000001E-2</v>
      </c>
      <c r="AW29" s="87">
        <f t="shared" si="16"/>
        <v>29687.5</v>
      </c>
      <c r="AX29" s="120">
        <f t="shared" si="56"/>
        <v>35000000</v>
      </c>
      <c r="AY29" s="121">
        <v>2.8000000000000001E-2</v>
      </c>
      <c r="AZ29" s="87">
        <f t="shared" si="17"/>
        <v>2722.2222222222222</v>
      </c>
      <c r="BC29" s="87">
        <f t="shared" si="18"/>
        <v>0</v>
      </c>
      <c r="BF29" s="87">
        <f t="shared" si="19"/>
        <v>0</v>
      </c>
      <c r="BI29" s="87">
        <f t="shared" si="20"/>
        <v>0</v>
      </c>
      <c r="BL29" s="87">
        <f t="shared" si="21"/>
        <v>0</v>
      </c>
      <c r="BO29" s="87">
        <f t="shared" si="22"/>
        <v>0</v>
      </c>
      <c r="BR29" s="87">
        <f t="shared" si="23"/>
        <v>0</v>
      </c>
      <c r="BU29" s="87">
        <f t="shared" si="24"/>
        <v>0</v>
      </c>
      <c r="BX29" s="87">
        <f t="shared" si="25"/>
        <v>0</v>
      </c>
      <c r="CA29" s="87">
        <f t="shared" si="26"/>
        <v>0</v>
      </c>
      <c r="CD29" s="87">
        <f t="shared" si="27"/>
        <v>0</v>
      </c>
      <c r="CG29" s="87">
        <f t="shared" si="28"/>
        <v>0</v>
      </c>
      <c r="CJ29" s="87">
        <f t="shared" si="29"/>
        <v>0</v>
      </c>
      <c r="CM29" s="87">
        <f t="shared" si="30"/>
        <v>0</v>
      </c>
      <c r="CP29" s="87">
        <f t="shared" si="31"/>
        <v>0</v>
      </c>
      <c r="CS29" s="87">
        <f t="shared" si="32"/>
        <v>0</v>
      </c>
      <c r="CV29" s="87">
        <f t="shared" si="33"/>
        <v>0</v>
      </c>
      <c r="CY29" s="87">
        <f t="shared" si="34"/>
        <v>0</v>
      </c>
      <c r="DB29" s="87">
        <f t="shared" si="35"/>
        <v>0</v>
      </c>
      <c r="DE29" s="87">
        <f t="shared" si="36"/>
        <v>0</v>
      </c>
      <c r="DH29" s="87">
        <f t="shared" si="37"/>
        <v>0</v>
      </c>
      <c r="DK29" s="87">
        <f t="shared" si="38"/>
        <v>0</v>
      </c>
      <c r="DN29" s="87">
        <f t="shared" si="39"/>
        <v>0</v>
      </c>
      <c r="DQ29" s="87">
        <f t="shared" si="40"/>
        <v>0</v>
      </c>
      <c r="DT29" s="87">
        <f t="shared" si="41"/>
        <v>0</v>
      </c>
      <c r="DW29" s="87">
        <f t="shared" si="42"/>
        <v>0</v>
      </c>
      <c r="DZ29" s="87"/>
      <c r="EA29" s="87"/>
      <c r="EB29" s="122">
        <f t="shared" si="43"/>
        <v>502200000</v>
      </c>
      <c r="EC29" s="122">
        <f t="shared" si="44"/>
        <v>0</v>
      </c>
      <c r="ED29" s="87">
        <f t="shared" si="45"/>
        <v>39433.055555555555</v>
      </c>
      <c r="EE29" s="88">
        <f t="shared" si="46"/>
        <v>2.8267423337315811E-2</v>
      </c>
      <c r="EG29" s="122">
        <f t="shared" si="47"/>
        <v>0</v>
      </c>
      <c r="EH29" s="87">
        <f t="shared" si="48"/>
        <v>0</v>
      </c>
      <c r="EI29" s="88">
        <f t="shared" si="49"/>
        <v>0</v>
      </c>
      <c r="EJ29" s="88"/>
      <c r="EK29" s="122">
        <f t="shared" si="50"/>
        <v>502200000</v>
      </c>
      <c r="EL29" s="122">
        <f t="shared" si="51"/>
        <v>0</v>
      </c>
      <c r="EM29" s="122">
        <f t="shared" si="52"/>
        <v>39433.055555555555</v>
      </c>
      <c r="EN29" s="88">
        <f t="shared" si="53"/>
        <v>2.8267423337315811E-2</v>
      </c>
      <c r="EP29" s="87"/>
    </row>
    <row r="30" spans="1:146" x14ac:dyDescent="0.25">
      <c r="A30" s="35">
        <f t="shared" si="54"/>
        <v>43516</v>
      </c>
      <c r="D30" s="87">
        <f t="shared" si="3"/>
        <v>0</v>
      </c>
      <c r="G30" s="87">
        <f t="shared" si="4"/>
        <v>0</v>
      </c>
      <c r="J30" s="87">
        <f t="shared" si="5"/>
        <v>0</v>
      </c>
      <c r="M30" s="87">
        <f t="shared" si="6"/>
        <v>0</v>
      </c>
      <c r="P30" s="87">
        <f t="shared" si="7"/>
        <v>0</v>
      </c>
      <c r="S30" s="87">
        <f t="shared" si="8"/>
        <v>0</v>
      </c>
      <c r="V30" s="87">
        <f t="shared" si="9"/>
        <v>0</v>
      </c>
      <c r="Y30" s="87">
        <f t="shared" si="10"/>
        <v>0</v>
      </c>
      <c r="AB30" s="87">
        <f t="shared" si="11"/>
        <v>0</v>
      </c>
      <c r="AE30" s="87">
        <v>0</v>
      </c>
      <c r="AH30" s="87">
        <v>0</v>
      </c>
      <c r="AI30" s="120">
        <f>63075000</f>
        <v>63075000</v>
      </c>
      <c r="AJ30" s="121">
        <v>2.7E-2</v>
      </c>
      <c r="AK30" s="87">
        <f t="shared" si="12"/>
        <v>4730.625</v>
      </c>
      <c r="AL30" s="120"/>
      <c r="AM30" s="121"/>
      <c r="AN30" s="87">
        <f t="shared" si="13"/>
        <v>0</v>
      </c>
      <c r="AO30" s="120"/>
      <c r="AP30" s="121"/>
      <c r="AQ30" s="87">
        <f t="shared" si="14"/>
        <v>0</v>
      </c>
      <c r="AR30" s="120">
        <f t="shared" si="55"/>
        <v>30000000</v>
      </c>
      <c r="AS30" s="121">
        <v>2.8299999999999999E-2</v>
      </c>
      <c r="AT30" s="87">
        <f t="shared" si="15"/>
        <v>2358.3333333333335</v>
      </c>
      <c r="AU30" s="120">
        <f t="shared" si="2"/>
        <v>375000000</v>
      </c>
      <c r="AV30" s="121">
        <v>2.8500000000000001E-2</v>
      </c>
      <c r="AW30" s="87">
        <f t="shared" si="16"/>
        <v>29687.5</v>
      </c>
      <c r="AX30" s="120">
        <f t="shared" si="56"/>
        <v>35000000</v>
      </c>
      <c r="AY30" s="121">
        <v>2.8000000000000001E-2</v>
      </c>
      <c r="AZ30" s="87">
        <f t="shared" si="17"/>
        <v>2722.2222222222222</v>
      </c>
      <c r="BC30" s="87">
        <f t="shared" si="18"/>
        <v>0</v>
      </c>
      <c r="BF30" s="87">
        <f t="shared" si="19"/>
        <v>0</v>
      </c>
      <c r="BI30" s="87">
        <f t="shared" si="20"/>
        <v>0</v>
      </c>
      <c r="BL30" s="87">
        <f t="shared" si="21"/>
        <v>0</v>
      </c>
      <c r="BO30" s="87">
        <f t="shared" si="22"/>
        <v>0</v>
      </c>
      <c r="BR30" s="87">
        <f t="shared" si="23"/>
        <v>0</v>
      </c>
      <c r="BU30" s="87">
        <f t="shared" si="24"/>
        <v>0</v>
      </c>
      <c r="BX30" s="87">
        <f t="shared" si="25"/>
        <v>0</v>
      </c>
      <c r="CA30" s="87">
        <f t="shared" si="26"/>
        <v>0</v>
      </c>
      <c r="CD30" s="87">
        <f t="shared" si="27"/>
        <v>0</v>
      </c>
      <c r="CG30" s="87">
        <f t="shared" si="28"/>
        <v>0</v>
      </c>
      <c r="CJ30" s="87">
        <f t="shared" si="29"/>
        <v>0</v>
      </c>
      <c r="CM30" s="87">
        <f t="shared" si="30"/>
        <v>0</v>
      </c>
      <c r="CP30" s="87">
        <f t="shared" si="31"/>
        <v>0</v>
      </c>
      <c r="CS30" s="87">
        <f t="shared" si="32"/>
        <v>0</v>
      </c>
      <c r="CV30" s="87">
        <f t="shared" si="33"/>
        <v>0</v>
      </c>
      <c r="CY30" s="87">
        <f t="shared" si="34"/>
        <v>0</v>
      </c>
      <c r="DB30" s="87">
        <f t="shared" si="35"/>
        <v>0</v>
      </c>
      <c r="DE30" s="87">
        <f t="shared" si="36"/>
        <v>0</v>
      </c>
      <c r="DH30" s="87">
        <f t="shared" si="37"/>
        <v>0</v>
      </c>
      <c r="DK30" s="87">
        <f t="shared" si="38"/>
        <v>0</v>
      </c>
      <c r="DN30" s="87">
        <f t="shared" si="39"/>
        <v>0</v>
      </c>
      <c r="DQ30" s="87">
        <f t="shared" si="40"/>
        <v>0</v>
      </c>
      <c r="DT30" s="87">
        <f t="shared" si="41"/>
        <v>0</v>
      </c>
      <c r="DW30" s="87">
        <f t="shared" si="42"/>
        <v>0</v>
      </c>
      <c r="DZ30" s="87"/>
      <c r="EA30" s="87"/>
      <c r="EB30" s="122">
        <f t="shared" si="43"/>
        <v>503075000</v>
      </c>
      <c r="EC30" s="122">
        <f t="shared" si="44"/>
        <v>0</v>
      </c>
      <c r="ED30" s="87">
        <f t="shared" si="45"/>
        <v>39498.680555555555</v>
      </c>
      <c r="EE30" s="88">
        <f t="shared" si="46"/>
        <v>2.8265218903741986E-2</v>
      </c>
      <c r="EG30" s="122">
        <f t="shared" si="47"/>
        <v>0</v>
      </c>
      <c r="EH30" s="87">
        <f t="shared" si="48"/>
        <v>0</v>
      </c>
      <c r="EI30" s="88">
        <f t="shared" si="49"/>
        <v>0</v>
      </c>
      <c r="EJ30" s="88"/>
      <c r="EK30" s="122">
        <f t="shared" si="50"/>
        <v>503075000</v>
      </c>
      <c r="EL30" s="122">
        <f t="shared" si="51"/>
        <v>0</v>
      </c>
      <c r="EM30" s="122">
        <f t="shared" si="52"/>
        <v>39498.680555555555</v>
      </c>
      <c r="EN30" s="88">
        <f t="shared" si="53"/>
        <v>2.8265218903741986E-2</v>
      </c>
      <c r="EP30" s="87"/>
    </row>
    <row r="31" spans="1:146" x14ac:dyDescent="0.25">
      <c r="A31" s="35">
        <f t="shared" si="54"/>
        <v>43517</v>
      </c>
      <c r="D31" s="87">
        <f t="shared" si="3"/>
        <v>0</v>
      </c>
      <c r="G31" s="87">
        <f t="shared" si="4"/>
        <v>0</v>
      </c>
      <c r="J31" s="87">
        <f t="shared" si="5"/>
        <v>0</v>
      </c>
      <c r="M31" s="87">
        <f t="shared" si="6"/>
        <v>0</v>
      </c>
      <c r="P31" s="87">
        <f t="shared" si="7"/>
        <v>0</v>
      </c>
      <c r="S31" s="87">
        <f t="shared" si="8"/>
        <v>0</v>
      </c>
      <c r="V31" s="87">
        <f t="shared" si="9"/>
        <v>0</v>
      </c>
      <c r="Y31" s="87">
        <f t="shared" si="10"/>
        <v>0</v>
      </c>
      <c r="AB31" s="87">
        <f t="shared" si="11"/>
        <v>0</v>
      </c>
      <c r="AE31" s="87">
        <v>0</v>
      </c>
      <c r="AH31" s="87">
        <v>0</v>
      </c>
      <c r="AI31" s="120">
        <f>52900000</f>
        <v>52900000</v>
      </c>
      <c r="AJ31" s="121">
        <v>2.7E-2</v>
      </c>
      <c r="AK31" s="87">
        <f t="shared" si="12"/>
        <v>3967.5</v>
      </c>
      <c r="AL31" s="120"/>
      <c r="AM31" s="121"/>
      <c r="AN31" s="87">
        <f t="shared" si="13"/>
        <v>0</v>
      </c>
      <c r="AO31" s="120"/>
      <c r="AP31" s="121"/>
      <c r="AQ31" s="87">
        <f t="shared" si="14"/>
        <v>0</v>
      </c>
      <c r="AR31" s="120">
        <f t="shared" si="55"/>
        <v>30000000</v>
      </c>
      <c r="AS31" s="121">
        <v>2.8299999999999999E-2</v>
      </c>
      <c r="AT31" s="87">
        <f t="shared" si="15"/>
        <v>2358.3333333333335</v>
      </c>
      <c r="AU31" s="120">
        <f t="shared" si="2"/>
        <v>375000000</v>
      </c>
      <c r="AV31" s="121">
        <v>2.8500000000000001E-2</v>
      </c>
      <c r="AW31" s="87">
        <f t="shared" si="16"/>
        <v>29687.5</v>
      </c>
      <c r="AX31" s="120">
        <f t="shared" si="56"/>
        <v>35000000</v>
      </c>
      <c r="AY31" s="121">
        <v>2.8000000000000001E-2</v>
      </c>
      <c r="AZ31" s="87">
        <f t="shared" si="17"/>
        <v>2722.2222222222222</v>
      </c>
      <c r="BC31" s="87">
        <f t="shared" si="18"/>
        <v>0</v>
      </c>
      <c r="BF31" s="87">
        <f t="shared" si="19"/>
        <v>0</v>
      </c>
      <c r="BI31" s="87">
        <f t="shared" si="20"/>
        <v>0</v>
      </c>
      <c r="BL31" s="87">
        <f t="shared" si="21"/>
        <v>0</v>
      </c>
      <c r="BO31" s="87">
        <f t="shared" si="22"/>
        <v>0</v>
      </c>
      <c r="BR31" s="87">
        <f t="shared" si="23"/>
        <v>0</v>
      </c>
      <c r="BU31" s="87">
        <f t="shared" si="24"/>
        <v>0</v>
      </c>
      <c r="BX31" s="87">
        <f t="shared" si="25"/>
        <v>0</v>
      </c>
      <c r="CA31" s="87">
        <f t="shared" si="26"/>
        <v>0</v>
      </c>
      <c r="CD31" s="87">
        <f t="shared" si="27"/>
        <v>0</v>
      </c>
      <c r="CG31" s="87">
        <f t="shared" si="28"/>
        <v>0</v>
      </c>
      <c r="CJ31" s="87">
        <f t="shared" si="29"/>
        <v>0</v>
      </c>
      <c r="CM31" s="87">
        <f t="shared" si="30"/>
        <v>0</v>
      </c>
      <c r="CP31" s="87">
        <f t="shared" si="31"/>
        <v>0</v>
      </c>
      <c r="CS31" s="87">
        <f t="shared" si="32"/>
        <v>0</v>
      </c>
      <c r="CV31" s="87">
        <f t="shared" si="33"/>
        <v>0</v>
      </c>
      <c r="CY31" s="87">
        <f t="shared" si="34"/>
        <v>0</v>
      </c>
      <c r="DB31" s="87">
        <f t="shared" si="35"/>
        <v>0</v>
      </c>
      <c r="DE31" s="87">
        <f t="shared" si="36"/>
        <v>0</v>
      </c>
      <c r="DH31" s="87">
        <f t="shared" si="37"/>
        <v>0</v>
      </c>
      <c r="DK31" s="87">
        <f t="shared" si="38"/>
        <v>0</v>
      </c>
      <c r="DN31" s="87">
        <f t="shared" si="39"/>
        <v>0</v>
      </c>
      <c r="DQ31" s="87">
        <f t="shared" si="40"/>
        <v>0</v>
      </c>
      <c r="DT31" s="87">
        <f t="shared" si="41"/>
        <v>0</v>
      </c>
      <c r="DW31" s="87">
        <f t="shared" si="42"/>
        <v>0</v>
      </c>
      <c r="DZ31" s="87"/>
      <c r="EA31" s="87"/>
      <c r="EB31" s="122">
        <f t="shared" si="43"/>
        <v>492900000</v>
      </c>
      <c r="EC31" s="122">
        <f t="shared" si="44"/>
        <v>0</v>
      </c>
      <c r="ED31" s="87">
        <f t="shared" si="45"/>
        <v>38735.555555555555</v>
      </c>
      <c r="EE31" s="88">
        <f t="shared" si="46"/>
        <v>2.8291336985189694E-2</v>
      </c>
      <c r="EG31" s="122">
        <f t="shared" si="47"/>
        <v>0</v>
      </c>
      <c r="EH31" s="87">
        <f t="shared" si="48"/>
        <v>0</v>
      </c>
      <c r="EI31" s="88">
        <f t="shared" si="49"/>
        <v>0</v>
      </c>
      <c r="EJ31" s="88"/>
      <c r="EK31" s="122">
        <f t="shared" si="50"/>
        <v>492900000</v>
      </c>
      <c r="EL31" s="122">
        <f t="shared" si="51"/>
        <v>0</v>
      </c>
      <c r="EM31" s="122">
        <f t="shared" si="52"/>
        <v>38735.555555555555</v>
      </c>
      <c r="EN31" s="88">
        <f t="shared" si="53"/>
        <v>2.8291336985189694E-2</v>
      </c>
      <c r="EP31" s="87"/>
    </row>
    <row r="32" spans="1:146" x14ac:dyDescent="0.25">
      <c r="A32" s="35">
        <f t="shared" si="54"/>
        <v>43518</v>
      </c>
      <c r="D32" s="87">
        <f t="shared" si="3"/>
        <v>0</v>
      </c>
      <c r="G32" s="87">
        <f t="shared" si="4"/>
        <v>0</v>
      </c>
      <c r="J32" s="87">
        <f t="shared" si="5"/>
        <v>0</v>
      </c>
      <c r="M32" s="87">
        <f t="shared" si="6"/>
        <v>0</v>
      </c>
      <c r="P32" s="87">
        <f t="shared" si="7"/>
        <v>0</v>
      </c>
      <c r="S32" s="87">
        <f t="shared" si="8"/>
        <v>0</v>
      </c>
      <c r="V32" s="87">
        <f t="shared" si="9"/>
        <v>0</v>
      </c>
      <c r="Y32" s="87">
        <f t="shared" si="10"/>
        <v>0</v>
      </c>
      <c r="AB32" s="87">
        <f t="shared" si="11"/>
        <v>0</v>
      </c>
      <c r="AE32" s="87">
        <v>0</v>
      </c>
      <c r="AH32" s="87">
        <v>0</v>
      </c>
      <c r="AI32" s="120">
        <f>49525000</f>
        <v>49525000</v>
      </c>
      <c r="AJ32" s="121">
        <v>2.7E-2</v>
      </c>
      <c r="AK32" s="87">
        <f t="shared" si="12"/>
        <v>3714.375</v>
      </c>
      <c r="AL32" s="120"/>
      <c r="AM32" s="121"/>
      <c r="AN32" s="87">
        <f t="shared" si="13"/>
        <v>0</v>
      </c>
      <c r="AO32" s="120"/>
      <c r="AP32" s="121"/>
      <c r="AQ32" s="87">
        <f t="shared" si="14"/>
        <v>0</v>
      </c>
      <c r="AR32" s="120">
        <f t="shared" si="55"/>
        <v>30000000</v>
      </c>
      <c r="AS32" s="121">
        <v>2.8299999999999999E-2</v>
      </c>
      <c r="AT32" s="87">
        <f t="shared" si="15"/>
        <v>2358.3333333333335</v>
      </c>
      <c r="AU32" s="120">
        <f t="shared" si="2"/>
        <v>375000000</v>
      </c>
      <c r="AV32" s="121">
        <v>2.8500000000000001E-2</v>
      </c>
      <c r="AW32" s="87">
        <f t="shared" si="16"/>
        <v>29687.5</v>
      </c>
      <c r="AX32" s="120">
        <f t="shared" si="56"/>
        <v>35000000</v>
      </c>
      <c r="AY32" s="121">
        <v>2.8000000000000001E-2</v>
      </c>
      <c r="AZ32" s="87">
        <f t="shared" si="17"/>
        <v>2722.2222222222222</v>
      </c>
      <c r="BC32" s="87">
        <f t="shared" si="18"/>
        <v>0</v>
      </c>
      <c r="BF32" s="87">
        <f t="shared" si="19"/>
        <v>0</v>
      </c>
      <c r="BI32" s="87">
        <f t="shared" si="20"/>
        <v>0</v>
      </c>
      <c r="BL32" s="87">
        <f t="shared" si="21"/>
        <v>0</v>
      </c>
      <c r="BO32" s="87">
        <f t="shared" si="22"/>
        <v>0</v>
      </c>
      <c r="BR32" s="87">
        <f t="shared" si="23"/>
        <v>0</v>
      </c>
      <c r="BU32" s="87">
        <f t="shared" si="24"/>
        <v>0</v>
      </c>
      <c r="BX32" s="87">
        <f t="shared" si="25"/>
        <v>0</v>
      </c>
      <c r="CA32" s="87">
        <f t="shared" si="26"/>
        <v>0</v>
      </c>
      <c r="CD32" s="87">
        <f t="shared" si="27"/>
        <v>0</v>
      </c>
      <c r="CG32" s="87">
        <f t="shared" si="28"/>
        <v>0</v>
      </c>
      <c r="CJ32" s="87">
        <f t="shared" si="29"/>
        <v>0</v>
      </c>
      <c r="CM32" s="87">
        <f t="shared" si="30"/>
        <v>0</v>
      </c>
      <c r="CP32" s="87">
        <f t="shared" si="31"/>
        <v>0</v>
      </c>
      <c r="CS32" s="87">
        <f t="shared" si="32"/>
        <v>0</v>
      </c>
      <c r="CV32" s="87">
        <f t="shared" si="33"/>
        <v>0</v>
      </c>
      <c r="CY32" s="87">
        <f t="shared" si="34"/>
        <v>0</v>
      </c>
      <c r="DB32" s="87">
        <f t="shared" si="35"/>
        <v>0</v>
      </c>
      <c r="DE32" s="87">
        <f t="shared" si="36"/>
        <v>0</v>
      </c>
      <c r="DH32" s="87">
        <f t="shared" si="37"/>
        <v>0</v>
      </c>
      <c r="DK32" s="87">
        <f t="shared" si="38"/>
        <v>0</v>
      </c>
      <c r="DN32" s="87">
        <f t="shared" si="39"/>
        <v>0</v>
      </c>
      <c r="DQ32" s="87">
        <f t="shared" si="40"/>
        <v>0</v>
      </c>
      <c r="DT32" s="87">
        <f t="shared" si="41"/>
        <v>0</v>
      </c>
      <c r="DW32" s="87">
        <f t="shared" si="42"/>
        <v>0</v>
      </c>
      <c r="DZ32" s="87"/>
      <c r="EA32" s="87"/>
      <c r="EB32" s="122">
        <f t="shared" si="43"/>
        <v>489525000</v>
      </c>
      <c r="EC32" s="122">
        <f t="shared" si="44"/>
        <v>0</v>
      </c>
      <c r="ED32" s="87">
        <f t="shared" si="45"/>
        <v>38482.430555555555</v>
      </c>
      <c r="EE32" s="88">
        <f t="shared" si="46"/>
        <v>2.8300240028599152E-2</v>
      </c>
      <c r="EG32" s="122">
        <f t="shared" si="47"/>
        <v>0</v>
      </c>
      <c r="EH32" s="87">
        <f t="shared" si="48"/>
        <v>0</v>
      </c>
      <c r="EI32" s="88">
        <f t="shared" si="49"/>
        <v>0</v>
      </c>
      <c r="EJ32" s="88"/>
      <c r="EK32" s="122">
        <f t="shared" si="50"/>
        <v>489525000</v>
      </c>
      <c r="EL32" s="122">
        <f t="shared" si="51"/>
        <v>0</v>
      </c>
      <c r="EM32" s="122">
        <f t="shared" si="52"/>
        <v>38482.430555555555</v>
      </c>
      <c r="EN32" s="88">
        <f t="shared" si="53"/>
        <v>2.8300240028599152E-2</v>
      </c>
      <c r="EP32" s="87"/>
    </row>
    <row r="33" spans="1:146" x14ac:dyDescent="0.25">
      <c r="A33" s="35">
        <f t="shared" si="54"/>
        <v>43519</v>
      </c>
      <c r="D33" s="87">
        <f t="shared" si="3"/>
        <v>0</v>
      </c>
      <c r="G33" s="87">
        <f t="shared" si="4"/>
        <v>0</v>
      </c>
      <c r="J33" s="87">
        <f t="shared" si="5"/>
        <v>0</v>
      </c>
      <c r="M33" s="87">
        <f t="shared" si="6"/>
        <v>0</v>
      </c>
      <c r="P33" s="87">
        <f t="shared" si="7"/>
        <v>0</v>
      </c>
      <c r="S33" s="87">
        <f t="shared" si="8"/>
        <v>0</v>
      </c>
      <c r="V33" s="87">
        <f t="shared" si="9"/>
        <v>0</v>
      </c>
      <c r="Y33" s="87">
        <f t="shared" si="10"/>
        <v>0</v>
      </c>
      <c r="AB33" s="87">
        <f t="shared" si="11"/>
        <v>0</v>
      </c>
      <c r="AE33" s="87">
        <v>0</v>
      </c>
      <c r="AH33" s="87">
        <v>0</v>
      </c>
      <c r="AI33" s="120">
        <f>49525000</f>
        <v>49525000</v>
      </c>
      <c r="AJ33" s="121">
        <v>2.7E-2</v>
      </c>
      <c r="AK33" s="87">
        <f t="shared" si="12"/>
        <v>3714.375</v>
      </c>
      <c r="AL33" s="120"/>
      <c r="AM33" s="121"/>
      <c r="AN33" s="87">
        <f t="shared" si="13"/>
        <v>0</v>
      </c>
      <c r="AO33" s="120"/>
      <c r="AP33" s="121"/>
      <c r="AQ33" s="87">
        <f t="shared" si="14"/>
        <v>0</v>
      </c>
      <c r="AR33" s="120">
        <f t="shared" si="55"/>
        <v>30000000</v>
      </c>
      <c r="AS33" s="121">
        <v>2.8299999999999999E-2</v>
      </c>
      <c r="AT33" s="87">
        <f t="shared" si="15"/>
        <v>2358.3333333333335</v>
      </c>
      <c r="AU33" s="120">
        <f t="shared" si="2"/>
        <v>375000000</v>
      </c>
      <c r="AV33" s="121">
        <v>2.8500000000000001E-2</v>
      </c>
      <c r="AW33" s="87">
        <f t="shared" si="16"/>
        <v>29687.5</v>
      </c>
      <c r="AX33" s="120">
        <f t="shared" si="56"/>
        <v>35000000</v>
      </c>
      <c r="AY33" s="121">
        <v>2.8000000000000001E-2</v>
      </c>
      <c r="AZ33" s="87">
        <f t="shared" si="17"/>
        <v>2722.2222222222222</v>
      </c>
      <c r="BC33" s="87">
        <f t="shared" si="18"/>
        <v>0</v>
      </c>
      <c r="BF33" s="87">
        <f t="shared" si="19"/>
        <v>0</v>
      </c>
      <c r="BI33" s="87">
        <f t="shared" si="20"/>
        <v>0</v>
      </c>
      <c r="BL33" s="87">
        <f t="shared" si="21"/>
        <v>0</v>
      </c>
      <c r="BO33" s="87">
        <f t="shared" si="22"/>
        <v>0</v>
      </c>
      <c r="BR33" s="87">
        <f t="shared" si="23"/>
        <v>0</v>
      </c>
      <c r="BU33" s="87">
        <f t="shared" si="24"/>
        <v>0</v>
      </c>
      <c r="BX33" s="87">
        <f t="shared" si="25"/>
        <v>0</v>
      </c>
      <c r="CA33" s="87">
        <f t="shared" si="26"/>
        <v>0</v>
      </c>
      <c r="CD33" s="87">
        <f t="shared" si="27"/>
        <v>0</v>
      </c>
      <c r="CG33" s="87">
        <f t="shared" si="28"/>
        <v>0</v>
      </c>
      <c r="CJ33" s="87">
        <f t="shared" si="29"/>
        <v>0</v>
      </c>
      <c r="CM33" s="87">
        <f t="shared" si="30"/>
        <v>0</v>
      </c>
      <c r="CP33" s="87">
        <f t="shared" si="31"/>
        <v>0</v>
      </c>
      <c r="CS33" s="87">
        <f t="shared" si="32"/>
        <v>0</v>
      </c>
      <c r="CV33" s="87">
        <f t="shared" si="33"/>
        <v>0</v>
      </c>
      <c r="CY33" s="87">
        <f t="shared" si="34"/>
        <v>0</v>
      </c>
      <c r="DB33" s="87">
        <f t="shared" si="35"/>
        <v>0</v>
      </c>
      <c r="DE33" s="87">
        <f t="shared" si="36"/>
        <v>0</v>
      </c>
      <c r="DH33" s="87">
        <f t="shared" si="37"/>
        <v>0</v>
      </c>
      <c r="DK33" s="87">
        <f t="shared" si="38"/>
        <v>0</v>
      </c>
      <c r="DN33" s="87">
        <f t="shared" si="39"/>
        <v>0</v>
      </c>
      <c r="DQ33" s="87">
        <f t="shared" si="40"/>
        <v>0</v>
      </c>
      <c r="DT33" s="87">
        <f t="shared" si="41"/>
        <v>0</v>
      </c>
      <c r="DW33" s="87">
        <f t="shared" si="42"/>
        <v>0</v>
      </c>
      <c r="DZ33" s="87"/>
      <c r="EA33" s="87"/>
      <c r="EB33" s="122">
        <f t="shared" si="43"/>
        <v>489525000</v>
      </c>
      <c r="EC33" s="122">
        <f t="shared" si="44"/>
        <v>0</v>
      </c>
      <c r="ED33" s="87">
        <f t="shared" si="45"/>
        <v>38482.430555555555</v>
      </c>
      <c r="EE33" s="88">
        <f t="shared" si="46"/>
        <v>2.8300240028599152E-2</v>
      </c>
      <c r="EG33" s="122">
        <f t="shared" si="47"/>
        <v>0</v>
      </c>
      <c r="EH33" s="87">
        <f t="shared" si="48"/>
        <v>0</v>
      </c>
      <c r="EI33" s="88">
        <f t="shared" si="49"/>
        <v>0</v>
      </c>
      <c r="EJ33" s="88"/>
      <c r="EK33" s="122">
        <f t="shared" si="50"/>
        <v>489525000</v>
      </c>
      <c r="EL33" s="122">
        <f t="shared" si="51"/>
        <v>0</v>
      </c>
      <c r="EM33" s="122">
        <f t="shared" si="52"/>
        <v>38482.430555555555</v>
      </c>
      <c r="EN33" s="88">
        <f t="shared" si="53"/>
        <v>2.8300240028599152E-2</v>
      </c>
      <c r="EP33" s="87"/>
    </row>
    <row r="34" spans="1:146" x14ac:dyDescent="0.25">
      <c r="A34" s="35">
        <f t="shared" si="54"/>
        <v>43520</v>
      </c>
      <c r="D34" s="87">
        <f t="shared" si="3"/>
        <v>0</v>
      </c>
      <c r="G34" s="87">
        <f t="shared" si="4"/>
        <v>0</v>
      </c>
      <c r="J34" s="87">
        <f t="shared" si="5"/>
        <v>0</v>
      </c>
      <c r="M34" s="87">
        <f t="shared" si="6"/>
        <v>0</v>
      </c>
      <c r="P34" s="87">
        <f t="shared" si="7"/>
        <v>0</v>
      </c>
      <c r="S34" s="87">
        <f t="shared" si="8"/>
        <v>0</v>
      </c>
      <c r="V34" s="87">
        <f t="shared" si="9"/>
        <v>0</v>
      </c>
      <c r="Y34" s="87">
        <f t="shared" si="10"/>
        <v>0</v>
      </c>
      <c r="AB34" s="87">
        <f t="shared" si="11"/>
        <v>0</v>
      </c>
      <c r="AE34" s="87">
        <v>0</v>
      </c>
      <c r="AH34" s="87">
        <v>0</v>
      </c>
      <c r="AI34" s="120">
        <f>49525000</f>
        <v>49525000</v>
      </c>
      <c r="AJ34" s="121">
        <v>2.7E-2</v>
      </c>
      <c r="AK34" s="87">
        <f t="shared" si="12"/>
        <v>3714.375</v>
      </c>
      <c r="AL34" s="120"/>
      <c r="AM34" s="121"/>
      <c r="AN34" s="87">
        <f t="shared" si="13"/>
        <v>0</v>
      </c>
      <c r="AO34" s="120"/>
      <c r="AP34" s="121"/>
      <c r="AQ34" s="87">
        <f t="shared" si="14"/>
        <v>0</v>
      </c>
      <c r="AR34" s="120">
        <f t="shared" si="55"/>
        <v>30000000</v>
      </c>
      <c r="AS34" s="121">
        <v>2.8299999999999999E-2</v>
      </c>
      <c r="AT34" s="87">
        <f t="shared" si="15"/>
        <v>2358.3333333333335</v>
      </c>
      <c r="AU34" s="120">
        <f t="shared" si="2"/>
        <v>375000000</v>
      </c>
      <c r="AV34" s="121">
        <v>2.8500000000000001E-2</v>
      </c>
      <c r="AW34" s="87">
        <f t="shared" si="16"/>
        <v>29687.5</v>
      </c>
      <c r="AX34" s="120">
        <f t="shared" si="56"/>
        <v>35000000</v>
      </c>
      <c r="AY34" s="121">
        <v>2.8000000000000001E-2</v>
      </c>
      <c r="AZ34" s="87">
        <f t="shared" si="17"/>
        <v>2722.2222222222222</v>
      </c>
      <c r="BC34" s="87">
        <f t="shared" si="18"/>
        <v>0</v>
      </c>
      <c r="BF34" s="87">
        <f t="shared" si="19"/>
        <v>0</v>
      </c>
      <c r="BI34" s="87">
        <f t="shared" si="20"/>
        <v>0</v>
      </c>
      <c r="BL34" s="87">
        <f t="shared" si="21"/>
        <v>0</v>
      </c>
      <c r="BO34" s="87">
        <f t="shared" si="22"/>
        <v>0</v>
      </c>
      <c r="BR34" s="87">
        <f t="shared" si="23"/>
        <v>0</v>
      </c>
      <c r="BU34" s="87">
        <f t="shared" si="24"/>
        <v>0</v>
      </c>
      <c r="BX34" s="87">
        <f t="shared" si="25"/>
        <v>0</v>
      </c>
      <c r="CA34" s="87">
        <f t="shared" si="26"/>
        <v>0</v>
      </c>
      <c r="CD34" s="87">
        <f t="shared" si="27"/>
        <v>0</v>
      </c>
      <c r="CG34" s="87">
        <f t="shared" si="28"/>
        <v>0</v>
      </c>
      <c r="CJ34" s="87">
        <f t="shared" si="29"/>
        <v>0</v>
      </c>
      <c r="CM34" s="87">
        <f t="shared" si="30"/>
        <v>0</v>
      </c>
      <c r="CP34" s="87">
        <f t="shared" si="31"/>
        <v>0</v>
      </c>
      <c r="CS34" s="87">
        <f t="shared" si="32"/>
        <v>0</v>
      </c>
      <c r="CV34" s="87">
        <f t="shared" si="33"/>
        <v>0</v>
      </c>
      <c r="CY34" s="87">
        <f t="shared" si="34"/>
        <v>0</v>
      </c>
      <c r="DB34" s="87">
        <f t="shared" si="35"/>
        <v>0</v>
      </c>
      <c r="DE34" s="87">
        <f t="shared" si="36"/>
        <v>0</v>
      </c>
      <c r="DH34" s="87">
        <f t="shared" si="37"/>
        <v>0</v>
      </c>
      <c r="DK34" s="87">
        <f t="shared" si="38"/>
        <v>0</v>
      </c>
      <c r="DN34" s="87">
        <f t="shared" si="39"/>
        <v>0</v>
      </c>
      <c r="DQ34" s="87">
        <f t="shared" si="40"/>
        <v>0</v>
      </c>
      <c r="DT34" s="87">
        <f t="shared" si="41"/>
        <v>0</v>
      </c>
      <c r="DW34" s="87">
        <f t="shared" si="42"/>
        <v>0</v>
      </c>
      <c r="DZ34" s="87"/>
      <c r="EA34" s="87"/>
      <c r="EB34" s="122">
        <f t="shared" si="43"/>
        <v>489525000</v>
      </c>
      <c r="EC34" s="122">
        <f t="shared" si="44"/>
        <v>0</v>
      </c>
      <c r="ED34" s="87">
        <f t="shared" si="45"/>
        <v>38482.430555555555</v>
      </c>
      <c r="EE34" s="88">
        <f t="shared" si="46"/>
        <v>2.8300240028599152E-2</v>
      </c>
      <c r="EG34" s="122">
        <f t="shared" si="47"/>
        <v>0</v>
      </c>
      <c r="EH34" s="87">
        <f t="shared" si="48"/>
        <v>0</v>
      </c>
      <c r="EI34" s="88">
        <f t="shared" si="49"/>
        <v>0</v>
      </c>
      <c r="EJ34" s="88"/>
      <c r="EK34" s="122">
        <f t="shared" si="50"/>
        <v>489525000</v>
      </c>
      <c r="EL34" s="122">
        <f t="shared" si="51"/>
        <v>0</v>
      </c>
      <c r="EM34" s="122">
        <f t="shared" si="52"/>
        <v>38482.430555555555</v>
      </c>
      <c r="EN34" s="88">
        <f t="shared" si="53"/>
        <v>2.8300240028599152E-2</v>
      </c>
      <c r="EP34" s="87"/>
    </row>
    <row r="35" spans="1:146" x14ac:dyDescent="0.25">
      <c r="A35" s="35">
        <f t="shared" si="54"/>
        <v>43521</v>
      </c>
      <c r="D35" s="87">
        <f t="shared" si="3"/>
        <v>0</v>
      </c>
      <c r="G35" s="87">
        <f t="shared" si="4"/>
        <v>0</v>
      </c>
      <c r="J35" s="87">
        <f t="shared" si="5"/>
        <v>0</v>
      </c>
      <c r="M35" s="87">
        <f t="shared" si="6"/>
        <v>0</v>
      </c>
      <c r="P35" s="87">
        <f t="shared" si="7"/>
        <v>0</v>
      </c>
      <c r="S35" s="87">
        <f t="shared" si="8"/>
        <v>0</v>
      </c>
      <c r="V35" s="87">
        <f t="shared" si="9"/>
        <v>0</v>
      </c>
      <c r="Y35" s="87">
        <f t="shared" si="10"/>
        <v>0</v>
      </c>
      <c r="AB35" s="87">
        <f t="shared" si="11"/>
        <v>0</v>
      </c>
      <c r="AE35" s="87">
        <v>0</v>
      </c>
      <c r="AH35" s="87">
        <v>0</v>
      </c>
      <c r="AI35" s="120">
        <f>57700000</f>
        <v>57700000</v>
      </c>
      <c r="AJ35" s="121">
        <v>2.7E-2</v>
      </c>
      <c r="AK35" s="87">
        <f t="shared" si="12"/>
        <v>4327.5</v>
      </c>
      <c r="AL35" s="120"/>
      <c r="AM35" s="121"/>
      <c r="AN35" s="87">
        <f t="shared" si="13"/>
        <v>0</v>
      </c>
      <c r="AO35" s="120"/>
      <c r="AP35" s="121"/>
      <c r="AQ35" s="87">
        <f t="shared" si="14"/>
        <v>0</v>
      </c>
      <c r="AR35" s="120">
        <f t="shared" si="55"/>
        <v>30000000</v>
      </c>
      <c r="AS35" s="121">
        <v>2.8299999999999999E-2</v>
      </c>
      <c r="AT35" s="87">
        <f t="shared" si="15"/>
        <v>2358.3333333333335</v>
      </c>
      <c r="AU35" s="120">
        <f t="shared" si="2"/>
        <v>375000000</v>
      </c>
      <c r="AV35" s="121">
        <v>2.8500000000000001E-2</v>
      </c>
      <c r="AW35" s="87">
        <f t="shared" si="16"/>
        <v>29687.5</v>
      </c>
      <c r="AX35" s="120">
        <f t="shared" si="56"/>
        <v>35000000</v>
      </c>
      <c r="AY35" s="121">
        <v>2.8000000000000001E-2</v>
      </c>
      <c r="AZ35" s="87">
        <f t="shared" si="17"/>
        <v>2722.2222222222222</v>
      </c>
      <c r="BC35" s="87">
        <f t="shared" si="18"/>
        <v>0</v>
      </c>
      <c r="BF35" s="87">
        <f t="shared" si="19"/>
        <v>0</v>
      </c>
      <c r="BI35" s="87">
        <f t="shared" si="20"/>
        <v>0</v>
      </c>
      <c r="BL35" s="87">
        <f t="shared" si="21"/>
        <v>0</v>
      </c>
      <c r="BO35" s="87">
        <f t="shared" si="22"/>
        <v>0</v>
      </c>
      <c r="BR35" s="87">
        <f t="shared" si="23"/>
        <v>0</v>
      </c>
      <c r="BU35" s="87">
        <f t="shared" si="24"/>
        <v>0</v>
      </c>
      <c r="BX35" s="87">
        <f t="shared" si="25"/>
        <v>0</v>
      </c>
      <c r="CA35" s="87">
        <f t="shared" si="26"/>
        <v>0</v>
      </c>
      <c r="CD35" s="87">
        <f t="shared" si="27"/>
        <v>0</v>
      </c>
      <c r="CG35" s="87">
        <f t="shared" si="28"/>
        <v>0</v>
      </c>
      <c r="CJ35" s="87">
        <f t="shared" si="29"/>
        <v>0</v>
      </c>
      <c r="CM35" s="87">
        <f t="shared" si="30"/>
        <v>0</v>
      </c>
      <c r="CP35" s="87">
        <f t="shared" si="31"/>
        <v>0</v>
      </c>
      <c r="CS35" s="87">
        <f t="shared" si="32"/>
        <v>0</v>
      </c>
      <c r="CV35" s="87">
        <f t="shared" si="33"/>
        <v>0</v>
      </c>
      <c r="CY35" s="87">
        <f t="shared" si="34"/>
        <v>0</v>
      </c>
      <c r="DB35" s="87">
        <f t="shared" si="35"/>
        <v>0</v>
      </c>
      <c r="DE35" s="87">
        <f t="shared" si="36"/>
        <v>0</v>
      </c>
      <c r="DH35" s="87">
        <f t="shared" si="37"/>
        <v>0</v>
      </c>
      <c r="DK35" s="87">
        <f t="shared" si="38"/>
        <v>0</v>
      </c>
      <c r="DN35" s="87">
        <f t="shared" si="39"/>
        <v>0</v>
      </c>
      <c r="DQ35" s="87">
        <f t="shared" si="40"/>
        <v>0</v>
      </c>
      <c r="DT35" s="87">
        <f t="shared" si="41"/>
        <v>0</v>
      </c>
      <c r="DW35" s="87">
        <f t="shared" si="42"/>
        <v>0</v>
      </c>
      <c r="DZ35" s="87"/>
      <c r="EA35" s="87"/>
      <c r="EB35" s="122">
        <f t="shared" si="43"/>
        <v>497700000</v>
      </c>
      <c r="EC35" s="122">
        <f t="shared" si="44"/>
        <v>0</v>
      </c>
      <c r="ED35" s="87">
        <f t="shared" si="45"/>
        <v>39095.555555555555</v>
      </c>
      <c r="EE35" s="88">
        <f t="shared" si="46"/>
        <v>2.8278882861161342E-2</v>
      </c>
      <c r="EG35" s="122">
        <f t="shared" si="47"/>
        <v>0</v>
      </c>
      <c r="EH35" s="87">
        <f t="shared" si="48"/>
        <v>0</v>
      </c>
      <c r="EI35" s="88">
        <f t="shared" si="49"/>
        <v>0</v>
      </c>
      <c r="EJ35" s="88"/>
      <c r="EK35" s="122">
        <f t="shared" si="50"/>
        <v>497700000</v>
      </c>
      <c r="EL35" s="122">
        <f t="shared" si="51"/>
        <v>0</v>
      </c>
      <c r="EM35" s="122">
        <f t="shared" si="52"/>
        <v>39095.555555555555</v>
      </c>
      <c r="EN35" s="88">
        <f t="shared" si="53"/>
        <v>2.8278882861161342E-2</v>
      </c>
      <c r="EP35" s="87"/>
    </row>
    <row r="36" spans="1:146" x14ac:dyDescent="0.25">
      <c r="A36" s="35">
        <f t="shared" si="54"/>
        <v>43522</v>
      </c>
      <c r="D36" s="87">
        <f t="shared" si="3"/>
        <v>0</v>
      </c>
      <c r="G36" s="87">
        <f t="shared" si="4"/>
        <v>0</v>
      </c>
      <c r="J36" s="87">
        <f t="shared" si="5"/>
        <v>0</v>
      </c>
      <c r="M36" s="87">
        <f t="shared" si="6"/>
        <v>0</v>
      </c>
      <c r="P36" s="87">
        <f t="shared" si="7"/>
        <v>0</v>
      </c>
      <c r="S36" s="87">
        <f t="shared" si="8"/>
        <v>0</v>
      </c>
      <c r="V36" s="87">
        <f t="shared" si="9"/>
        <v>0</v>
      </c>
      <c r="Y36" s="87">
        <f t="shared" si="10"/>
        <v>0</v>
      </c>
      <c r="AB36" s="87">
        <f t="shared" si="11"/>
        <v>0</v>
      </c>
      <c r="AE36" s="87">
        <v>0</v>
      </c>
      <c r="AH36" s="87">
        <v>0</v>
      </c>
      <c r="AI36" s="120">
        <f>49125000</f>
        <v>49125000</v>
      </c>
      <c r="AJ36" s="121">
        <v>2.7E-2</v>
      </c>
      <c r="AK36" s="87">
        <f t="shared" si="12"/>
        <v>3684.375</v>
      </c>
      <c r="AL36" s="120"/>
      <c r="AM36" s="121"/>
      <c r="AN36" s="87">
        <f t="shared" si="13"/>
        <v>0</v>
      </c>
      <c r="AO36" s="120"/>
      <c r="AP36" s="121"/>
      <c r="AQ36" s="87">
        <f t="shared" si="14"/>
        <v>0</v>
      </c>
      <c r="AR36" s="120">
        <f t="shared" si="55"/>
        <v>30000000</v>
      </c>
      <c r="AS36" s="121">
        <v>2.8299999999999999E-2</v>
      </c>
      <c r="AT36" s="87">
        <f t="shared" si="15"/>
        <v>2358.3333333333335</v>
      </c>
      <c r="AU36" s="120">
        <f t="shared" si="2"/>
        <v>375000000</v>
      </c>
      <c r="AV36" s="121">
        <v>2.8500000000000001E-2</v>
      </c>
      <c r="AW36" s="87">
        <f t="shared" si="16"/>
        <v>29687.5</v>
      </c>
      <c r="AX36" s="120">
        <f t="shared" si="56"/>
        <v>35000000</v>
      </c>
      <c r="AY36" s="121">
        <v>2.8000000000000001E-2</v>
      </c>
      <c r="AZ36" s="87">
        <f t="shared" si="17"/>
        <v>2722.2222222222222</v>
      </c>
      <c r="BC36" s="87">
        <f t="shared" si="18"/>
        <v>0</v>
      </c>
      <c r="BF36" s="87">
        <f t="shared" si="19"/>
        <v>0</v>
      </c>
      <c r="BI36" s="87">
        <f t="shared" si="20"/>
        <v>0</v>
      </c>
      <c r="BL36" s="87">
        <f t="shared" si="21"/>
        <v>0</v>
      </c>
      <c r="BO36" s="87">
        <f t="shared" si="22"/>
        <v>0</v>
      </c>
      <c r="BR36" s="87">
        <f t="shared" si="23"/>
        <v>0</v>
      </c>
      <c r="BU36" s="87">
        <f t="shared" si="24"/>
        <v>0</v>
      </c>
      <c r="BX36" s="87">
        <f t="shared" si="25"/>
        <v>0</v>
      </c>
      <c r="CA36" s="87">
        <f t="shared" si="26"/>
        <v>0</v>
      </c>
      <c r="CD36" s="87">
        <f t="shared" si="27"/>
        <v>0</v>
      </c>
      <c r="CG36" s="87">
        <f t="shared" si="28"/>
        <v>0</v>
      </c>
      <c r="CJ36" s="87">
        <f t="shared" si="29"/>
        <v>0</v>
      </c>
      <c r="CM36" s="87">
        <f t="shared" si="30"/>
        <v>0</v>
      </c>
      <c r="CP36" s="87">
        <f t="shared" si="31"/>
        <v>0</v>
      </c>
      <c r="CS36" s="87">
        <f t="shared" si="32"/>
        <v>0</v>
      </c>
      <c r="CV36" s="87">
        <f t="shared" si="33"/>
        <v>0</v>
      </c>
      <c r="CY36" s="87">
        <f t="shared" si="34"/>
        <v>0</v>
      </c>
      <c r="DB36" s="87">
        <f t="shared" si="35"/>
        <v>0</v>
      </c>
      <c r="DE36" s="87">
        <f t="shared" si="36"/>
        <v>0</v>
      </c>
      <c r="DH36" s="87">
        <f t="shared" si="37"/>
        <v>0</v>
      </c>
      <c r="DK36" s="87">
        <f t="shared" si="38"/>
        <v>0</v>
      </c>
      <c r="DN36" s="87">
        <f t="shared" si="39"/>
        <v>0</v>
      </c>
      <c r="DQ36" s="87">
        <f t="shared" si="40"/>
        <v>0</v>
      </c>
      <c r="DT36" s="87">
        <f t="shared" si="41"/>
        <v>0</v>
      </c>
      <c r="DW36" s="87">
        <f t="shared" si="42"/>
        <v>0</v>
      </c>
      <c r="DZ36" s="87"/>
      <c r="EA36" s="87"/>
      <c r="EB36" s="122">
        <f t="shared" si="43"/>
        <v>489125000</v>
      </c>
      <c r="EC36" s="122">
        <f t="shared" si="44"/>
        <v>0</v>
      </c>
      <c r="ED36" s="87">
        <f t="shared" si="45"/>
        <v>38452.430555555555</v>
      </c>
      <c r="EE36" s="88">
        <f t="shared" si="46"/>
        <v>2.8301303347814978E-2</v>
      </c>
      <c r="EG36" s="122">
        <f t="shared" si="47"/>
        <v>0</v>
      </c>
      <c r="EH36" s="87">
        <f t="shared" si="48"/>
        <v>0</v>
      </c>
      <c r="EI36" s="88">
        <f t="shared" si="49"/>
        <v>0</v>
      </c>
      <c r="EJ36" s="88"/>
      <c r="EK36" s="122">
        <f t="shared" si="50"/>
        <v>489125000</v>
      </c>
      <c r="EL36" s="122">
        <f t="shared" si="51"/>
        <v>0</v>
      </c>
      <c r="EM36" s="122">
        <f t="shared" si="52"/>
        <v>38452.430555555555</v>
      </c>
      <c r="EN36" s="88">
        <f t="shared" si="53"/>
        <v>2.8301303347814978E-2</v>
      </c>
      <c r="EP36" s="87"/>
    </row>
    <row r="37" spans="1:146" x14ac:dyDescent="0.25">
      <c r="A37" s="35">
        <f t="shared" si="54"/>
        <v>43523</v>
      </c>
      <c r="D37" s="87">
        <f t="shared" si="3"/>
        <v>0</v>
      </c>
      <c r="G37" s="87">
        <f t="shared" si="4"/>
        <v>0</v>
      </c>
      <c r="J37" s="87">
        <f t="shared" si="5"/>
        <v>0</v>
      </c>
      <c r="M37" s="87">
        <f t="shared" si="6"/>
        <v>0</v>
      </c>
      <c r="P37" s="87">
        <f t="shared" si="7"/>
        <v>0</v>
      </c>
      <c r="S37" s="87">
        <f t="shared" si="8"/>
        <v>0</v>
      </c>
      <c r="V37" s="87">
        <f t="shared" si="9"/>
        <v>0</v>
      </c>
      <c r="Y37" s="87">
        <f t="shared" si="10"/>
        <v>0</v>
      </c>
      <c r="AB37" s="87">
        <f t="shared" si="11"/>
        <v>0</v>
      </c>
      <c r="AE37" s="87">
        <v>0</v>
      </c>
      <c r="AH37" s="87">
        <v>0</v>
      </c>
      <c r="AI37" s="120">
        <f>45000000</f>
        <v>45000000</v>
      </c>
      <c r="AJ37" s="121">
        <v>2.7E-2</v>
      </c>
      <c r="AK37" s="87">
        <f t="shared" si="12"/>
        <v>3375</v>
      </c>
      <c r="AL37" s="120"/>
      <c r="AM37" s="121"/>
      <c r="AN37" s="87">
        <f t="shared" si="13"/>
        <v>0</v>
      </c>
      <c r="AO37" s="120"/>
      <c r="AP37" s="121"/>
      <c r="AQ37" s="87">
        <f t="shared" si="14"/>
        <v>0</v>
      </c>
      <c r="AR37" s="120">
        <f t="shared" si="55"/>
        <v>30000000</v>
      </c>
      <c r="AS37" s="121">
        <v>2.8299999999999999E-2</v>
      </c>
      <c r="AT37" s="87">
        <f t="shared" si="15"/>
        <v>2358.3333333333335</v>
      </c>
      <c r="AU37" s="120">
        <f t="shared" si="2"/>
        <v>375000000</v>
      </c>
      <c r="AV37" s="121">
        <v>2.8500000000000001E-2</v>
      </c>
      <c r="AW37" s="87">
        <f t="shared" si="16"/>
        <v>29687.5</v>
      </c>
      <c r="AX37" s="120">
        <f t="shared" si="56"/>
        <v>35000000</v>
      </c>
      <c r="AY37" s="121">
        <v>2.8000000000000001E-2</v>
      </c>
      <c r="AZ37" s="87">
        <f t="shared" si="17"/>
        <v>2722.2222222222222</v>
      </c>
      <c r="BC37" s="87">
        <f t="shared" si="18"/>
        <v>0</v>
      </c>
      <c r="BF37" s="87">
        <f t="shared" si="19"/>
        <v>0</v>
      </c>
      <c r="BI37" s="87">
        <f t="shared" si="20"/>
        <v>0</v>
      </c>
      <c r="BL37" s="87">
        <f t="shared" si="21"/>
        <v>0</v>
      </c>
      <c r="BO37" s="87">
        <f t="shared" si="22"/>
        <v>0</v>
      </c>
      <c r="BR37" s="87">
        <f t="shared" si="23"/>
        <v>0</v>
      </c>
      <c r="BU37" s="87">
        <f t="shared" si="24"/>
        <v>0</v>
      </c>
      <c r="BX37" s="87">
        <f t="shared" si="25"/>
        <v>0</v>
      </c>
      <c r="CA37" s="87">
        <f t="shared" si="26"/>
        <v>0</v>
      </c>
      <c r="CD37" s="87">
        <f t="shared" si="27"/>
        <v>0</v>
      </c>
      <c r="CG37" s="87">
        <f t="shared" si="28"/>
        <v>0</v>
      </c>
      <c r="CJ37" s="87">
        <f t="shared" si="29"/>
        <v>0</v>
      </c>
      <c r="CM37" s="87">
        <f t="shared" si="30"/>
        <v>0</v>
      </c>
      <c r="CP37" s="87">
        <f t="shared" si="31"/>
        <v>0</v>
      </c>
      <c r="CS37" s="87">
        <f t="shared" si="32"/>
        <v>0</v>
      </c>
      <c r="CV37" s="87">
        <f t="shared" si="33"/>
        <v>0</v>
      </c>
      <c r="CY37" s="87">
        <f t="shared" si="34"/>
        <v>0</v>
      </c>
      <c r="DB37" s="87">
        <f t="shared" si="35"/>
        <v>0</v>
      </c>
      <c r="DE37" s="87">
        <f t="shared" si="36"/>
        <v>0</v>
      </c>
      <c r="DH37" s="87">
        <f t="shared" si="37"/>
        <v>0</v>
      </c>
      <c r="DK37" s="87">
        <f t="shared" si="38"/>
        <v>0</v>
      </c>
      <c r="DN37" s="87">
        <f t="shared" si="39"/>
        <v>0</v>
      </c>
      <c r="DQ37" s="87">
        <f t="shared" si="40"/>
        <v>0</v>
      </c>
      <c r="DT37" s="87">
        <f t="shared" si="41"/>
        <v>0</v>
      </c>
      <c r="DW37" s="87">
        <f t="shared" si="42"/>
        <v>0</v>
      </c>
      <c r="DZ37" s="87"/>
      <c r="EA37" s="87"/>
      <c r="EB37" s="122">
        <f t="shared" si="43"/>
        <v>485000000</v>
      </c>
      <c r="EC37" s="122">
        <f t="shared" si="44"/>
        <v>0</v>
      </c>
      <c r="ED37" s="87">
        <f t="shared" si="45"/>
        <v>38143.055555555555</v>
      </c>
      <c r="EE37" s="88">
        <f t="shared" si="46"/>
        <v>2.8312371134020617E-2</v>
      </c>
      <c r="EG37" s="122">
        <f t="shared" si="47"/>
        <v>0</v>
      </c>
      <c r="EH37" s="87">
        <f t="shared" si="48"/>
        <v>0</v>
      </c>
      <c r="EI37" s="88">
        <f t="shared" si="49"/>
        <v>0</v>
      </c>
      <c r="EJ37" s="88"/>
      <c r="EK37" s="122">
        <f t="shared" si="50"/>
        <v>485000000</v>
      </c>
      <c r="EL37" s="122">
        <f t="shared" si="51"/>
        <v>0</v>
      </c>
      <c r="EM37" s="122">
        <f t="shared" si="52"/>
        <v>38143.055555555555</v>
      </c>
      <c r="EN37" s="88">
        <f t="shared" si="53"/>
        <v>2.8312371134020617E-2</v>
      </c>
      <c r="EP37" s="87"/>
    </row>
    <row r="38" spans="1:146" x14ac:dyDescent="0.25">
      <c r="A38" s="35">
        <f t="shared" si="54"/>
        <v>43524</v>
      </c>
      <c r="D38" s="87">
        <f t="shared" si="3"/>
        <v>0</v>
      </c>
      <c r="G38" s="87">
        <f t="shared" si="4"/>
        <v>0</v>
      </c>
      <c r="J38" s="87">
        <f t="shared" si="5"/>
        <v>0</v>
      </c>
      <c r="M38" s="87">
        <f t="shared" si="6"/>
        <v>0</v>
      </c>
      <c r="P38" s="87">
        <f t="shared" si="7"/>
        <v>0</v>
      </c>
      <c r="S38" s="87">
        <f t="shared" si="8"/>
        <v>0</v>
      </c>
      <c r="V38" s="87">
        <f t="shared" si="9"/>
        <v>0</v>
      </c>
      <c r="Y38" s="87">
        <f t="shared" si="10"/>
        <v>0</v>
      </c>
      <c r="AB38" s="87">
        <f t="shared" si="11"/>
        <v>0</v>
      </c>
      <c r="AE38" s="87">
        <v>0</v>
      </c>
      <c r="AH38" s="87">
        <v>0</v>
      </c>
      <c r="AI38" s="120">
        <f>55025000</f>
        <v>55025000</v>
      </c>
      <c r="AJ38" s="121">
        <v>2.7E-2</v>
      </c>
      <c r="AK38" s="87">
        <f t="shared" si="12"/>
        <v>4126.875</v>
      </c>
      <c r="AL38" s="120"/>
      <c r="AM38" s="121"/>
      <c r="AN38" s="87">
        <f t="shared" si="13"/>
        <v>0</v>
      </c>
      <c r="AO38" s="120"/>
      <c r="AP38" s="121"/>
      <c r="AQ38" s="87">
        <f t="shared" si="14"/>
        <v>0</v>
      </c>
      <c r="AR38" s="120">
        <f t="shared" si="55"/>
        <v>30000000</v>
      </c>
      <c r="AS38" s="121">
        <v>2.8299999999999999E-2</v>
      </c>
      <c r="AT38" s="87">
        <f t="shared" si="15"/>
        <v>2358.3333333333335</v>
      </c>
      <c r="AU38" s="120">
        <f t="shared" si="2"/>
        <v>375000000</v>
      </c>
      <c r="AV38" s="121">
        <v>2.8500000000000001E-2</v>
      </c>
      <c r="AW38" s="87">
        <f t="shared" si="16"/>
        <v>29687.5</v>
      </c>
      <c r="AX38" s="120">
        <f t="shared" si="56"/>
        <v>35000000</v>
      </c>
      <c r="AY38" s="121">
        <v>2.8000000000000001E-2</v>
      </c>
      <c r="AZ38" s="87">
        <f t="shared" si="17"/>
        <v>2722.2222222222222</v>
      </c>
      <c r="BC38" s="87">
        <f t="shared" si="18"/>
        <v>0</v>
      </c>
      <c r="BF38" s="87">
        <f t="shared" si="19"/>
        <v>0</v>
      </c>
      <c r="BI38" s="87">
        <f t="shared" si="20"/>
        <v>0</v>
      </c>
      <c r="BL38" s="87">
        <f t="shared" si="21"/>
        <v>0</v>
      </c>
      <c r="BO38" s="87">
        <f t="shared" si="22"/>
        <v>0</v>
      </c>
      <c r="BR38" s="87">
        <f t="shared" si="23"/>
        <v>0</v>
      </c>
      <c r="BU38" s="87">
        <f t="shared" si="24"/>
        <v>0</v>
      </c>
      <c r="BX38" s="87">
        <f t="shared" si="25"/>
        <v>0</v>
      </c>
      <c r="CA38" s="87">
        <f t="shared" si="26"/>
        <v>0</v>
      </c>
      <c r="CD38" s="87">
        <f t="shared" si="27"/>
        <v>0</v>
      </c>
      <c r="CG38" s="87">
        <f t="shared" si="28"/>
        <v>0</v>
      </c>
      <c r="CJ38" s="87">
        <f t="shared" si="29"/>
        <v>0</v>
      </c>
      <c r="CM38" s="87">
        <f t="shared" si="30"/>
        <v>0</v>
      </c>
      <c r="CP38" s="87">
        <f t="shared" si="31"/>
        <v>0</v>
      </c>
      <c r="CS38" s="87">
        <f t="shared" si="32"/>
        <v>0</v>
      </c>
      <c r="CV38" s="87">
        <f t="shared" si="33"/>
        <v>0</v>
      </c>
      <c r="CY38" s="87">
        <f t="shared" si="34"/>
        <v>0</v>
      </c>
      <c r="DB38" s="87">
        <f t="shared" si="35"/>
        <v>0</v>
      </c>
      <c r="DE38" s="87">
        <f t="shared" si="36"/>
        <v>0</v>
      </c>
      <c r="DH38" s="87">
        <f t="shared" si="37"/>
        <v>0</v>
      </c>
      <c r="DK38" s="87">
        <f t="shared" si="38"/>
        <v>0</v>
      </c>
      <c r="DN38" s="87">
        <f t="shared" si="39"/>
        <v>0</v>
      </c>
      <c r="DQ38" s="87">
        <f t="shared" si="40"/>
        <v>0</v>
      </c>
      <c r="DT38" s="87">
        <f t="shared" si="41"/>
        <v>0</v>
      </c>
      <c r="DW38" s="87">
        <f t="shared" si="42"/>
        <v>0</v>
      </c>
      <c r="DZ38" s="87"/>
      <c r="EA38" s="87"/>
      <c r="EB38" s="122">
        <f t="shared" si="43"/>
        <v>495025000</v>
      </c>
      <c r="EC38" s="122">
        <f t="shared" si="44"/>
        <v>0</v>
      </c>
      <c r="ED38" s="87">
        <f t="shared" si="45"/>
        <v>38894.930555555555</v>
      </c>
      <c r="EE38" s="88">
        <f t="shared" si="46"/>
        <v>2.8285793646785514E-2</v>
      </c>
      <c r="EG38" s="122">
        <f t="shared" si="47"/>
        <v>0</v>
      </c>
      <c r="EH38" s="87">
        <f t="shared" si="48"/>
        <v>0</v>
      </c>
      <c r="EI38" s="88">
        <f t="shared" si="49"/>
        <v>0</v>
      </c>
      <c r="EJ38" s="88"/>
      <c r="EK38" s="122">
        <f t="shared" si="50"/>
        <v>495025000</v>
      </c>
      <c r="EL38" s="122">
        <f t="shared" si="51"/>
        <v>0</v>
      </c>
      <c r="EM38" s="122">
        <f t="shared" si="52"/>
        <v>38894.930555555555</v>
      </c>
      <c r="EN38" s="88">
        <f t="shared" si="53"/>
        <v>2.8285793646785514E-2</v>
      </c>
      <c r="EP38" s="87"/>
    </row>
    <row r="39" spans="1:146" x14ac:dyDescent="0.25">
      <c r="A39" s="123" t="s">
        <v>76</v>
      </c>
      <c r="D39" s="124">
        <f>SUM(D11:D38)</f>
        <v>0</v>
      </c>
      <c r="G39" s="124">
        <f>SUM(G11:G38)</f>
        <v>0</v>
      </c>
      <c r="J39" s="124">
        <f>SUM(J11:J38)</f>
        <v>0</v>
      </c>
      <c r="M39" s="124">
        <f>SUM(M11:M38)</f>
        <v>0</v>
      </c>
      <c r="P39" s="124">
        <f>SUM(P11:P38)</f>
        <v>0</v>
      </c>
      <c r="S39" s="124">
        <f>SUM(S11:S38)</f>
        <v>0</v>
      </c>
      <c r="V39" s="124">
        <f>SUM(V11:V38)</f>
        <v>0</v>
      </c>
      <c r="Y39" s="124">
        <f>SUM(Y11:Y38)</f>
        <v>0</v>
      </c>
      <c r="AB39" s="124">
        <f>SUM(AB11:AB38)</f>
        <v>0</v>
      </c>
      <c r="AE39" s="124">
        <f>SUM(AE11:AE38)</f>
        <v>0</v>
      </c>
      <c r="AH39" s="124">
        <f>SUM(AH11:AH38)</f>
        <v>0</v>
      </c>
      <c r="AK39" s="124">
        <f>SUM(AK11:AK38)</f>
        <v>100395</v>
      </c>
      <c r="AN39" s="124">
        <f>SUM(AN11:AN38)</f>
        <v>33833.333333333336</v>
      </c>
      <c r="AQ39" s="124">
        <f>SUM(AQ11:AQ38)</f>
        <v>53263.888888888876</v>
      </c>
      <c r="AT39" s="124">
        <f>SUM(AT11:AT38)</f>
        <v>68975.000000000015</v>
      </c>
      <c r="AW39" s="124">
        <f>SUM(AW11:AW38)</f>
        <v>831250</v>
      </c>
      <c r="AZ39" s="124">
        <f>SUM(AZ11:AZ38)</f>
        <v>40833.333333333328</v>
      </c>
      <c r="BC39" s="124">
        <f>SUM(BC11:BC38)</f>
        <v>0</v>
      </c>
      <c r="BF39" s="124">
        <f>SUM(BF11:BF38)</f>
        <v>0</v>
      </c>
      <c r="BI39" s="124">
        <f>SUM(BI11:BI38)</f>
        <v>0</v>
      </c>
      <c r="BL39" s="124">
        <f>SUM(BL11:BL38)</f>
        <v>0</v>
      </c>
      <c r="BO39" s="124">
        <f>SUM(BO11:BO38)</f>
        <v>0</v>
      </c>
      <c r="BR39" s="124">
        <f>SUM(BR11:BR38)</f>
        <v>0</v>
      </c>
      <c r="BU39" s="124">
        <f>SUM(BU11:BU38)</f>
        <v>0</v>
      </c>
      <c r="BX39" s="124">
        <f>SUM(BX11:BX38)</f>
        <v>0</v>
      </c>
      <c r="CA39" s="124">
        <f>SUM(CA11:CA38)</f>
        <v>0</v>
      </c>
      <c r="CD39" s="124">
        <f>SUM(CD11:CD38)</f>
        <v>0</v>
      </c>
      <c r="CG39" s="124">
        <f>SUM(CG11:CG38)</f>
        <v>0</v>
      </c>
      <c r="CJ39" s="124">
        <f>SUM(CJ11:CJ38)</f>
        <v>0</v>
      </c>
      <c r="CM39" s="124">
        <f>SUM(CM11:CM38)</f>
        <v>0</v>
      </c>
      <c r="CP39" s="124">
        <f>SUM(CP11:CP38)</f>
        <v>0</v>
      </c>
      <c r="CS39" s="124">
        <f>SUM(CS11:CS38)</f>
        <v>0</v>
      </c>
      <c r="CV39" s="124">
        <f>SUM(CV11:CV38)</f>
        <v>0</v>
      </c>
      <c r="CY39" s="124">
        <f>SUM(CY11:CY38)</f>
        <v>0</v>
      </c>
      <c r="DB39" s="124">
        <f>SUM(DB11:DB38)</f>
        <v>0</v>
      </c>
      <c r="DE39" s="124">
        <f>SUM(DE11:DE38)</f>
        <v>0</v>
      </c>
      <c r="DH39" s="124">
        <f>SUM(DH11:DH38)</f>
        <v>0</v>
      </c>
      <c r="DK39" s="124">
        <f>SUM(DK11:DK38)</f>
        <v>0</v>
      </c>
      <c r="DN39" s="124">
        <f>SUM(DN11:DN38)</f>
        <v>0</v>
      </c>
      <c r="DQ39" s="124">
        <f>SUM(DQ11:DQ38)</f>
        <v>0</v>
      </c>
      <c r="DT39" s="124">
        <f>SUM(DT11:DT38)</f>
        <v>0</v>
      </c>
      <c r="DW39" s="124">
        <f>SUM(DW11:DW38)</f>
        <v>0</v>
      </c>
      <c r="DZ39" s="85"/>
      <c r="EA39" s="85"/>
      <c r="EB39" s="87"/>
      <c r="EC39" s="87"/>
      <c r="ED39" s="124">
        <f>SUM(ED11:ED38)</f>
        <v>1128550.555555555</v>
      </c>
      <c r="EE39" s="88"/>
      <c r="EG39" s="87"/>
      <c r="EH39" s="124">
        <f>SUM(EH11:EH38)</f>
        <v>0</v>
      </c>
      <c r="EI39" s="88"/>
      <c r="EJ39" s="88"/>
      <c r="EK39" s="87"/>
      <c r="EL39" s="87"/>
      <c r="EM39" s="124">
        <f>SUM(EM11:EM38)</f>
        <v>1128550.555555555</v>
      </c>
      <c r="EN39" s="88"/>
    </row>
    <row r="42" spans="1:146" x14ac:dyDescent="0.25">
      <c r="EM42" s="125"/>
    </row>
    <row r="44" spans="1:146" x14ac:dyDescent="0.25">
      <c r="EM44" s="8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Q46"/>
  <sheetViews>
    <sheetView workbookViewId="0">
      <selection activeCell="AM29" sqref="AM29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54750000</v>
      </c>
      <c r="EI2" s="85">
        <f>EG40</f>
        <v>0</v>
      </c>
      <c r="EM2" s="85"/>
      <c r="EN2" s="85">
        <f>EK41</f>
        <v>54750000</v>
      </c>
      <c r="EO2" s="78">
        <v>0</v>
      </c>
      <c r="EP2" s="78">
        <v>0</v>
      </c>
      <c r="EQ2" s="78">
        <f>EE2+EO2</f>
        <v>54750000</v>
      </c>
    </row>
    <row r="3" spans="1:147" ht="16.5" thickTop="1" x14ac:dyDescent="0.25">
      <c r="A3" s="86" t="s">
        <v>173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116906451.61290322</v>
      </c>
      <c r="EI3" s="85">
        <f>AVERAGE(EG11:EG40)</f>
        <v>0</v>
      </c>
      <c r="EM3" s="85"/>
      <c r="EN3" s="85">
        <f>AVERAGE(EK11:EK41)</f>
        <v>116906451.61290322</v>
      </c>
    </row>
    <row r="4" spans="1:147" x14ac:dyDescent="0.25">
      <c r="D4" s="33"/>
      <c r="E4" s="95" t="s">
        <v>102</v>
      </c>
      <c r="F4" s="85"/>
      <c r="G4" s="96">
        <f>EQ2</f>
        <v>54750000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2.7878149057697078E-2</v>
      </c>
      <c r="EI4" s="93">
        <f>IF(EI3=0,0,360*(AVERAGE(EH11:EH40)/EI3))</f>
        <v>0</v>
      </c>
      <c r="EM4" s="93"/>
      <c r="EN4" s="93">
        <f>IF(EN3=0,0,360*(AVERAGE(EM11:EM41)/EN3))</f>
        <v>2.7878149057697078E-2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116906451.61290322</v>
      </c>
      <c r="AI5" s="100" t="s">
        <v>97</v>
      </c>
      <c r="EB5" s="101" t="s">
        <v>109</v>
      </c>
      <c r="EC5" s="101"/>
      <c r="ED5" s="85"/>
      <c r="EE5" s="85">
        <f>MAX(EB11:EB41)</f>
        <v>506375000</v>
      </c>
      <c r="EI5" s="85">
        <f>MAX(EG11:EG40)</f>
        <v>0</v>
      </c>
      <c r="EM5" s="85"/>
      <c r="EN5" s="85">
        <f>MAX(EK11:EK41)</f>
        <v>506375000</v>
      </c>
    </row>
    <row r="6" spans="1:147" x14ac:dyDescent="0.25">
      <c r="D6" s="33"/>
      <c r="E6" s="95" t="s">
        <v>107</v>
      </c>
      <c r="F6" s="85"/>
      <c r="G6" s="102">
        <f>EE4</f>
        <v>2.7878149057697078E-2</v>
      </c>
    </row>
    <row r="7" spans="1:147" ht="16.5" thickBot="1" x14ac:dyDescent="0.3">
      <c r="D7" s="33"/>
      <c r="E7" s="103" t="s">
        <v>109</v>
      </c>
      <c r="F7" s="104"/>
      <c r="G7" s="105">
        <f>EE5</f>
        <v>506375000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43525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66375000</f>
        <v>66375000</v>
      </c>
      <c r="AJ11" s="121">
        <v>2.7E-2</v>
      </c>
      <c r="AK11" s="87">
        <f>(AI11*AJ11)/360</f>
        <v>4978.125</v>
      </c>
      <c r="AL11" s="120">
        <f>35000000</f>
        <v>35000000</v>
      </c>
      <c r="AM11" s="121">
        <v>2.8000000000000001E-2</v>
      </c>
      <c r="AN11" s="87">
        <f>(AL11*AM11)/360</f>
        <v>2722.2222222222222</v>
      </c>
      <c r="AO11" s="120">
        <f>30000000</f>
        <v>30000000</v>
      </c>
      <c r="AP11" s="121">
        <v>2.8299999999999999E-2</v>
      </c>
      <c r="AQ11" s="87">
        <f>(AO11*AP11)/360</f>
        <v>2358.3333333333335</v>
      </c>
      <c r="AR11" s="120">
        <f>130000000+120000000+125000000</f>
        <v>375000000</v>
      </c>
      <c r="AS11" s="121">
        <v>2.8500000000000001E-2</v>
      </c>
      <c r="AT11" s="87">
        <f>(AR11*AS11)/360</f>
        <v>29687.5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506375000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39746.180555555555</v>
      </c>
      <c r="EE11" s="88">
        <f>IF(EB11&lt;&gt;0,((ED11/EB11)*360),0)</f>
        <v>2.8256973586768697E-2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506375000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39746.180555555555</v>
      </c>
      <c r="EN11" s="88">
        <f>IF(EK11&lt;&gt;0,((EM11/EK11)*360),0)</f>
        <v>2.8256973586768697E-2</v>
      </c>
      <c r="EP11" s="87"/>
    </row>
    <row r="12" spans="1:147" x14ac:dyDescent="0.25">
      <c r="A12" s="35">
        <f>1+A11</f>
        <v>43526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>
        <f>66375000</f>
        <v>66375000</v>
      </c>
      <c r="AJ12" s="121">
        <v>2.7E-2</v>
      </c>
      <c r="AK12" s="87">
        <f t="shared" ref="AK12:AK41" si="9">(AI12*AJ12)/360</f>
        <v>4978.125</v>
      </c>
      <c r="AL12" s="120">
        <f>35000000</f>
        <v>35000000</v>
      </c>
      <c r="AM12" s="121">
        <v>2.8000000000000001E-2</v>
      </c>
      <c r="AN12" s="87">
        <f t="shared" ref="AN12:AN41" si="10">(AL12*AM12)/360</f>
        <v>2722.2222222222222</v>
      </c>
      <c r="AO12" s="120">
        <f>30000000</f>
        <v>30000000</v>
      </c>
      <c r="AP12" s="121">
        <v>2.8299999999999999E-2</v>
      </c>
      <c r="AQ12" s="87">
        <f t="shared" ref="AQ12:AQ41" si="11">(AO12*AP12)/360</f>
        <v>2358.3333333333335</v>
      </c>
      <c r="AR12" s="120">
        <f>130000000+120000000+125000000</f>
        <v>375000000</v>
      </c>
      <c r="AS12" s="121">
        <v>2.8500000000000001E-2</v>
      </c>
      <c r="AT12" s="87">
        <f t="shared" ref="AT12:AT41" si="12">(AR12*AS12)/360</f>
        <v>29687.5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506375000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39746.180555555555</v>
      </c>
      <c r="EE12" s="88">
        <f t="shared" ref="EE12:EE41" si="43">IF(EB12&lt;&gt;0,((ED12/EB12)*360),0)</f>
        <v>2.8256973586768697E-2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506375000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39746.180555555555</v>
      </c>
      <c r="EN12" s="88">
        <f t="shared" ref="EN12:EN41" si="50">IF(EK12&lt;&gt;0,((EM12/EK12)*360),0)</f>
        <v>2.8256973586768697E-2</v>
      </c>
      <c r="EP12" s="87"/>
    </row>
    <row r="13" spans="1:147" x14ac:dyDescent="0.25">
      <c r="A13" s="35">
        <f t="shared" ref="A13:A41" si="51">1+A12</f>
        <v>43527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66375000</f>
        <v>66375000</v>
      </c>
      <c r="AJ13" s="121">
        <v>2.7E-2</v>
      </c>
      <c r="AK13" s="87">
        <f t="shared" si="9"/>
        <v>4978.125</v>
      </c>
      <c r="AL13" s="120">
        <f>35000000</f>
        <v>35000000</v>
      </c>
      <c r="AM13" s="121">
        <v>2.8000000000000001E-2</v>
      </c>
      <c r="AN13" s="87">
        <f t="shared" si="10"/>
        <v>2722.2222222222222</v>
      </c>
      <c r="AO13" s="120">
        <f>30000000</f>
        <v>30000000</v>
      </c>
      <c r="AP13" s="121">
        <v>2.8299999999999999E-2</v>
      </c>
      <c r="AQ13" s="87">
        <f t="shared" si="11"/>
        <v>2358.3333333333335</v>
      </c>
      <c r="AR13" s="120">
        <f>130000000+120000000+125000000</f>
        <v>375000000</v>
      </c>
      <c r="AS13" s="121">
        <v>2.8500000000000001E-2</v>
      </c>
      <c r="AT13" s="87">
        <f t="shared" si="12"/>
        <v>29687.5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506375000</v>
      </c>
      <c r="EC13" s="122">
        <f t="shared" si="41"/>
        <v>0</v>
      </c>
      <c r="ED13" s="87">
        <f t="shared" si="42"/>
        <v>39746.180555555555</v>
      </c>
      <c r="EE13" s="88">
        <f t="shared" si="43"/>
        <v>2.8256973586768697E-2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506375000</v>
      </c>
      <c r="EL13" s="122">
        <f t="shared" si="48"/>
        <v>0</v>
      </c>
      <c r="EM13" s="122">
        <f t="shared" si="49"/>
        <v>39746.180555555555</v>
      </c>
      <c r="EN13" s="88">
        <f t="shared" si="50"/>
        <v>2.8256973586768697E-2</v>
      </c>
      <c r="EP13" s="87"/>
    </row>
    <row r="14" spans="1:147" x14ac:dyDescent="0.25">
      <c r="A14" s="35">
        <f t="shared" si="51"/>
        <v>43528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66250000</f>
        <v>66250000</v>
      </c>
      <c r="AJ14" s="121">
        <v>2.7E-2</v>
      </c>
      <c r="AK14" s="87">
        <f t="shared" si="9"/>
        <v>4968.75</v>
      </c>
      <c r="AL14" s="120">
        <f>35000000</f>
        <v>35000000</v>
      </c>
      <c r="AM14" s="121">
        <v>2.8000000000000001E-2</v>
      </c>
      <c r="AN14" s="87">
        <f t="shared" si="10"/>
        <v>2722.2222222222222</v>
      </c>
      <c r="AO14" s="120">
        <f>30000000</f>
        <v>30000000</v>
      </c>
      <c r="AP14" s="121">
        <v>2.8299999999999999E-2</v>
      </c>
      <c r="AQ14" s="87">
        <f t="shared" si="11"/>
        <v>2358.3333333333335</v>
      </c>
      <c r="AR14" s="120">
        <f>130000000+120000000+125000000</f>
        <v>375000000</v>
      </c>
      <c r="AS14" s="121">
        <v>2.8500000000000001E-2</v>
      </c>
      <c r="AT14" s="87">
        <f t="shared" si="12"/>
        <v>29687.5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506250000</v>
      </c>
      <c r="EC14" s="122">
        <f t="shared" si="41"/>
        <v>0</v>
      </c>
      <c r="ED14" s="87">
        <f t="shared" si="42"/>
        <v>39736.805555555555</v>
      </c>
      <c r="EE14" s="88">
        <f t="shared" si="43"/>
        <v>2.8257283950617284E-2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506250000</v>
      </c>
      <c r="EL14" s="122">
        <f t="shared" si="48"/>
        <v>0</v>
      </c>
      <c r="EM14" s="122">
        <f t="shared" si="49"/>
        <v>39736.805555555555</v>
      </c>
      <c r="EN14" s="88">
        <f t="shared" si="50"/>
        <v>2.8257283950617284E-2</v>
      </c>
      <c r="EP14" s="87"/>
    </row>
    <row r="15" spans="1:147" x14ac:dyDescent="0.25">
      <c r="A15" s="35">
        <f t="shared" si="51"/>
        <v>43529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56350000</f>
        <v>56350000</v>
      </c>
      <c r="AJ15" s="121">
        <v>2.7E-2</v>
      </c>
      <c r="AK15" s="87">
        <f t="shared" si="9"/>
        <v>4226.25</v>
      </c>
      <c r="AL15" s="120">
        <f>35000000</f>
        <v>35000000</v>
      </c>
      <c r="AM15" s="121">
        <v>2.8000000000000001E-2</v>
      </c>
      <c r="AN15" s="87">
        <f t="shared" si="10"/>
        <v>2722.2222222222222</v>
      </c>
      <c r="AO15" s="120">
        <f>30000000</f>
        <v>30000000</v>
      </c>
      <c r="AP15" s="121">
        <v>2.8299999999999999E-2</v>
      </c>
      <c r="AQ15" s="87">
        <f t="shared" si="11"/>
        <v>2358.3333333333335</v>
      </c>
      <c r="AR15" s="120">
        <f>130000000+120000000+125000000</f>
        <v>375000000</v>
      </c>
      <c r="AS15" s="121">
        <v>2.8500000000000001E-2</v>
      </c>
      <c r="AT15" s="87">
        <f t="shared" si="12"/>
        <v>29687.5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496350000</v>
      </c>
      <c r="EC15" s="122">
        <f t="shared" si="41"/>
        <v>0</v>
      </c>
      <c r="ED15" s="87">
        <f t="shared" si="42"/>
        <v>38994.305555555555</v>
      </c>
      <c r="EE15" s="88">
        <f t="shared" si="43"/>
        <v>2.8282361237030321E-2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496350000</v>
      </c>
      <c r="EL15" s="122">
        <f t="shared" si="48"/>
        <v>0</v>
      </c>
      <c r="EM15" s="122">
        <f t="shared" si="49"/>
        <v>38994.305555555555</v>
      </c>
      <c r="EN15" s="88">
        <f t="shared" si="50"/>
        <v>2.8282361237030321E-2</v>
      </c>
      <c r="EP15" s="87"/>
    </row>
    <row r="16" spans="1:147" x14ac:dyDescent="0.25">
      <c r="A16" s="35">
        <f t="shared" si="51"/>
        <v>43530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>
        <f>37150000</f>
        <v>37150000</v>
      </c>
      <c r="AJ16" s="121">
        <v>2.7E-2</v>
      </c>
      <c r="AK16" s="87">
        <f t="shared" si="9"/>
        <v>2786.25</v>
      </c>
      <c r="AL16" s="120"/>
      <c r="AM16" s="121"/>
      <c r="AN16" s="87">
        <f t="shared" si="10"/>
        <v>0</v>
      </c>
      <c r="AQ16" s="87">
        <f t="shared" si="11"/>
        <v>0</v>
      </c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37150000</v>
      </c>
      <c r="EC16" s="122">
        <f t="shared" si="41"/>
        <v>0</v>
      </c>
      <c r="ED16" s="87">
        <f t="shared" si="42"/>
        <v>2786.25</v>
      </c>
      <c r="EE16" s="88">
        <f t="shared" si="43"/>
        <v>2.6999999999999996E-2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37150000</v>
      </c>
      <c r="EL16" s="122">
        <f t="shared" si="48"/>
        <v>0</v>
      </c>
      <c r="EM16" s="122">
        <f t="shared" si="49"/>
        <v>2786.25</v>
      </c>
      <c r="EN16" s="88">
        <f t="shared" si="50"/>
        <v>2.6999999999999996E-2</v>
      </c>
      <c r="EP16" s="87"/>
    </row>
    <row r="17" spans="1:146" x14ac:dyDescent="0.25">
      <c r="A17" s="35">
        <f t="shared" si="51"/>
        <v>43531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>
        <f>25950000</f>
        <v>25950000</v>
      </c>
      <c r="AJ17" s="121">
        <v>2.7E-2</v>
      </c>
      <c r="AK17" s="87">
        <f t="shared" si="9"/>
        <v>1946.25</v>
      </c>
      <c r="AL17" s="120"/>
      <c r="AM17" s="121"/>
      <c r="AN17" s="87">
        <f t="shared" si="10"/>
        <v>0</v>
      </c>
      <c r="AQ17" s="87">
        <f t="shared" si="11"/>
        <v>0</v>
      </c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25950000</v>
      </c>
      <c r="EC17" s="122">
        <f t="shared" si="41"/>
        <v>0</v>
      </c>
      <c r="ED17" s="87">
        <f t="shared" si="42"/>
        <v>1946.25</v>
      </c>
      <c r="EE17" s="88">
        <f t="shared" si="43"/>
        <v>2.6999999999999996E-2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25950000</v>
      </c>
      <c r="EL17" s="122">
        <f t="shared" si="48"/>
        <v>0</v>
      </c>
      <c r="EM17" s="122">
        <f t="shared" si="49"/>
        <v>1946.25</v>
      </c>
      <c r="EN17" s="88">
        <f t="shared" si="50"/>
        <v>2.6999999999999996E-2</v>
      </c>
      <c r="EP17" s="87"/>
    </row>
    <row r="18" spans="1:146" x14ac:dyDescent="0.25">
      <c r="A18" s="35">
        <f t="shared" si="51"/>
        <v>43532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>
        <f>27850000</f>
        <v>27850000</v>
      </c>
      <c r="AJ18" s="121">
        <v>2.7E-2</v>
      </c>
      <c r="AK18" s="87">
        <f t="shared" si="9"/>
        <v>2088.75</v>
      </c>
      <c r="AL18" s="120"/>
      <c r="AM18" s="121"/>
      <c r="AN18" s="87">
        <f t="shared" si="10"/>
        <v>0</v>
      </c>
      <c r="AQ18" s="87">
        <f t="shared" si="11"/>
        <v>0</v>
      </c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27850000</v>
      </c>
      <c r="EC18" s="122">
        <f t="shared" si="41"/>
        <v>0</v>
      </c>
      <c r="ED18" s="87">
        <f t="shared" si="42"/>
        <v>2088.75</v>
      </c>
      <c r="EE18" s="88">
        <f t="shared" si="43"/>
        <v>2.6999999999999996E-2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27850000</v>
      </c>
      <c r="EL18" s="122">
        <f t="shared" si="48"/>
        <v>0</v>
      </c>
      <c r="EM18" s="122">
        <f t="shared" si="49"/>
        <v>2088.75</v>
      </c>
      <c r="EN18" s="88">
        <f t="shared" si="50"/>
        <v>2.6999999999999996E-2</v>
      </c>
      <c r="EP18" s="87"/>
    </row>
    <row r="19" spans="1:146" x14ac:dyDescent="0.25">
      <c r="A19" s="35">
        <f t="shared" si="51"/>
        <v>43533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>
        <f>27850000</f>
        <v>27850000</v>
      </c>
      <c r="AJ19" s="121">
        <v>2.7E-2</v>
      </c>
      <c r="AK19" s="87">
        <f t="shared" si="9"/>
        <v>2088.75</v>
      </c>
      <c r="AL19" s="120"/>
      <c r="AM19" s="121"/>
      <c r="AN19" s="87">
        <f t="shared" si="10"/>
        <v>0</v>
      </c>
      <c r="AQ19" s="87">
        <f t="shared" si="11"/>
        <v>0</v>
      </c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27850000</v>
      </c>
      <c r="EC19" s="122">
        <f t="shared" si="41"/>
        <v>0</v>
      </c>
      <c r="ED19" s="87">
        <f t="shared" si="42"/>
        <v>2088.75</v>
      </c>
      <c r="EE19" s="88">
        <f t="shared" si="43"/>
        <v>2.6999999999999996E-2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27850000</v>
      </c>
      <c r="EL19" s="122">
        <f t="shared" si="48"/>
        <v>0</v>
      </c>
      <c r="EM19" s="122">
        <f t="shared" si="49"/>
        <v>2088.75</v>
      </c>
      <c r="EN19" s="88">
        <f t="shared" si="50"/>
        <v>2.6999999999999996E-2</v>
      </c>
      <c r="EP19" s="87"/>
    </row>
    <row r="20" spans="1:146" x14ac:dyDescent="0.25">
      <c r="A20" s="35">
        <f t="shared" si="51"/>
        <v>43534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>
        <f>27850000</f>
        <v>27850000</v>
      </c>
      <c r="AJ20" s="121">
        <v>2.7E-2</v>
      </c>
      <c r="AK20" s="87">
        <f t="shared" si="9"/>
        <v>2088.75</v>
      </c>
      <c r="AL20" s="120"/>
      <c r="AM20" s="121"/>
      <c r="AN20" s="87">
        <f t="shared" si="10"/>
        <v>0</v>
      </c>
      <c r="AQ20" s="87">
        <f t="shared" si="11"/>
        <v>0</v>
      </c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27850000</v>
      </c>
      <c r="EC20" s="122">
        <f t="shared" si="41"/>
        <v>0</v>
      </c>
      <c r="ED20" s="87">
        <f t="shared" si="42"/>
        <v>2088.75</v>
      </c>
      <c r="EE20" s="88">
        <f t="shared" si="43"/>
        <v>2.6999999999999996E-2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27850000</v>
      </c>
      <c r="EL20" s="122">
        <f t="shared" si="48"/>
        <v>0</v>
      </c>
      <c r="EM20" s="122">
        <f t="shared" si="49"/>
        <v>2088.75</v>
      </c>
      <c r="EN20" s="88">
        <f t="shared" si="50"/>
        <v>2.6999999999999996E-2</v>
      </c>
      <c r="EP20" s="87"/>
    </row>
    <row r="21" spans="1:146" x14ac:dyDescent="0.25">
      <c r="A21" s="35">
        <f t="shared" si="51"/>
        <v>43535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>
        <f>15875000</f>
        <v>15875000</v>
      </c>
      <c r="AJ21" s="121">
        <v>2.7E-2</v>
      </c>
      <c r="AK21" s="87">
        <f t="shared" si="9"/>
        <v>1190.625</v>
      </c>
      <c r="AL21" s="120"/>
      <c r="AM21" s="121"/>
      <c r="AN21" s="87">
        <f t="shared" si="10"/>
        <v>0</v>
      </c>
      <c r="AQ21" s="87">
        <f t="shared" si="11"/>
        <v>0</v>
      </c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15875000</v>
      </c>
      <c r="EC21" s="122">
        <f t="shared" si="41"/>
        <v>0</v>
      </c>
      <c r="ED21" s="87">
        <f t="shared" si="42"/>
        <v>1190.625</v>
      </c>
      <c r="EE21" s="88">
        <f t="shared" si="43"/>
        <v>2.6999999999999996E-2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15875000</v>
      </c>
      <c r="EL21" s="122">
        <f t="shared" si="48"/>
        <v>0</v>
      </c>
      <c r="EM21" s="122">
        <f t="shared" si="49"/>
        <v>1190.625</v>
      </c>
      <c r="EN21" s="88">
        <f t="shared" si="50"/>
        <v>2.6999999999999996E-2</v>
      </c>
      <c r="EP21" s="87"/>
    </row>
    <row r="22" spans="1:146" x14ac:dyDescent="0.25">
      <c r="A22" s="35">
        <f t="shared" si="51"/>
        <v>43536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>
        <f>5625000</f>
        <v>5625000</v>
      </c>
      <c r="AJ22" s="121">
        <v>2.7E-2</v>
      </c>
      <c r="AK22" s="87">
        <f t="shared" si="9"/>
        <v>421.875</v>
      </c>
      <c r="AL22" s="120"/>
      <c r="AM22" s="121"/>
      <c r="AN22" s="87">
        <f t="shared" si="10"/>
        <v>0</v>
      </c>
      <c r="AQ22" s="87">
        <f t="shared" si="11"/>
        <v>0</v>
      </c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5625000</v>
      </c>
      <c r="EC22" s="122">
        <f t="shared" si="41"/>
        <v>0</v>
      </c>
      <c r="ED22" s="87">
        <f t="shared" si="42"/>
        <v>421.875</v>
      </c>
      <c r="EE22" s="88">
        <f t="shared" si="43"/>
        <v>2.6999999999999996E-2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5625000</v>
      </c>
      <c r="EL22" s="122">
        <f t="shared" si="48"/>
        <v>0</v>
      </c>
      <c r="EM22" s="122">
        <f t="shared" si="49"/>
        <v>421.875</v>
      </c>
      <c r="EN22" s="88">
        <f t="shared" si="50"/>
        <v>2.6999999999999996E-2</v>
      </c>
      <c r="EP22" s="87"/>
    </row>
    <row r="23" spans="1:146" x14ac:dyDescent="0.25">
      <c r="A23" s="35">
        <f t="shared" si="51"/>
        <v>43537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>
        <f>24175000</f>
        <v>24175000</v>
      </c>
      <c r="AJ23" s="121">
        <v>2.7E-2</v>
      </c>
      <c r="AK23" s="87">
        <f t="shared" si="9"/>
        <v>1813.125</v>
      </c>
      <c r="AL23" s="120"/>
      <c r="AM23" s="121"/>
      <c r="AN23" s="87">
        <f t="shared" si="10"/>
        <v>0</v>
      </c>
      <c r="AQ23" s="87">
        <f t="shared" si="11"/>
        <v>0</v>
      </c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24175000</v>
      </c>
      <c r="EC23" s="122">
        <f t="shared" si="41"/>
        <v>0</v>
      </c>
      <c r="ED23" s="87">
        <f t="shared" si="42"/>
        <v>1813.125</v>
      </c>
      <c r="EE23" s="88">
        <f t="shared" si="43"/>
        <v>2.6999999999999996E-2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24175000</v>
      </c>
      <c r="EL23" s="122">
        <f t="shared" si="48"/>
        <v>0</v>
      </c>
      <c r="EM23" s="122">
        <f t="shared" si="49"/>
        <v>1813.125</v>
      </c>
      <c r="EN23" s="88">
        <f t="shared" si="50"/>
        <v>2.6999999999999996E-2</v>
      </c>
      <c r="EP23" s="87"/>
    </row>
    <row r="24" spans="1:146" x14ac:dyDescent="0.25">
      <c r="A24" s="35">
        <f t="shared" si="51"/>
        <v>43538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>
        <f>21775000</f>
        <v>21775000</v>
      </c>
      <c r="AJ24" s="121">
        <v>2.7E-2</v>
      </c>
      <c r="AK24" s="87">
        <f t="shared" si="9"/>
        <v>1633.125</v>
      </c>
      <c r="AL24" s="120"/>
      <c r="AM24" s="121"/>
      <c r="AN24" s="87">
        <f t="shared" si="10"/>
        <v>0</v>
      </c>
      <c r="AQ24" s="87">
        <f t="shared" si="11"/>
        <v>0</v>
      </c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21775000</v>
      </c>
      <c r="EC24" s="122">
        <f t="shared" si="41"/>
        <v>0</v>
      </c>
      <c r="ED24" s="87">
        <f t="shared" si="42"/>
        <v>1633.125</v>
      </c>
      <c r="EE24" s="88">
        <f t="shared" si="43"/>
        <v>2.6999999999999996E-2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21775000</v>
      </c>
      <c r="EL24" s="122">
        <f t="shared" si="48"/>
        <v>0</v>
      </c>
      <c r="EM24" s="122">
        <f t="shared" si="49"/>
        <v>1633.125</v>
      </c>
      <c r="EN24" s="88">
        <f t="shared" si="50"/>
        <v>2.6999999999999996E-2</v>
      </c>
      <c r="EP24" s="87"/>
    </row>
    <row r="25" spans="1:146" x14ac:dyDescent="0.25">
      <c r="A25" s="35">
        <f t="shared" si="51"/>
        <v>43539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>
        <f>72350000</f>
        <v>72350000</v>
      </c>
      <c r="AJ25" s="121">
        <v>2.7E-2</v>
      </c>
      <c r="AK25" s="87">
        <f t="shared" si="9"/>
        <v>5426.25</v>
      </c>
      <c r="AL25" s="120"/>
      <c r="AM25" s="121"/>
      <c r="AN25" s="87">
        <f t="shared" si="10"/>
        <v>0</v>
      </c>
      <c r="AQ25" s="87">
        <f t="shared" si="11"/>
        <v>0</v>
      </c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72350000</v>
      </c>
      <c r="EC25" s="122">
        <f t="shared" si="41"/>
        <v>0</v>
      </c>
      <c r="ED25" s="87">
        <f t="shared" si="42"/>
        <v>5426.25</v>
      </c>
      <c r="EE25" s="88">
        <f t="shared" si="43"/>
        <v>2.6999999999999996E-2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72350000</v>
      </c>
      <c r="EL25" s="122">
        <f t="shared" si="48"/>
        <v>0</v>
      </c>
      <c r="EM25" s="122">
        <f t="shared" si="49"/>
        <v>5426.25</v>
      </c>
      <c r="EN25" s="88">
        <f t="shared" si="50"/>
        <v>2.6999999999999996E-2</v>
      </c>
      <c r="EP25" s="87"/>
    </row>
    <row r="26" spans="1:146" x14ac:dyDescent="0.25">
      <c r="A26" s="35">
        <f t="shared" si="51"/>
        <v>43540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>
        <f>72350000</f>
        <v>72350000</v>
      </c>
      <c r="AJ26" s="121">
        <v>2.7E-2</v>
      </c>
      <c r="AK26" s="87">
        <f t="shared" si="9"/>
        <v>5426.25</v>
      </c>
      <c r="AL26" s="120"/>
      <c r="AM26" s="121"/>
      <c r="AN26" s="87">
        <f t="shared" si="10"/>
        <v>0</v>
      </c>
      <c r="AQ26" s="87">
        <f t="shared" si="11"/>
        <v>0</v>
      </c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72350000</v>
      </c>
      <c r="EC26" s="122">
        <f t="shared" si="41"/>
        <v>0</v>
      </c>
      <c r="ED26" s="87">
        <f t="shared" si="42"/>
        <v>5426.25</v>
      </c>
      <c r="EE26" s="88">
        <f t="shared" si="43"/>
        <v>2.6999999999999996E-2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72350000</v>
      </c>
      <c r="EL26" s="122">
        <f t="shared" si="48"/>
        <v>0</v>
      </c>
      <c r="EM26" s="122">
        <f t="shared" si="49"/>
        <v>5426.25</v>
      </c>
      <c r="EN26" s="88">
        <f t="shared" si="50"/>
        <v>2.6999999999999996E-2</v>
      </c>
      <c r="EP26" s="87"/>
    </row>
    <row r="27" spans="1:146" x14ac:dyDescent="0.25">
      <c r="A27" s="35">
        <f t="shared" si="51"/>
        <v>43541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>
        <f>72350000</f>
        <v>72350000</v>
      </c>
      <c r="AJ27" s="121">
        <v>2.7E-2</v>
      </c>
      <c r="AK27" s="87">
        <f t="shared" si="9"/>
        <v>5426.25</v>
      </c>
      <c r="AL27" s="120"/>
      <c r="AM27" s="121"/>
      <c r="AN27" s="87">
        <f t="shared" si="10"/>
        <v>0</v>
      </c>
      <c r="AQ27" s="87">
        <f t="shared" si="11"/>
        <v>0</v>
      </c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72350000</v>
      </c>
      <c r="EC27" s="122">
        <f t="shared" si="41"/>
        <v>0</v>
      </c>
      <c r="ED27" s="87">
        <f t="shared" si="42"/>
        <v>5426.25</v>
      </c>
      <c r="EE27" s="88">
        <f t="shared" si="43"/>
        <v>2.6999999999999996E-2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72350000</v>
      </c>
      <c r="EL27" s="122">
        <f t="shared" si="48"/>
        <v>0</v>
      </c>
      <c r="EM27" s="122">
        <f t="shared" si="49"/>
        <v>5426.25</v>
      </c>
      <c r="EN27" s="88">
        <f t="shared" si="50"/>
        <v>2.6999999999999996E-2</v>
      </c>
      <c r="EP27" s="87"/>
    </row>
    <row r="28" spans="1:146" x14ac:dyDescent="0.25">
      <c r="A28" s="35">
        <f t="shared" si="51"/>
        <v>43542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>
        <f>68425000</f>
        <v>68425000</v>
      </c>
      <c r="AJ28" s="121">
        <v>2.7E-2</v>
      </c>
      <c r="AK28" s="87">
        <f t="shared" si="9"/>
        <v>5131.875</v>
      </c>
      <c r="AL28" s="120"/>
      <c r="AM28" s="121"/>
      <c r="AN28" s="87">
        <f t="shared" si="10"/>
        <v>0</v>
      </c>
      <c r="AQ28" s="87">
        <f t="shared" si="11"/>
        <v>0</v>
      </c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68425000</v>
      </c>
      <c r="EC28" s="122">
        <f t="shared" si="41"/>
        <v>0</v>
      </c>
      <c r="ED28" s="87">
        <f t="shared" si="42"/>
        <v>5131.875</v>
      </c>
      <c r="EE28" s="88">
        <f t="shared" si="43"/>
        <v>2.6999999999999996E-2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68425000</v>
      </c>
      <c r="EL28" s="122">
        <f t="shared" si="48"/>
        <v>0</v>
      </c>
      <c r="EM28" s="122">
        <f t="shared" si="49"/>
        <v>5131.875</v>
      </c>
      <c r="EN28" s="88">
        <f t="shared" si="50"/>
        <v>2.6999999999999996E-2</v>
      </c>
      <c r="EP28" s="87"/>
    </row>
    <row r="29" spans="1:146" x14ac:dyDescent="0.25">
      <c r="A29" s="35">
        <f t="shared" si="51"/>
        <v>43543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57325000</f>
        <v>57325000</v>
      </c>
      <c r="AJ29" s="121">
        <v>2.7E-2</v>
      </c>
      <c r="AK29" s="87">
        <f t="shared" si="9"/>
        <v>4299.375</v>
      </c>
      <c r="AL29" s="120"/>
      <c r="AM29" s="121"/>
      <c r="AN29" s="87">
        <f t="shared" si="10"/>
        <v>0</v>
      </c>
      <c r="AQ29" s="87">
        <f t="shared" si="11"/>
        <v>0</v>
      </c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57325000</v>
      </c>
      <c r="EC29" s="122">
        <f t="shared" si="41"/>
        <v>0</v>
      </c>
      <c r="ED29" s="87">
        <f t="shared" si="42"/>
        <v>4299.375</v>
      </c>
      <c r="EE29" s="88">
        <f t="shared" si="43"/>
        <v>2.6999999999999996E-2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57325000</v>
      </c>
      <c r="EL29" s="122">
        <f t="shared" si="48"/>
        <v>0</v>
      </c>
      <c r="EM29" s="122">
        <f t="shared" si="49"/>
        <v>4299.375</v>
      </c>
      <c r="EN29" s="88">
        <f t="shared" si="50"/>
        <v>2.6999999999999996E-2</v>
      </c>
      <c r="EP29" s="87"/>
    </row>
    <row r="30" spans="1:146" x14ac:dyDescent="0.25">
      <c r="A30" s="35">
        <f t="shared" si="51"/>
        <v>43544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51775000</f>
        <v>51775000</v>
      </c>
      <c r="AJ30" s="121">
        <v>2.7E-2</v>
      </c>
      <c r="AK30" s="87">
        <f t="shared" si="9"/>
        <v>3883.125</v>
      </c>
      <c r="AL30" s="120"/>
      <c r="AM30" s="121"/>
      <c r="AN30" s="87">
        <f t="shared" si="10"/>
        <v>0</v>
      </c>
      <c r="AQ30" s="87">
        <f t="shared" si="11"/>
        <v>0</v>
      </c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51775000</v>
      </c>
      <c r="EC30" s="122">
        <f t="shared" si="41"/>
        <v>0</v>
      </c>
      <c r="ED30" s="87">
        <f t="shared" si="42"/>
        <v>3883.125</v>
      </c>
      <c r="EE30" s="88">
        <f t="shared" si="43"/>
        <v>2.6999999999999996E-2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51775000</v>
      </c>
      <c r="EL30" s="122">
        <f t="shared" si="48"/>
        <v>0</v>
      </c>
      <c r="EM30" s="122">
        <f t="shared" si="49"/>
        <v>3883.125</v>
      </c>
      <c r="EN30" s="88">
        <f t="shared" si="50"/>
        <v>2.6999999999999996E-2</v>
      </c>
      <c r="EP30" s="87"/>
    </row>
    <row r="31" spans="1:146" x14ac:dyDescent="0.25">
      <c r="A31" s="35">
        <f t="shared" si="51"/>
        <v>43545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>
        <f>42575000</f>
        <v>42575000</v>
      </c>
      <c r="AJ31" s="121">
        <v>2.7E-2</v>
      </c>
      <c r="AK31" s="87">
        <f t="shared" si="9"/>
        <v>3193.125</v>
      </c>
      <c r="AL31" s="120"/>
      <c r="AM31" s="121"/>
      <c r="AN31" s="87">
        <f t="shared" si="10"/>
        <v>0</v>
      </c>
      <c r="AQ31" s="87">
        <f t="shared" si="11"/>
        <v>0</v>
      </c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42575000</v>
      </c>
      <c r="EC31" s="122">
        <f t="shared" si="41"/>
        <v>0</v>
      </c>
      <c r="ED31" s="87">
        <f t="shared" si="42"/>
        <v>3193.125</v>
      </c>
      <c r="EE31" s="88">
        <f t="shared" si="43"/>
        <v>2.6999999999999996E-2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42575000</v>
      </c>
      <c r="EL31" s="122">
        <f t="shared" si="48"/>
        <v>0</v>
      </c>
      <c r="EM31" s="122">
        <f t="shared" si="49"/>
        <v>3193.125</v>
      </c>
      <c r="EN31" s="88">
        <f t="shared" si="50"/>
        <v>2.6999999999999996E-2</v>
      </c>
      <c r="EP31" s="87"/>
    </row>
    <row r="32" spans="1:146" x14ac:dyDescent="0.25">
      <c r="A32" s="35">
        <f t="shared" si="51"/>
        <v>43546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f>47800000</f>
        <v>47800000</v>
      </c>
      <c r="AJ32" s="121">
        <v>2.7E-2</v>
      </c>
      <c r="AK32" s="87">
        <f t="shared" si="9"/>
        <v>3585</v>
      </c>
      <c r="AL32" s="120"/>
      <c r="AM32" s="121"/>
      <c r="AN32" s="87">
        <f t="shared" si="10"/>
        <v>0</v>
      </c>
      <c r="AQ32" s="87">
        <f t="shared" si="11"/>
        <v>0</v>
      </c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47800000</v>
      </c>
      <c r="EC32" s="122">
        <f t="shared" si="41"/>
        <v>0</v>
      </c>
      <c r="ED32" s="87">
        <f t="shared" si="42"/>
        <v>3585</v>
      </c>
      <c r="EE32" s="88">
        <f t="shared" si="43"/>
        <v>2.6999999999999996E-2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47800000</v>
      </c>
      <c r="EL32" s="122">
        <f t="shared" si="48"/>
        <v>0</v>
      </c>
      <c r="EM32" s="122">
        <f t="shared" si="49"/>
        <v>3585</v>
      </c>
      <c r="EN32" s="88">
        <f t="shared" si="50"/>
        <v>2.6999999999999996E-2</v>
      </c>
      <c r="EP32" s="87"/>
    </row>
    <row r="33" spans="1:146" x14ac:dyDescent="0.25">
      <c r="A33" s="35">
        <f t="shared" si="51"/>
        <v>43547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47800000</f>
        <v>47800000</v>
      </c>
      <c r="AJ33" s="121">
        <v>2.7E-2</v>
      </c>
      <c r="AK33" s="87">
        <f t="shared" si="9"/>
        <v>3585</v>
      </c>
      <c r="AL33" s="120"/>
      <c r="AM33" s="121"/>
      <c r="AN33" s="87">
        <f t="shared" si="10"/>
        <v>0</v>
      </c>
      <c r="AQ33" s="87">
        <f t="shared" si="11"/>
        <v>0</v>
      </c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47800000</v>
      </c>
      <c r="EC33" s="122">
        <f t="shared" si="41"/>
        <v>0</v>
      </c>
      <c r="ED33" s="87">
        <f t="shared" si="42"/>
        <v>3585</v>
      </c>
      <c r="EE33" s="88">
        <f t="shared" si="43"/>
        <v>2.6999999999999996E-2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47800000</v>
      </c>
      <c r="EL33" s="122">
        <f t="shared" si="48"/>
        <v>0</v>
      </c>
      <c r="EM33" s="122">
        <f t="shared" si="49"/>
        <v>3585</v>
      </c>
      <c r="EN33" s="88">
        <f t="shared" si="50"/>
        <v>2.6999999999999996E-2</v>
      </c>
      <c r="EP33" s="87"/>
    </row>
    <row r="34" spans="1:146" x14ac:dyDescent="0.25">
      <c r="A34" s="35">
        <f t="shared" si="51"/>
        <v>43548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47800000</f>
        <v>47800000</v>
      </c>
      <c r="AJ34" s="121">
        <v>2.7E-2</v>
      </c>
      <c r="AK34" s="87">
        <f t="shared" si="9"/>
        <v>3585</v>
      </c>
      <c r="AL34" s="120"/>
      <c r="AM34" s="121"/>
      <c r="AN34" s="87">
        <f t="shared" si="10"/>
        <v>0</v>
      </c>
      <c r="AQ34" s="87">
        <f t="shared" si="11"/>
        <v>0</v>
      </c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47800000</v>
      </c>
      <c r="EC34" s="122">
        <f t="shared" si="41"/>
        <v>0</v>
      </c>
      <c r="ED34" s="87">
        <f t="shared" si="42"/>
        <v>3585</v>
      </c>
      <c r="EE34" s="88">
        <f t="shared" si="43"/>
        <v>2.6999999999999996E-2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47800000</v>
      </c>
      <c r="EL34" s="122">
        <f t="shared" si="48"/>
        <v>0</v>
      </c>
      <c r="EM34" s="122">
        <f t="shared" si="49"/>
        <v>3585</v>
      </c>
      <c r="EN34" s="88">
        <f t="shared" si="50"/>
        <v>2.6999999999999996E-2</v>
      </c>
      <c r="EP34" s="87"/>
    </row>
    <row r="35" spans="1:146" x14ac:dyDescent="0.25">
      <c r="A35" s="35">
        <f t="shared" si="51"/>
        <v>43549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45000000</f>
        <v>45000000</v>
      </c>
      <c r="AJ35" s="121">
        <v>2.7E-2</v>
      </c>
      <c r="AK35" s="87">
        <f t="shared" si="9"/>
        <v>3375</v>
      </c>
      <c r="AL35" s="120"/>
      <c r="AM35" s="121"/>
      <c r="AN35" s="87">
        <f t="shared" si="10"/>
        <v>0</v>
      </c>
      <c r="AQ35" s="87">
        <f t="shared" si="11"/>
        <v>0</v>
      </c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45000000</v>
      </c>
      <c r="EC35" s="122">
        <f t="shared" si="41"/>
        <v>0</v>
      </c>
      <c r="ED35" s="87">
        <f t="shared" si="42"/>
        <v>3375</v>
      </c>
      <c r="EE35" s="88">
        <f t="shared" si="43"/>
        <v>2.6999999999999996E-2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45000000</v>
      </c>
      <c r="EL35" s="122">
        <f t="shared" si="48"/>
        <v>0</v>
      </c>
      <c r="EM35" s="122">
        <f t="shared" si="49"/>
        <v>3375</v>
      </c>
      <c r="EN35" s="88">
        <f t="shared" si="50"/>
        <v>2.6999999999999996E-2</v>
      </c>
      <c r="EP35" s="87"/>
    </row>
    <row r="36" spans="1:146" x14ac:dyDescent="0.25">
      <c r="A36" s="35">
        <f t="shared" si="51"/>
        <v>43550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34375000</f>
        <v>34375000</v>
      </c>
      <c r="AJ36" s="121">
        <v>2.7E-2</v>
      </c>
      <c r="AK36" s="87">
        <f t="shared" si="9"/>
        <v>2578.125</v>
      </c>
      <c r="AL36" s="120"/>
      <c r="AM36" s="121"/>
      <c r="AN36" s="87">
        <f t="shared" si="10"/>
        <v>0</v>
      </c>
      <c r="AQ36" s="87">
        <f t="shared" si="11"/>
        <v>0</v>
      </c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34375000</v>
      </c>
      <c r="EC36" s="122">
        <f t="shared" si="41"/>
        <v>0</v>
      </c>
      <c r="ED36" s="87">
        <f t="shared" si="42"/>
        <v>2578.125</v>
      </c>
      <c r="EE36" s="88">
        <f t="shared" si="43"/>
        <v>2.6999999999999996E-2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34375000</v>
      </c>
      <c r="EL36" s="122">
        <f t="shared" si="48"/>
        <v>0</v>
      </c>
      <c r="EM36" s="122">
        <f t="shared" si="49"/>
        <v>2578.125</v>
      </c>
      <c r="EN36" s="88">
        <f t="shared" si="50"/>
        <v>2.6999999999999996E-2</v>
      </c>
      <c r="EP36" s="87"/>
    </row>
    <row r="37" spans="1:146" x14ac:dyDescent="0.25">
      <c r="A37" s="35">
        <f t="shared" si="51"/>
        <v>43551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25450000</f>
        <v>25450000</v>
      </c>
      <c r="AJ37" s="121">
        <v>2.7E-2</v>
      </c>
      <c r="AK37" s="87">
        <f t="shared" si="9"/>
        <v>1908.75</v>
      </c>
      <c r="AL37" s="120"/>
      <c r="AM37" s="121"/>
      <c r="AN37" s="87">
        <f t="shared" si="10"/>
        <v>0</v>
      </c>
      <c r="AQ37" s="87">
        <f t="shared" si="11"/>
        <v>0</v>
      </c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25450000</v>
      </c>
      <c r="EC37" s="122">
        <f t="shared" si="41"/>
        <v>0</v>
      </c>
      <c r="ED37" s="87">
        <f t="shared" si="42"/>
        <v>1908.75</v>
      </c>
      <c r="EE37" s="88">
        <f t="shared" si="43"/>
        <v>2.6999999999999996E-2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25450000</v>
      </c>
      <c r="EL37" s="122">
        <f t="shared" si="48"/>
        <v>0</v>
      </c>
      <c r="EM37" s="122">
        <f t="shared" si="49"/>
        <v>1908.75</v>
      </c>
      <c r="EN37" s="88">
        <f t="shared" si="50"/>
        <v>2.6999999999999996E-2</v>
      </c>
      <c r="EP37" s="87"/>
    </row>
    <row r="38" spans="1:146" x14ac:dyDescent="0.25">
      <c r="A38" s="35">
        <f t="shared" si="51"/>
        <v>43552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f>38650000</f>
        <v>38650000</v>
      </c>
      <c r="AJ38" s="121">
        <v>2.7E-2</v>
      </c>
      <c r="AK38" s="87">
        <f t="shared" si="9"/>
        <v>2898.75</v>
      </c>
      <c r="AL38" s="120"/>
      <c r="AM38" s="121"/>
      <c r="AN38" s="87">
        <f t="shared" si="10"/>
        <v>0</v>
      </c>
      <c r="AQ38" s="87">
        <f t="shared" si="11"/>
        <v>0</v>
      </c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38650000</v>
      </c>
      <c r="EC38" s="122">
        <f t="shared" si="41"/>
        <v>0</v>
      </c>
      <c r="ED38" s="87">
        <f t="shared" si="42"/>
        <v>2898.75</v>
      </c>
      <c r="EE38" s="88">
        <f t="shared" si="43"/>
        <v>2.6999999999999996E-2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38650000</v>
      </c>
      <c r="EL38" s="122">
        <f t="shared" si="48"/>
        <v>0</v>
      </c>
      <c r="EM38" s="122">
        <f t="shared" si="49"/>
        <v>2898.75</v>
      </c>
      <c r="EN38" s="88">
        <f t="shared" si="50"/>
        <v>2.6999999999999996E-2</v>
      </c>
      <c r="EP38" s="87"/>
    </row>
    <row r="39" spans="1:146" x14ac:dyDescent="0.25">
      <c r="A39" s="35">
        <f t="shared" si="51"/>
        <v>43553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>
        <f>54750000</f>
        <v>54750000</v>
      </c>
      <c r="AJ39" s="121">
        <v>2.7E-2</v>
      </c>
      <c r="AK39" s="87">
        <f t="shared" si="9"/>
        <v>4106.25</v>
      </c>
      <c r="AL39" s="120"/>
      <c r="AM39" s="121"/>
      <c r="AN39" s="87">
        <f t="shared" si="10"/>
        <v>0</v>
      </c>
      <c r="AQ39" s="87">
        <f t="shared" si="11"/>
        <v>0</v>
      </c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54750000</v>
      </c>
      <c r="EC39" s="122">
        <f t="shared" si="41"/>
        <v>0</v>
      </c>
      <c r="ED39" s="87">
        <f t="shared" si="42"/>
        <v>4106.25</v>
      </c>
      <c r="EE39" s="88">
        <f t="shared" si="43"/>
        <v>2.6999999999999996E-2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54750000</v>
      </c>
      <c r="EL39" s="122">
        <f t="shared" si="48"/>
        <v>0</v>
      </c>
      <c r="EM39" s="122">
        <f t="shared" si="49"/>
        <v>4106.25</v>
      </c>
      <c r="EN39" s="88">
        <f t="shared" si="50"/>
        <v>2.6999999999999996E-2</v>
      </c>
      <c r="EP39" s="87"/>
    </row>
    <row r="40" spans="1:146" x14ac:dyDescent="0.25">
      <c r="A40" s="35">
        <f t="shared" si="51"/>
        <v>43554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>
        <f>54750000</f>
        <v>54750000</v>
      </c>
      <c r="AJ40" s="121">
        <v>2.7E-2</v>
      </c>
      <c r="AK40" s="87">
        <f t="shared" si="9"/>
        <v>4106.25</v>
      </c>
      <c r="AL40" s="120"/>
      <c r="AM40" s="121"/>
      <c r="AN40" s="87">
        <f t="shared" si="10"/>
        <v>0</v>
      </c>
      <c r="AQ40" s="87">
        <f t="shared" si="11"/>
        <v>0</v>
      </c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54750000</v>
      </c>
      <c r="EC40" s="122">
        <f t="shared" si="41"/>
        <v>0</v>
      </c>
      <c r="ED40" s="87">
        <f t="shared" si="42"/>
        <v>4106.25</v>
      </c>
      <c r="EE40" s="88">
        <f t="shared" si="43"/>
        <v>2.6999999999999996E-2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54750000</v>
      </c>
      <c r="EL40" s="122">
        <f t="shared" si="48"/>
        <v>0</v>
      </c>
      <c r="EM40" s="122">
        <f t="shared" si="49"/>
        <v>4106.25</v>
      </c>
      <c r="EN40" s="88">
        <f t="shared" si="50"/>
        <v>2.6999999999999996E-2</v>
      </c>
      <c r="EP40" s="87"/>
    </row>
    <row r="41" spans="1:146" x14ac:dyDescent="0.25">
      <c r="A41" s="35">
        <f t="shared" si="51"/>
        <v>43555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>
        <f>54750000</f>
        <v>54750000</v>
      </c>
      <c r="AJ41" s="121">
        <v>2.7E-2</v>
      </c>
      <c r="AK41" s="87">
        <f t="shared" si="9"/>
        <v>4106.25</v>
      </c>
      <c r="AL41" s="120"/>
      <c r="AM41" s="121"/>
      <c r="AN41" s="87">
        <f t="shared" si="10"/>
        <v>0</v>
      </c>
      <c r="AQ41" s="87">
        <f t="shared" si="11"/>
        <v>0</v>
      </c>
      <c r="AT41" s="87">
        <f t="shared" si="12"/>
        <v>0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54750000</v>
      </c>
      <c r="EC41" s="122">
        <f t="shared" si="41"/>
        <v>0</v>
      </c>
      <c r="ED41" s="87">
        <f t="shared" si="42"/>
        <v>4106.25</v>
      </c>
      <c r="EE41" s="88">
        <f t="shared" si="43"/>
        <v>2.6999999999999996E-2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54750000</v>
      </c>
      <c r="EL41" s="122">
        <f t="shared" si="48"/>
        <v>0</v>
      </c>
      <c r="EM41" s="122">
        <f t="shared" si="49"/>
        <v>4106.25</v>
      </c>
      <c r="EN41" s="88">
        <f t="shared" si="50"/>
        <v>2.6999999999999996E-2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106807.5</v>
      </c>
      <c r="AN42" s="124">
        <f>SUM(AN11:AN41)</f>
        <v>13611.111111111111</v>
      </c>
      <c r="AQ42" s="124">
        <f>SUM(AQ11:AQ41)</f>
        <v>11791.666666666668</v>
      </c>
      <c r="AT42" s="124">
        <f>SUM(AT11:AT41)</f>
        <v>148437.5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280647.77777777775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280647.77777777775</v>
      </c>
      <c r="EN42" s="88"/>
      <c r="EP42" s="87"/>
    </row>
    <row r="44" spans="1:146" x14ac:dyDescent="0.25">
      <c r="EM44" s="125"/>
    </row>
    <row r="46" spans="1:146" x14ac:dyDescent="0.25">
      <c r="EM46" s="8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Q48"/>
  <sheetViews>
    <sheetView workbookViewId="0">
      <selection activeCell="C14" sqref="C14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4" width="14.42578125" bestFit="1" customWidth="1"/>
    <col min="145" max="145" width="42.85546875" bestFit="1" customWidth="1"/>
    <col min="146" max="146" width="18.140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EB40</f>
        <v>92325000</v>
      </c>
      <c r="EI2" s="85">
        <f>EG40</f>
        <v>0</v>
      </c>
      <c r="EM2" s="85"/>
      <c r="EN2" s="85">
        <f>EK40</f>
        <v>92325000</v>
      </c>
      <c r="EO2" s="78">
        <v>0</v>
      </c>
      <c r="EP2" s="78">
        <f>EN2+EO2</f>
        <v>92325000</v>
      </c>
      <c r="EQ2" s="78">
        <f>EE2+EO2</f>
        <v>92325000</v>
      </c>
    </row>
    <row r="3" spans="1:147" ht="16.5" thickTop="1" x14ac:dyDescent="0.25">
      <c r="A3" s="86" t="s">
        <v>171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AVERAGE(EB11:EB40)</f>
        <v>73955000</v>
      </c>
      <c r="EI3" s="85">
        <f>AVERAGE(EG11:EG40)</f>
        <v>0</v>
      </c>
      <c r="EM3" s="85"/>
      <c r="EN3" s="85">
        <f>AVERAGE(EK11:EK40)</f>
        <v>73955000</v>
      </c>
    </row>
    <row r="4" spans="1:147" x14ac:dyDescent="0.25">
      <c r="D4" s="33"/>
      <c r="E4" s="95" t="s">
        <v>102</v>
      </c>
      <c r="F4" s="85"/>
      <c r="G4" s="96">
        <f>EQ2</f>
        <v>92325000</v>
      </c>
      <c r="AI4" s="97" t="s">
        <v>106</v>
      </c>
      <c r="EB4" s="33" t="s">
        <v>107</v>
      </c>
      <c r="EC4" s="33"/>
      <c r="ED4" s="93"/>
      <c r="EE4" s="93">
        <f>IF(EE3=0,0,360*(AVERAGE(ED11:ED40)/EE3))</f>
        <v>2.6622737926216396E-2</v>
      </c>
      <c r="EI4" s="93">
        <f>IF(EI3=0,0,360*(AVERAGE(EH11:EH40)/EI3))</f>
        <v>0</v>
      </c>
      <c r="EM4" s="93"/>
      <c r="EN4" s="93">
        <f>IF(EN3=0,0,360*(AVERAGE(EM11:EM40)/EN3))</f>
        <v>2.6622737926216396E-2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73955000</v>
      </c>
      <c r="AI5" s="100" t="s">
        <v>97</v>
      </c>
      <c r="EB5" s="101" t="s">
        <v>109</v>
      </c>
      <c r="EC5" s="101"/>
      <c r="ED5" s="85"/>
      <c r="EE5" s="85">
        <f>MAX(EB11:EB40)</f>
        <v>92325000</v>
      </c>
      <c r="EI5" s="85">
        <f>MAX(EG11:EG40)</f>
        <v>0</v>
      </c>
      <c r="EM5" s="85"/>
      <c r="EN5" s="85">
        <f>MAX(EK11:EK40)</f>
        <v>92325000</v>
      </c>
    </row>
    <row r="6" spans="1:147" x14ac:dyDescent="0.25">
      <c r="D6" s="33"/>
      <c r="E6" s="95" t="s">
        <v>107</v>
      </c>
      <c r="F6" s="85"/>
      <c r="G6" s="102">
        <f>EE4</f>
        <v>2.6622737926216396E-2</v>
      </c>
    </row>
    <row r="7" spans="1:147" ht="16.5" thickBot="1" x14ac:dyDescent="0.3">
      <c r="D7" s="33"/>
      <c r="E7" s="103" t="s">
        <v>109</v>
      </c>
      <c r="F7" s="104"/>
      <c r="G7" s="105">
        <f>EE5</f>
        <v>92325000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43556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82025000</f>
        <v>82025000</v>
      </c>
      <c r="AJ11" s="121">
        <v>2.7E-2</v>
      </c>
      <c r="AK11" s="87">
        <f>(AI11*AJ11)/360</f>
        <v>6151.875</v>
      </c>
      <c r="AN11" s="87">
        <f>(AL11*AM11)/360</f>
        <v>0</v>
      </c>
      <c r="AQ11" s="87">
        <f>(AO11*AP11)/360</f>
        <v>0</v>
      </c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82025000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6151.875</v>
      </c>
      <c r="EE11" s="88">
        <f>IF(EB11&lt;&gt;0,((ED11/EB11)*360),0)</f>
        <v>2.6999999999999996E-2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82025000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6151.875</v>
      </c>
      <c r="EN11" s="88">
        <f>IF(EK11&lt;&gt;0,((EM11/EK11)*360),0)</f>
        <v>2.6999999999999996E-2</v>
      </c>
    </row>
    <row r="12" spans="1:147" x14ac:dyDescent="0.25">
      <c r="A12" s="35">
        <f>1+A11</f>
        <v>43557</v>
      </c>
      <c r="D12" s="87">
        <f t="shared" ref="D12:D40" si="0">(B12*C12)/360</f>
        <v>0</v>
      </c>
      <c r="G12" s="87">
        <f t="shared" ref="G12:G40" si="1">(E12*F12)/360</f>
        <v>0</v>
      </c>
      <c r="J12" s="87">
        <f t="shared" ref="J12:J40" si="2">(H12*I12)/360</f>
        <v>0</v>
      </c>
      <c r="M12" s="87">
        <f t="shared" ref="M12:M40" si="3">(K12*L12)/360</f>
        <v>0</v>
      </c>
      <c r="P12" s="87">
        <f t="shared" ref="P12:P40" si="4">(N12*O12)/360</f>
        <v>0</v>
      </c>
      <c r="S12" s="87">
        <f t="shared" ref="S12:S40" si="5">(Q12*R12)/360</f>
        <v>0</v>
      </c>
      <c r="V12" s="87">
        <f t="shared" ref="V12:V40" si="6">(T12*U12)/360</f>
        <v>0</v>
      </c>
      <c r="Y12" s="87">
        <f t="shared" ref="Y12:Y40" si="7">(W12*X12)/360</f>
        <v>0</v>
      </c>
      <c r="AB12" s="87">
        <f t="shared" ref="AB12:AB40" si="8">(Z12*AA12)/360</f>
        <v>0</v>
      </c>
      <c r="AE12" s="87">
        <v>0</v>
      </c>
      <c r="AH12" s="87">
        <v>0</v>
      </c>
      <c r="AI12" s="120">
        <f>66700000</f>
        <v>66700000</v>
      </c>
      <c r="AJ12" s="121">
        <v>2.7E-2</v>
      </c>
      <c r="AK12" s="87">
        <f t="shared" ref="AK12:AK40" si="9">(AI12*AJ12)/360</f>
        <v>5002.5</v>
      </c>
      <c r="AN12" s="87">
        <f t="shared" ref="AN12:AN40" si="10">(AL12*AM12)/360</f>
        <v>0</v>
      </c>
      <c r="AQ12" s="87">
        <f t="shared" ref="AQ12:AQ40" si="11">(AO12*AP12)/360</f>
        <v>0</v>
      </c>
      <c r="AT12" s="87">
        <f t="shared" ref="AT12:AT40" si="12">(AR12*AS12)/360</f>
        <v>0</v>
      </c>
      <c r="AW12" s="87">
        <f t="shared" ref="AW12:AW40" si="13">(AU12*AV12)/360</f>
        <v>0</v>
      </c>
      <c r="AZ12" s="87">
        <f t="shared" ref="AZ12:AZ40" si="14">(AX12*AY12)/360</f>
        <v>0</v>
      </c>
      <c r="BC12" s="87">
        <f t="shared" ref="BC12:BC40" si="15">(BA12*BB12)/360</f>
        <v>0</v>
      </c>
      <c r="BF12" s="87">
        <f t="shared" ref="BF12:BF40" si="16">(BD12*BE12)/360</f>
        <v>0</v>
      </c>
      <c r="BI12" s="87">
        <f t="shared" ref="BI12:BI40" si="17">(BG12*BH12)/360</f>
        <v>0</v>
      </c>
      <c r="BL12" s="87">
        <f t="shared" ref="BL12:BL40" si="18">(BJ12*BK12)/360</f>
        <v>0</v>
      </c>
      <c r="BO12" s="87">
        <f t="shared" ref="BO12:BO40" si="19">(BM12*BN12)/360</f>
        <v>0</v>
      </c>
      <c r="BR12" s="87">
        <f t="shared" ref="BR12:BR40" si="20">(BP12*BQ12)/360</f>
        <v>0</v>
      </c>
      <c r="BU12" s="87">
        <f t="shared" ref="BU12:BU40" si="21">(BS12*BT12)/360</f>
        <v>0</v>
      </c>
      <c r="BX12" s="87">
        <f t="shared" ref="BX12:BX40" si="22">(BV12*BW12)/360</f>
        <v>0</v>
      </c>
      <c r="CA12" s="87">
        <f t="shared" ref="CA12:CA40" si="23">(BY12*BZ12)/360</f>
        <v>0</v>
      </c>
      <c r="CD12" s="87">
        <f t="shared" ref="CD12:CD40" si="24">(CB12*CC12)/360</f>
        <v>0</v>
      </c>
      <c r="CG12" s="87">
        <f t="shared" ref="CG12:CG40" si="25">(CE12*CF12)/360</f>
        <v>0</v>
      </c>
      <c r="CJ12" s="87">
        <f t="shared" ref="CJ12:CJ40" si="26">(CH12*CI12)/360</f>
        <v>0</v>
      </c>
      <c r="CM12" s="87">
        <f t="shared" ref="CM12:CM40" si="27">(CK12*CL12)/360</f>
        <v>0</v>
      </c>
      <c r="CP12" s="87">
        <f t="shared" ref="CP12:CP40" si="28">(CN12*CO12)/360</f>
        <v>0</v>
      </c>
      <c r="CS12" s="87">
        <f t="shared" ref="CS12:CS40" si="29">(CQ12*CR12)/360</f>
        <v>0</v>
      </c>
      <c r="CV12" s="87">
        <f t="shared" ref="CV12:CV40" si="30">(CT12*CU12)/360</f>
        <v>0</v>
      </c>
      <c r="CY12" s="87">
        <f t="shared" ref="CY12:CY40" si="31">(CW12*CX12)/360</f>
        <v>0</v>
      </c>
      <c r="DB12" s="87">
        <f t="shared" ref="DB12:DB40" si="32">(CZ12*DA12)/360</f>
        <v>0</v>
      </c>
      <c r="DE12" s="87">
        <f t="shared" ref="DE12:DE40" si="33">(DC12*DD12)/360</f>
        <v>0</v>
      </c>
      <c r="DH12" s="87">
        <f t="shared" ref="DH12:DH40" si="34">(DF12*DG12)/360</f>
        <v>0</v>
      </c>
      <c r="DK12" s="87">
        <f t="shared" ref="DK12:DK40" si="35">(DI12*DJ12)/360</f>
        <v>0</v>
      </c>
      <c r="DN12" s="87">
        <f t="shared" ref="DN12:DN40" si="36">(DL12*DM12)/360</f>
        <v>0</v>
      </c>
      <c r="DQ12" s="87">
        <f t="shared" ref="DQ12:DQ40" si="37">(DO12*DP12)/360</f>
        <v>0</v>
      </c>
      <c r="DT12" s="87">
        <f t="shared" ref="DT12:DT40" si="38">(DR12*DS12)/360</f>
        <v>0</v>
      </c>
      <c r="DW12" s="87">
        <f t="shared" ref="DW12:DW40" si="39">(DU12*DV12)/360</f>
        <v>0</v>
      </c>
      <c r="DZ12" s="87"/>
      <c r="EA12" s="87"/>
      <c r="EB12" s="122">
        <f t="shared" ref="EB12:EB40" si="40">B12+E12+H12+K12+N12+Q12+T12+W12+Z12+AC12+AF12+AL12+AO12+AR12+AU12+AX12+BA12+BD12+BG12+DU12+AI12+DR12+DO12+DL12+DI12+DF12+DC12+CZ12+CW12+CT12+CQ12+CN12+CK12+CH12+CE12+CB12+BY12+BV12+BS12+BP12+BM12+BJ12</f>
        <v>66700000</v>
      </c>
      <c r="EC12" s="122">
        <f t="shared" ref="EC12:EC40" si="41">EB12-EK12+EL12</f>
        <v>0</v>
      </c>
      <c r="ED12" s="87">
        <f t="shared" ref="ED12:ED40" si="42">D12+G12+J12+M12+P12+S12+V12+Y12+AB12+AE12+AH12+AK12+AN12+AQ12+AT12+AW12+AZ12+BC12+BF12+BI12+DW12+DT12+DQ12+DN12+DK12+DH12+DE12+DB12+CY12+CV12+CS12+CP12+CM12+CJ12+CG12+CD12+CA12+BX12+BU12+BR12+BO12+BL12</f>
        <v>5002.5</v>
      </c>
      <c r="EE12" s="88">
        <f t="shared" ref="EE12:EE40" si="43">IF(EB12&lt;&gt;0,((ED12/EB12)*360),0)</f>
        <v>2.6999999999999996E-2</v>
      </c>
      <c r="EG12" s="122">
        <f t="shared" ref="EG12:EG40" si="44">Q12+T12+W12+Z12+AC12+AF12</f>
        <v>0</v>
      </c>
      <c r="EH12" s="87">
        <f t="shared" ref="EH12:EH40" si="45">S12+V12+Y12+AB12+AE12+AH12</f>
        <v>0</v>
      </c>
      <c r="EI12" s="88">
        <f t="shared" ref="EI12:EI40" si="46">IF(EG12&lt;&gt;0,((EH12/EG12)*360),0)</f>
        <v>0</v>
      </c>
      <c r="EJ12" s="88"/>
      <c r="EK12" s="122">
        <f t="shared" ref="EK12:EK40" si="47">DR12+DL12+DI12+DF12+DC12+CZ12+CW12+CT12+CQ12+CN12+CK12+CH12+CE12+CB12+BY12+BV12+BS12+BP12+BM12+BJ12+BG12+BD12+BA12+AX12+AU12+AR12+AO12+AL12+AI12+DO12</f>
        <v>66700000</v>
      </c>
      <c r="EL12" s="122">
        <f t="shared" ref="EL12:EL40" si="48">DX12</f>
        <v>0</v>
      </c>
      <c r="EM12" s="122">
        <f t="shared" ref="EM12:EM40" si="49">DT12+DQ12+DN12+DK12+DH12+DE12+DB12+CY12+CV12+CS12+CP12+CM12+CJ12+CG12+CD12+CA12+BX12+BU12+BR12+BO12+BL12+BI12+BF12+BC12+AZ12+AW12+AT12+AQ12+AN12+AK12</f>
        <v>5002.5</v>
      </c>
      <c r="EN12" s="88">
        <f t="shared" ref="EN12:EN40" si="50">IF(EK12&lt;&gt;0,((EM12/EK12)*360),0)</f>
        <v>2.6999999999999996E-2</v>
      </c>
    </row>
    <row r="13" spans="1:147" x14ac:dyDescent="0.25">
      <c r="A13" s="35">
        <f t="shared" ref="A13:A40" si="51">1+A12</f>
        <v>43558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59775000</f>
        <v>59775000</v>
      </c>
      <c r="AJ13" s="121">
        <v>2.7E-2</v>
      </c>
      <c r="AK13" s="87">
        <f t="shared" si="9"/>
        <v>4483.125</v>
      </c>
      <c r="AN13" s="87">
        <f t="shared" si="10"/>
        <v>0</v>
      </c>
      <c r="AQ13" s="87">
        <f t="shared" si="11"/>
        <v>0</v>
      </c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59775000</v>
      </c>
      <c r="EC13" s="122">
        <f t="shared" si="41"/>
        <v>0</v>
      </c>
      <c r="ED13" s="87">
        <f t="shared" si="42"/>
        <v>4483.125</v>
      </c>
      <c r="EE13" s="88">
        <f t="shared" si="43"/>
        <v>2.6999999999999996E-2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59775000</v>
      </c>
      <c r="EL13" s="122">
        <f t="shared" si="48"/>
        <v>0</v>
      </c>
      <c r="EM13" s="122">
        <f t="shared" si="49"/>
        <v>4483.125</v>
      </c>
      <c r="EN13" s="88">
        <f t="shared" si="50"/>
        <v>2.6999999999999996E-2</v>
      </c>
    </row>
    <row r="14" spans="1:147" x14ac:dyDescent="0.25">
      <c r="A14" s="35">
        <f t="shared" si="51"/>
        <v>43559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83225000</f>
        <v>83225000</v>
      </c>
      <c r="AJ14" s="121">
        <v>2.7E-2</v>
      </c>
      <c r="AK14" s="87">
        <f t="shared" si="9"/>
        <v>6241.875</v>
      </c>
      <c r="AN14" s="87">
        <f t="shared" si="10"/>
        <v>0</v>
      </c>
      <c r="AQ14" s="87">
        <f t="shared" si="11"/>
        <v>0</v>
      </c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83225000</v>
      </c>
      <c r="EC14" s="122">
        <f t="shared" si="41"/>
        <v>0</v>
      </c>
      <c r="ED14" s="87">
        <f t="shared" si="42"/>
        <v>6241.875</v>
      </c>
      <c r="EE14" s="88">
        <f t="shared" si="43"/>
        <v>2.6999999999999996E-2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83225000</v>
      </c>
      <c r="EL14" s="122">
        <f t="shared" si="48"/>
        <v>0</v>
      </c>
      <c r="EM14" s="122">
        <f t="shared" si="49"/>
        <v>6241.875</v>
      </c>
      <c r="EN14" s="88">
        <f t="shared" si="50"/>
        <v>2.6999999999999996E-2</v>
      </c>
    </row>
    <row r="15" spans="1:147" x14ac:dyDescent="0.25">
      <c r="A15" s="35">
        <f t="shared" si="51"/>
        <v>43560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84300000</f>
        <v>84300000</v>
      </c>
      <c r="AJ15" s="121">
        <v>2.7E-2</v>
      </c>
      <c r="AK15" s="87">
        <f t="shared" si="9"/>
        <v>6322.5</v>
      </c>
      <c r="AN15" s="87">
        <f t="shared" si="10"/>
        <v>0</v>
      </c>
      <c r="AQ15" s="87">
        <f t="shared" si="11"/>
        <v>0</v>
      </c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84300000</v>
      </c>
      <c r="EC15" s="122">
        <f t="shared" si="41"/>
        <v>0</v>
      </c>
      <c r="ED15" s="87">
        <f t="shared" si="42"/>
        <v>6322.5</v>
      </c>
      <c r="EE15" s="88">
        <f t="shared" si="43"/>
        <v>2.6999999999999996E-2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84300000</v>
      </c>
      <c r="EL15" s="122">
        <f t="shared" si="48"/>
        <v>0</v>
      </c>
      <c r="EM15" s="122">
        <f t="shared" si="49"/>
        <v>6322.5</v>
      </c>
      <c r="EN15" s="88">
        <f t="shared" si="50"/>
        <v>2.6999999999999996E-2</v>
      </c>
    </row>
    <row r="16" spans="1:147" x14ac:dyDescent="0.25">
      <c r="A16" s="35">
        <f t="shared" si="51"/>
        <v>43561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>
        <f>84300000</f>
        <v>84300000</v>
      </c>
      <c r="AJ16" s="121">
        <v>2.7E-2</v>
      </c>
      <c r="AK16" s="87">
        <f t="shared" si="9"/>
        <v>6322.5</v>
      </c>
      <c r="AN16" s="87">
        <f t="shared" si="10"/>
        <v>0</v>
      </c>
      <c r="AQ16" s="87">
        <f t="shared" si="11"/>
        <v>0</v>
      </c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84300000</v>
      </c>
      <c r="EC16" s="122">
        <f t="shared" si="41"/>
        <v>0</v>
      </c>
      <c r="ED16" s="87">
        <f t="shared" si="42"/>
        <v>6322.5</v>
      </c>
      <c r="EE16" s="88">
        <f t="shared" si="43"/>
        <v>2.6999999999999996E-2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84300000</v>
      </c>
      <c r="EL16" s="122">
        <f t="shared" si="48"/>
        <v>0</v>
      </c>
      <c r="EM16" s="122">
        <f t="shared" si="49"/>
        <v>6322.5</v>
      </c>
      <c r="EN16" s="88">
        <f t="shared" si="50"/>
        <v>2.6999999999999996E-2</v>
      </c>
    </row>
    <row r="17" spans="1:144" x14ac:dyDescent="0.25">
      <c r="A17" s="35">
        <f t="shared" si="51"/>
        <v>43562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>
        <f>84300000</f>
        <v>84300000</v>
      </c>
      <c r="AJ17" s="121">
        <v>2.7E-2</v>
      </c>
      <c r="AK17" s="87">
        <f t="shared" si="9"/>
        <v>6322.5</v>
      </c>
      <c r="AN17" s="87">
        <f t="shared" si="10"/>
        <v>0</v>
      </c>
      <c r="AQ17" s="87">
        <f t="shared" si="11"/>
        <v>0</v>
      </c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84300000</v>
      </c>
      <c r="EC17" s="122">
        <f t="shared" si="41"/>
        <v>0</v>
      </c>
      <c r="ED17" s="87">
        <f t="shared" si="42"/>
        <v>6322.5</v>
      </c>
      <c r="EE17" s="88">
        <f t="shared" si="43"/>
        <v>2.6999999999999996E-2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84300000</v>
      </c>
      <c r="EL17" s="122">
        <f t="shared" si="48"/>
        <v>0</v>
      </c>
      <c r="EM17" s="122">
        <f t="shared" si="49"/>
        <v>6322.5</v>
      </c>
      <c r="EN17" s="88">
        <f t="shared" si="50"/>
        <v>2.6999999999999996E-2</v>
      </c>
    </row>
    <row r="18" spans="1:144" x14ac:dyDescent="0.25">
      <c r="A18" s="35">
        <f t="shared" si="51"/>
        <v>43563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>
        <f>82575000</f>
        <v>82575000</v>
      </c>
      <c r="AJ18" s="121">
        <v>2.6499999999999999E-2</v>
      </c>
      <c r="AK18" s="87">
        <f t="shared" si="9"/>
        <v>6078.4375</v>
      </c>
      <c r="AN18" s="87">
        <f t="shared" si="10"/>
        <v>0</v>
      </c>
      <c r="AQ18" s="87">
        <f t="shared" si="11"/>
        <v>0</v>
      </c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82575000</v>
      </c>
      <c r="EC18" s="122">
        <f t="shared" si="41"/>
        <v>0</v>
      </c>
      <c r="ED18" s="87">
        <f t="shared" si="42"/>
        <v>6078.4375</v>
      </c>
      <c r="EE18" s="88">
        <f t="shared" si="43"/>
        <v>2.6499999999999999E-2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82575000</v>
      </c>
      <c r="EL18" s="122">
        <f t="shared" si="48"/>
        <v>0</v>
      </c>
      <c r="EM18" s="122">
        <f t="shared" si="49"/>
        <v>6078.4375</v>
      </c>
      <c r="EN18" s="88">
        <f t="shared" si="50"/>
        <v>2.6499999999999999E-2</v>
      </c>
    </row>
    <row r="19" spans="1:144" x14ac:dyDescent="0.25">
      <c r="A19" s="35">
        <f t="shared" si="51"/>
        <v>43564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>
        <f>70700000</f>
        <v>70700000</v>
      </c>
      <c r="AJ19" s="121">
        <v>2.6499999999999999E-2</v>
      </c>
      <c r="AK19" s="87">
        <f t="shared" si="9"/>
        <v>5204.3055555555557</v>
      </c>
      <c r="AN19" s="87">
        <f t="shared" si="10"/>
        <v>0</v>
      </c>
      <c r="AQ19" s="87">
        <f t="shared" si="11"/>
        <v>0</v>
      </c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70700000</v>
      </c>
      <c r="EC19" s="122">
        <f t="shared" si="41"/>
        <v>0</v>
      </c>
      <c r="ED19" s="87">
        <f t="shared" si="42"/>
        <v>5204.3055555555557</v>
      </c>
      <c r="EE19" s="88">
        <f t="shared" si="43"/>
        <v>2.6499999999999999E-2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70700000</v>
      </c>
      <c r="EL19" s="122">
        <f t="shared" si="48"/>
        <v>0</v>
      </c>
      <c r="EM19" s="122">
        <f t="shared" si="49"/>
        <v>5204.3055555555557</v>
      </c>
      <c r="EN19" s="88">
        <f t="shared" si="50"/>
        <v>2.6499999999999999E-2</v>
      </c>
    </row>
    <row r="20" spans="1:144" x14ac:dyDescent="0.25">
      <c r="A20" s="35">
        <f t="shared" si="51"/>
        <v>43565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>
        <f>61675000</f>
        <v>61675000</v>
      </c>
      <c r="AJ20" s="121">
        <v>2.6499999999999999E-2</v>
      </c>
      <c r="AK20" s="87">
        <f t="shared" si="9"/>
        <v>4539.9652777777774</v>
      </c>
      <c r="AN20" s="87">
        <f t="shared" si="10"/>
        <v>0</v>
      </c>
      <c r="AQ20" s="87">
        <f t="shared" si="11"/>
        <v>0</v>
      </c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61675000</v>
      </c>
      <c r="EC20" s="122">
        <f t="shared" si="41"/>
        <v>0</v>
      </c>
      <c r="ED20" s="87">
        <f t="shared" si="42"/>
        <v>4539.9652777777774</v>
      </c>
      <c r="EE20" s="88">
        <f t="shared" si="43"/>
        <v>2.6499999999999996E-2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61675000</v>
      </c>
      <c r="EL20" s="122">
        <f t="shared" si="48"/>
        <v>0</v>
      </c>
      <c r="EM20" s="122">
        <f t="shared" si="49"/>
        <v>4539.9652777777774</v>
      </c>
      <c r="EN20" s="88">
        <f t="shared" si="50"/>
        <v>2.6499999999999996E-2</v>
      </c>
    </row>
    <row r="21" spans="1:144" x14ac:dyDescent="0.25">
      <c r="A21" s="35">
        <f t="shared" si="51"/>
        <v>43566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>
        <f>53250000</f>
        <v>53250000</v>
      </c>
      <c r="AJ21" s="121">
        <v>2.6499999999999999E-2</v>
      </c>
      <c r="AK21" s="87">
        <f t="shared" si="9"/>
        <v>3919.7916666666665</v>
      </c>
      <c r="AN21" s="87">
        <f t="shared" si="10"/>
        <v>0</v>
      </c>
      <c r="AQ21" s="87">
        <f t="shared" si="11"/>
        <v>0</v>
      </c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53250000</v>
      </c>
      <c r="EC21" s="122">
        <f t="shared" si="41"/>
        <v>0</v>
      </c>
      <c r="ED21" s="87">
        <f t="shared" si="42"/>
        <v>3919.7916666666665</v>
      </c>
      <c r="EE21" s="88">
        <f t="shared" si="43"/>
        <v>2.6499999999999999E-2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53250000</v>
      </c>
      <c r="EL21" s="122">
        <f t="shared" si="48"/>
        <v>0</v>
      </c>
      <c r="EM21" s="122">
        <f t="shared" si="49"/>
        <v>3919.7916666666665</v>
      </c>
      <c r="EN21" s="88">
        <f t="shared" si="50"/>
        <v>2.6499999999999999E-2</v>
      </c>
    </row>
    <row r="22" spans="1:144" x14ac:dyDescent="0.25">
      <c r="A22" s="35">
        <f t="shared" si="51"/>
        <v>43567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>
        <f>70750000</f>
        <v>70750000</v>
      </c>
      <c r="AJ22" s="121">
        <v>2.6499999999999999E-2</v>
      </c>
      <c r="AK22" s="87">
        <f t="shared" si="9"/>
        <v>5207.9861111111113</v>
      </c>
      <c r="AN22" s="87">
        <f t="shared" si="10"/>
        <v>0</v>
      </c>
      <c r="AQ22" s="87">
        <f t="shared" si="11"/>
        <v>0</v>
      </c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70750000</v>
      </c>
      <c r="EC22" s="122">
        <f t="shared" si="41"/>
        <v>0</v>
      </c>
      <c r="ED22" s="87">
        <f t="shared" si="42"/>
        <v>5207.9861111111113</v>
      </c>
      <c r="EE22" s="88">
        <f t="shared" si="43"/>
        <v>2.6499999999999999E-2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70750000</v>
      </c>
      <c r="EL22" s="122">
        <f t="shared" si="48"/>
        <v>0</v>
      </c>
      <c r="EM22" s="122">
        <f t="shared" si="49"/>
        <v>5207.9861111111113</v>
      </c>
      <c r="EN22" s="88">
        <f t="shared" si="50"/>
        <v>2.6499999999999999E-2</v>
      </c>
    </row>
    <row r="23" spans="1:144" x14ac:dyDescent="0.25">
      <c r="A23" s="35">
        <f t="shared" si="51"/>
        <v>43568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>
        <f>70750000</f>
        <v>70750000</v>
      </c>
      <c r="AJ23" s="121">
        <v>2.6499999999999999E-2</v>
      </c>
      <c r="AK23" s="87">
        <f t="shared" si="9"/>
        <v>5207.9861111111113</v>
      </c>
      <c r="AN23" s="87">
        <f t="shared" si="10"/>
        <v>0</v>
      </c>
      <c r="AQ23" s="87">
        <f t="shared" si="11"/>
        <v>0</v>
      </c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70750000</v>
      </c>
      <c r="EC23" s="122">
        <f t="shared" si="41"/>
        <v>0</v>
      </c>
      <c r="ED23" s="87">
        <f t="shared" si="42"/>
        <v>5207.9861111111113</v>
      </c>
      <c r="EE23" s="88">
        <f t="shared" si="43"/>
        <v>2.6499999999999999E-2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70750000</v>
      </c>
      <c r="EL23" s="122">
        <f t="shared" si="48"/>
        <v>0</v>
      </c>
      <c r="EM23" s="122">
        <f t="shared" si="49"/>
        <v>5207.9861111111113</v>
      </c>
      <c r="EN23" s="88">
        <f t="shared" si="50"/>
        <v>2.6499999999999999E-2</v>
      </c>
    </row>
    <row r="24" spans="1:144" x14ac:dyDescent="0.25">
      <c r="A24" s="35">
        <f t="shared" si="51"/>
        <v>43569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>
        <f>70750000</f>
        <v>70750000</v>
      </c>
      <c r="AJ24" s="121">
        <v>2.6499999999999999E-2</v>
      </c>
      <c r="AK24" s="87">
        <f t="shared" si="9"/>
        <v>5207.9861111111113</v>
      </c>
      <c r="AN24" s="87">
        <f t="shared" si="10"/>
        <v>0</v>
      </c>
      <c r="AQ24" s="87">
        <f t="shared" si="11"/>
        <v>0</v>
      </c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70750000</v>
      </c>
      <c r="EC24" s="122">
        <f t="shared" si="41"/>
        <v>0</v>
      </c>
      <c r="ED24" s="87">
        <f t="shared" si="42"/>
        <v>5207.9861111111113</v>
      </c>
      <c r="EE24" s="88">
        <f t="shared" si="43"/>
        <v>2.6499999999999999E-2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70750000</v>
      </c>
      <c r="EL24" s="122">
        <f t="shared" si="48"/>
        <v>0</v>
      </c>
      <c r="EM24" s="122">
        <f t="shared" si="49"/>
        <v>5207.9861111111113</v>
      </c>
      <c r="EN24" s="88">
        <f t="shared" si="50"/>
        <v>2.6499999999999999E-2</v>
      </c>
    </row>
    <row r="25" spans="1:144" x14ac:dyDescent="0.25">
      <c r="A25" s="35">
        <f t="shared" si="51"/>
        <v>43570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>
        <f>84125000</f>
        <v>84125000</v>
      </c>
      <c r="AJ25" s="121">
        <v>2.6499999999999999E-2</v>
      </c>
      <c r="AK25" s="87">
        <f t="shared" si="9"/>
        <v>6192.5347222222226</v>
      </c>
      <c r="AN25" s="87">
        <f t="shared" si="10"/>
        <v>0</v>
      </c>
      <c r="AQ25" s="87">
        <f t="shared" si="11"/>
        <v>0</v>
      </c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84125000</v>
      </c>
      <c r="EC25" s="122">
        <f t="shared" si="41"/>
        <v>0</v>
      </c>
      <c r="ED25" s="87">
        <f t="shared" si="42"/>
        <v>6192.5347222222226</v>
      </c>
      <c r="EE25" s="88">
        <f t="shared" si="43"/>
        <v>2.6499999999999999E-2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84125000</v>
      </c>
      <c r="EL25" s="122">
        <f t="shared" si="48"/>
        <v>0</v>
      </c>
      <c r="EM25" s="122">
        <f t="shared" si="49"/>
        <v>6192.5347222222226</v>
      </c>
      <c r="EN25" s="88">
        <f t="shared" si="50"/>
        <v>2.6499999999999999E-2</v>
      </c>
    </row>
    <row r="26" spans="1:144" x14ac:dyDescent="0.25">
      <c r="A26" s="35">
        <f t="shared" si="51"/>
        <v>43571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>
        <f>80425000</f>
        <v>80425000</v>
      </c>
      <c r="AJ26" s="121">
        <v>2.6499999999999999E-2</v>
      </c>
      <c r="AK26" s="87">
        <f t="shared" si="9"/>
        <v>5920.1736111111113</v>
      </c>
      <c r="AN26" s="87">
        <f t="shared" si="10"/>
        <v>0</v>
      </c>
      <c r="AQ26" s="87">
        <f t="shared" si="11"/>
        <v>0</v>
      </c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80425000</v>
      </c>
      <c r="EC26" s="122">
        <f t="shared" si="41"/>
        <v>0</v>
      </c>
      <c r="ED26" s="87">
        <f t="shared" si="42"/>
        <v>5920.1736111111113</v>
      </c>
      <c r="EE26" s="88">
        <f t="shared" si="43"/>
        <v>2.6499999999999999E-2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80425000</v>
      </c>
      <c r="EL26" s="122">
        <f t="shared" si="48"/>
        <v>0</v>
      </c>
      <c r="EM26" s="122">
        <f t="shared" si="49"/>
        <v>5920.1736111111113</v>
      </c>
      <c r="EN26" s="88">
        <f t="shared" si="50"/>
        <v>2.6499999999999999E-2</v>
      </c>
    </row>
    <row r="27" spans="1:144" x14ac:dyDescent="0.25">
      <c r="A27" s="35">
        <f t="shared" si="51"/>
        <v>43572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>
        <f>71525000</f>
        <v>71525000</v>
      </c>
      <c r="AJ27" s="121">
        <v>2.6499999999999999E-2</v>
      </c>
      <c r="AK27" s="87">
        <f t="shared" si="9"/>
        <v>5265.0347222222226</v>
      </c>
      <c r="AN27" s="87">
        <f t="shared" si="10"/>
        <v>0</v>
      </c>
      <c r="AQ27" s="87">
        <f t="shared" si="11"/>
        <v>0</v>
      </c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71525000</v>
      </c>
      <c r="EC27" s="122">
        <f t="shared" si="41"/>
        <v>0</v>
      </c>
      <c r="ED27" s="87">
        <f t="shared" si="42"/>
        <v>5265.0347222222226</v>
      </c>
      <c r="EE27" s="88">
        <f t="shared" si="43"/>
        <v>2.6499999999999999E-2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71525000</v>
      </c>
      <c r="EL27" s="122">
        <f t="shared" si="48"/>
        <v>0</v>
      </c>
      <c r="EM27" s="122">
        <f t="shared" si="49"/>
        <v>5265.0347222222226</v>
      </c>
      <c r="EN27" s="88">
        <f t="shared" si="50"/>
        <v>2.6499999999999999E-2</v>
      </c>
    </row>
    <row r="28" spans="1:144" x14ac:dyDescent="0.25">
      <c r="A28" s="35">
        <f t="shared" si="51"/>
        <v>43573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>
        <f>71750000</f>
        <v>71750000</v>
      </c>
      <c r="AJ28" s="121">
        <v>2.6499999999999999E-2</v>
      </c>
      <c r="AK28" s="87">
        <f t="shared" si="9"/>
        <v>5281.5972222222226</v>
      </c>
      <c r="AN28" s="87">
        <f t="shared" si="10"/>
        <v>0</v>
      </c>
      <c r="AQ28" s="87">
        <f t="shared" si="11"/>
        <v>0</v>
      </c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71750000</v>
      </c>
      <c r="EC28" s="122">
        <f t="shared" si="41"/>
        <v>0</v>
      </c>
      <c r="ED28" s="87">
        <f t="shared" si="42"/>
        <v>5281.5972222222226</v>
      </c>
      <c r="EE28" s="88">
        <f t="shared" si="43"/>
        <v>2.6499999999999999E-2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71750000</v>
      </c>
      <c r="EL28" s="122">
        <f t="shared" si="48"/>
        <v>0</v>
      </c>
      <c r="EM28" s="122">
        <f t="shared" si="49"/>
        <v>5281.5972222222226</v>
      </c>
      <c r="EN28" s="88">
        <f t="shared" si="50"/>
        <v>2.6499999999999999E-2</v>
      </c>
    </row>
    <row r="29" spans="1:144" x14ac:dyDescent="0.25">
      <c r="A29" s="35">
        <f t="shared" si="51"/>
        <v>43574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71750000</f>
        <v>71750000</v>
      </c>
      <c r="AJ29" s="121">
        <v>2.6499999999999999E-2</v>
      </c>
      <c r="AK29" s="87">
        <f t="shared" si="9"/>
        <v>5281.5972222222226</v>
      </c>
      <c r="AN29" s="87">
        <f t="shared" si="10"/>
        <v>0</v>
      </c>
      <c r="AQ29" s="87">
        <f t="shared" si="11"/>
        <v>0</v>
      </c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71750000</v>
      </c>
      <c r="EC29" s="122">
        <f t="shared" si="41"/>
        <v>0</v>
      </c>
      <c r="ED29" s="87">
        <f t="shared" si="42"/>
        <v>5281.5972222222226</v>
      </c>
      <c r="EE29" s="88">
        <f t="shared" si="43"/>
        <v>2.6499999999999999E-2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71750000</v>
      </c>
      <c r="EL29" s="122">
        <f t="shared" si="48"/>
        <v>0</v>
      </c>
      <c r="EM29" s="122">
        <f t="shared" si="49"/>
        <v>5281.5972222222226</v>
      </c>
      <c r="EN29" s="88">
        <f t="shared" si="50"/>
        <v>2.6499999999999999E-2</v>
      </c>
    </row>
    <row r="30" spans="1:144" x14ac:dyDescent="0.25">
      <c r="A30" s="35">
        <f t="shared" si="51"/>
        <v>43575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71750000</f>
        <v>71750000</v>
      </c>
      <c r="AJ30" s="121">
        <v>2.6499999999999999E-2</v>
      </c>
      <c r="AK30" s="87">
        <f t="shared" si="9"/>
        <v>5281.5972222222226</v>
      </c>
      <c r="AN30" s="87">
        <f t="shared" si="10"/>
        <v>0</v>
      </c>
      <c r="AQ30" s="87">
        <f t="shared" si="11"/>
        <v>0</v>
      </c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71750000</v>
      </c>
      <c r="EC30" s="122">
        <f t="shared" si="41"/>
        <v>0</v>
      </c>
      <c r="ED30" s="87">
        <f t="shared" si="42"/>
        <v>5281.5972222222226</v>
      </c>
      <c r="EE30" s="88">
        <f t="shared" si="43"/>
        <v>2.6499999999999999E-2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71750000</v>
      </c>
      <c r="EL30" s="122">
        <f t="shared" si="48"/>
        <v>0</v>
      </c>
      <c r="EM30" s="122">
        <f t="shared" si="49"/>
        <v>5281.5972222222226</v>
      </c>
      <c r="EN30" s="88">
        <f t="shared" si="50"/>
        <v>2.6499999999999999E-2</v>
      </c>
    </row>
    <row r="31" spans="1:144" x14ac:dyDescent="0.25">
      <c r="A31" s="35">
        <f t="shared" si="51"/>
        <v>43576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>
        <f>71750000</f>
        <v>71750000</v>
      </c>
      <c r="AJ31" s="121">
        <v>2.6499999999999999E-2</v>
      </c>
      <c r="AK31" s="87">
        <f t="shared" si="9"/>
        <v>5281.5972222222226</v>
      </c>
      <c r="AN31" s="87">
        <f t="shared" si="10"/>
        <v>0</v>
      </c>
      <c r="AQ31" s="87">
        <f t="shared" si="11"/>
        <v>0</v>
      </c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71750000</v>
      </c>
      <c r="EC31" s="122">
        <f t="shared" si="41"/>
        <v>0</v>
      </c>
      <c r="ED31" s="87">
        <f t="shared" si="42"/>
        <v>5281.5972222222226</v>
      </c>
      <c r="EE31" s="88">
        <f t="shared" si="43"/>
        <v>2.6499999999999999E-2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71750000</v>
      </c>
      <c r="EL31" s="122">
        <f t="shared" si="48"/>
        <v>0</v>
      </c>
      <c r="EM31" s="122">
        <f t="shared" si="49"/>
        <v>5281.5972222222226</v>
      </c>
      <c r="EN31" s="88">
        <f t="shared" si="50"/>
        <v>2.6499999999999999E-2</v>
      </c>
    </row>
    <row r="32" spans="1:144" x14ac:dyDescent="0.25">
      <c r="A32" s="35">
        <f t="shared" si="51"/>
        <v>43577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f>77400000</f>
        <v>77400000</v>
      </c>
      <c r="AJ32" s="121">
        <v>2.6499999999999999E-2</v>
      </c>
      <c r="AK32" s="87">
        <f t="shared" si="9"/>
        <v>5697.5</v>
      </c>
      <c r="AN32" s="87">
        <f t="shared" si="10"/>
        <v>0</v>
      </c>
      <c r="AQ32" s="87">
        <f t="shared" si="11"/>
        <v>0</v>
      </c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77400000</v>
      </c>
      <c r="EC32" s="122">
        <f t="shared" si="41"/>
        <v>0</v>
      </c>
      <c r="ED32" s="87">
        <f t="shared" si="42"/>
        <v>5697.5</v>
      </c>
      <c r="EE32" s="88">
        <f t="shared" si="43"/>
        <v>2.6499999999999999E-2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77400000</v>
      </c>
      <c r="EL32" s="122">
        <f t="shared" si="48"/>
        <v>0</v>
      </c>
      <c r="EM32" s="122">
        <f t="shared" si="49"/>
        <v>5697.5</v>
      </c>
      <c r="EN32" s="88">
        <f t="shared" si="50"/>
        <v>2.6499999999999999E-2</v>
      </c>
    </row>
    <row r="33" spans="1:144" x14ac:dyDescent="0.25">
      <c r="A33" s="35">
        <f t="shared" si="51"/>
        <v>43578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67450000</f>
        <v>67450000</v>
      </c>
      <c r="AJ33" s="121">
        <v>2.6499999999999999E-2</v>
      </c>
      <c r="AK33" s="87">
        <f t="shared" si="9"/>
        <v>4965.0694444444443</v>
      </c>
      <c r="AN33" s="87">
        <f t="shared" si="10"/>
        <v>0</v>
      </c>
      <c r="AQ33" s="87">
        <f t="shared" si="11"/>
        <v>0</v>
      </c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67450000</v>
      </c>
      <c r="EC33" s="122">
        <f t="shared" si="41"/>
        <v>0</v>
      </c>
      <c r="ED33" s="87">
        <f t="shared" si="42"/>
        <v>4965.0694444444443</v>
      </c>
      <c r="EE33" s="88">
        <f t="shared" si="43"/>
        <v>2.6499999999999999E-2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67450000</v>
      </c>
      <c r="EL33" s="122">
        <f t="shared" si="48"/>
        <v>0</v>
      </c>
      <c r="EM33" s="122">
        <f t="shared" si="49"/>
        <v>4965.0694444444443</v>
      </c>
      <c r="EN33" s="88">
        <f t="shared" si="50"/>
        <v>2.6499999999999999E-2</v>
      </c>
    </row>
    <row r="34" spans="1:144" x14ac:dyDescent="0.25">
      <c r="A34" s="35">
        <f t="shared" si="51"/>
        <v>43579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58275000</f>
        <v>58275000</v>
      </c>
      <c r="AJ34" s="121">
        <v>2.6499999999999999E-2</v>
      </c>
      <c r="AK34" s="87">
        <f t="shared" si="9"/>
        <v>4289.6875</v>
      </c>
      <c r="AN34" s="87">
        <f t="shared" si="10"/>
        <v>0</v>
      </c>
      <c r="AQ34" s="87">
        <f t="shared" si="11"/>
        <v>0</v>
      </c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58275000</v>
      </c>
      <c r="EC34" s="122">
        <f t="shared" si="41"/>
        <v>0</v>
      </c>
      <c r="ED34" s="87">
        <f t="shared" si="42"/>
        <v>4289.6875</v>
      </c>
      <c r="EE34" s="88">
        <f t="shared" si="43"/>
        <v>2.6499999999999999E-2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58275000</v>
      </c>
      <c r="EL34" s="122">
        <f t="shared" si="48"/>
        <v>0</v>
      </c>
      <c r="EM34" s="122">
        <f t="shared" si="49"/>
        <v>4289.6875</v>
      </c>
      <c r="EN34" s="88">
        <f t="shared" si="50"/>
        <v>2.6499999999999999E-2</v>
      </c>
    </row>
    <row r="35" spans="1:144" x14ac:dyDescent="0.25">
      <c r="A35" s="35">
        <f t="shared" si="51"/>
        <v>43580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60175000</f>
        <v>60175000</v>
      </c>
      <c r="AJ35" s="121">
        <v>2.6499999999999999E-2</v>
      </c>
      <c r="AK35" s="87">
        <f t="shared" si="9"/>
        <v>4429.5486111111113</v>
      </c>
      <c r="AN35" s="87">
        <f t="shared" si="10"/>
        <v>0</v>
      </c>
      <c r="AQ35" s="87">
        <f t="shared" si="11"/>
        <v>0</v>
      </c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60175000</v>
      </c>
      <c r="EC35" s="122">
        <f t="shared" si="41"/>
        <v>0</v>
      </c>
      <c r="ED35" s="87">
        <f t="shared" si="42"/>
        <v>4429.5486111111113</v>
      </c>
      <c r="EE35" s="88">
        <f t="shared" si="43"/>
        <v>2.6499999999999999E-2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60175000</v>
      </c>
      <c r="EL35" s="122">
        <f t="shared" si="48"/>
        <v>0</v>
      </c>
      <c r="EM35" s="122">
        <f t="shared" si="49"/>
        <v>4429.5486111111113</v>
      </c>
      <c r="EN35" s="88">
        <f t="shared" si="50"/>
        <v>2.6499999999999999E-2</v>
      </c>
    </row>
    <row r="36" spans="1:144" x14ac:dyDescent="0.25">
      <c r="A36" s="35">
        <f t="shared" si="51"/>
        <v>43581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74975000</f>
        <v>74975000</v>
      </c>
      <c r="AJ36" s="121">
        <v>2.6499999999999999E-2</v>
      </c>
      <c r="AK36" s="87">
        <f t="shared" si="9"/>
        <v>5518.9930555555557</v>
      </c>
      <c r="AN36" s="87">
        <f t="shared" si="10"/>
        <v>0</v>
      </c>
      <c r="AQ36" s="87">
        <f t="shared" si="11"/>
        <v>0</v>
      </c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74975000</v>
      </c>
      <c r="EC36" s="122">
        <f t="shared" si="41"/>
        <v>0</v>
      </c>
      <c r="ED36" s="87">
        <f t="shared" si="42"/>
        <v>5518.9930555555557</v>
      </c>
      <c r="EE36" s="88">
        <f t="shared" si="43"/>
        <v>2.6499999999999999E-2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74975000</v>
      </c>
      <c r="EL36" s="122">
        <f t="shared" si="48"/>
        <v>0</v>
      </c>
      <c r="EM36" s="122">
        <f t="shared" si="49"/>
        <v>5518.9930555555557</v>
      </c>
      <c r="EN36" s="88">
        <f t="shared" si="50"/>
        <v>2.6499999999999999E-2</v>
      </c>
    </row>
    <row r="37" spans="1:144" x14ac:dyDescent="0.25">
      <c r="A37" s="35">
        <f t="shared" si="51"/>
        <v>43582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74975000</f>
        <v>74975000</v>
      </c>
      <c r="AJ37" s="121">
        <v>2.6499999999999999E-2</v>
      </c>
      <c r="AK37" s="87">
        <f t="shared" si="9"/>
        <v>5518.9930555555557</v>
      </c>
      <c r="AN37" s="87">
        <f t="shared" si="10"/>
        <v>0</v>
      </c>
      <c r="AQ37" s="87">
        <f t="shared" si="11"/>
        <v>0</v>
      </c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74975000</v>
      </c>
      <c r="EC37" s="122">
        <f t="shared" si="41"/>
        <v>0</v>
      </c>
      <c r="ED37" s="87">
        <f t="shared" si="42"/>
        <v>5518.9930555555557</v>
      </c>
      <c r="EE37" s="88">
        <f t="shared" si="43"/>
        <v>2.6499999999999999E-2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74975000</v>
      </c>
      <c r="EL37" s="122">
        <f t="shared" si="48"/>
        <v>0</v>
      </c>
      <c r="EM37" s="122">
        <f t="shared" si="49"/>
        <v>5518.9930555555557</v>
      </c>
      <c r="EN37" s="88">
        <f t="shared" si="50"/>
        <v>2.6499999999999999E-2</v>
      </c>
    </row>
    <row r="38" spans="1:144" x14ac:dyDescent="0.25">
      <c r="A38" s="35">
        <f t="shared" si="51"/>
        <v>43583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f>74975000</f>
        <v>74975000</v>
      </c>
      <c r="AJ38" s="121">
        <v>2.6499999999999999E-2</v>
      </c>
      <c r="AK38" s="87">
        <f t="shared" si="9"/>
        <v>5518.9930555555557</v>
      </c>
      <c r="AN38" s="87">
        <f t="shared" si="10"/>
        <v>0</v>
      </c>
      <c r="AQ38" s="87">
        <f t="shared" si="11"/>
        <v>0</v>
      </c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74975000</v>
      </c>
      <c r="EC38" s="122">
        <f t="shared" si="41"/>
        <v>0</v>
      </c>
      <c r="ED38" s="87">
        <f t="shared" si="42"/>
        <v>5518.9930555555557</v>
      </c>
      <c r="EE38" s="88">
        <f t="shared" si="43"/>
        <v>2.6499999999999999E-2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74975000</v>
      </c>
      <c r="EL38" s="122">
        <f t="shared" si="48"/>
        <v>0</v>
      </c>
      <c r="EM38" s="122">
        <f t="shared" si="49"/>
        <v>5518.9930555555557</v>
      </c>
      <c r="EN38" s="88">
        <f t="shared" si="50"/>
        <v>2.6499999999999999E-2</v>
      </c>
    </row>
    <row r="39" spans="1:144" x14ac:dyDescent="0.25">
      <c r="A39" s="35">
        <f t="shared" si="51"/>
        <v>43584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>
        <f>89950000</f>
        <v>89950000</v>
      </c>
      <c r="AJ39" s="121">
        <v>2.6499999999999999E-2</v>
      </c>
      <c r="AK39" s="87">
        <f t="shared" si="9"/>
        <v>6621.3194444444443</v>
      </c>
      <c r="AN39" s="87">
        <f t="shared" si="10"/>
        <v>0</v>
      </c>
      <c r="AQ39" s="87">
        <f t="shared" si="11"/>
        <v>0</v>
      </c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89950000</v>
      </c>
      <c r="EC39" s="122">
        <f t="shared" si="41"/>
        <v>0</v>
      </c>
      <c r="ED39" s="87">
        <f t="shared" si="42"/>
        <v>6621.3194444444443</v>
      </c>
      <c r="EE39" s="88">
        <f t="shared" si="43"/>
        <v>2.6499999999999999E-2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89950000</v>
      </c>
      <c r="EL39" s="122">
        <f t="shared" si="48"/>
        <v>0</v>
      </c>
      <c r="EM39" s="122">
        <f t="shared" si="49"/>
        <v>6621.3194444444443</v>
      </c>
      <c r="EN39" s="88">
        <f t="shared" si="50"/>
        <v>2.6499999999999999E-2</v>
      </c>
    </row>
    <row r="40" spans="1:144" x14ac:dyDescent="0.25">
      <c r="A40" s="35">
        <f t="shared" si="51"/>
        <v>43585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>
        <f>92325000</f>
        <v>92325000</v>
      </c>
      <c r="AJ40" s="121">
        <v>2.6499999999999999E-2</v>
      </c>
      <c r="AK40" s="87">
        <f t="shared" si="9"/>
        <v>6796.145833333333</v>
      </c>
      <c r="AN40" s="87">
        <f t="shared" si="10"/>
        <v>0</v>
      </c>
      <c r="AQ40" s="87">
        <f t="shared" si="11"/>
        <v>0</v>
      </c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92325000</v>
      </c>
      <c r="EC40" s="122">
        <f t="shared" si="41"/>
        <v>0</v>
      </c>
      <c r="ED40" s="87">
        <f t="shared" si="42"/>
        <v>6796.145833333333</v>
      </c>
      <c r="EE40" s="88">
        <f t="shared" si="43"/>
        <v>2.6499999999999999E-2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92325000</v>
      </c>
      <c r="EL40" s="122">
        <f t="shared" si="48"/>
        <v>0</v>
      </c>
      <c r="EM40" s="122">
        <f t="shared" si="49"/>
        <v>6796.145833333333</v>
      </c>
      <c r="EN40" s="88">
        <f t="shared" si="50"/>
        <v>2.6499999999999999E-2</v>
      </c>
    </row>
    <row r="41" spans="1:144" x14ac:dyDescent="0.25">
      <c r="A41" s="123" t="s">
        <v>76</v>
      </c>
      <c r="D41" s="124">
        <f>SUM(D11:D40)</f>
        <v>0</v>
      </c>
      <c r="G41" s="124">
        <f>SUM(G11:G40)</f>
        <v>0</v>
      </c>
      <c r="J41" s="124">
        <f>SUM(J11:J40)</f>
        <v>0</v>
      </c>
      <c r="M41" s="124">
        <f>SUM(M11:M40)</f>
        <v>0</v>
      </c>
      <c r="P41" s="124">
        <f>SUM(P11:P40)</f>
        <v>0</v>
      </c>
      <c r="S41" s="124">
        <f>SUM(S11:S40)</f>
        <v>0</v>
      </c>
      <c r="V41" s="124">
        <f>SUM(V11:V40)</f>
        <v>0</v>
      </c>
      <c r="Y41" s="124">
        <f>SUM(Y11:Y40)</f>
        <v>0</v>
      </c>
      <c r="AB41" s="124">
        <f>SUM(AB11:AB40)</f>
        <v>0</v>
      </c>
      <c r="AE41" s="124">
        <f>SUM(AE11:AE40)</f>
        <v>0</v>
      </c>
      <c r="AH41" s="124">
        <f>SUM(AH11:AH40)</f>
        <v>0</v>
      </c>
      <c r="AK41" s="124">
        <f>SUM(AK11:AK40)</f>
        <v>164073.71527777778</v>
      </c>
      <c r="AN41" s="124">
        <f>SUM(AN11:AN40)</f>
        <v>0</v>
      </c>
      <c r="AQ41" s="124">
        <f>SUM(AQ11:AQ40)</f>
        <v>0</v>
      </c>
      <c r="AT41" s="124">
        <f>SUM(AT11:AT40)</f>
        <v>0</v>
      </c>
      <c r="AW41" s="124">
        <f>SUM(AW11:AW40)</f>
        <v>0</v>
      </c>
      <c r="AZ41" s="124">
        <f>SUM(AZ11:AZ40)</f>
        <v>0</v>
      </c>
      <c r="BC41" s="124">
        <f>SUM(BC11:BC40)</f>
        <v>0</v>
      </c>
      <c r="BF41" s="124">
        <f>SUM(BF11:BF40)</f>
        <v>0</v>
      </c>
      <c r="BI41" s="124">
        <f>SUM(BI11:BI40)</f>
        <v>0</v>
      </c>
      <c r="BL41" s="124">
        <f>SUM(BL11:BL40)</f>
        <v>0</v>
      </c>
      <c r="BO41" s="124">
        <f>SUM(BO11:BO40)</f>
        <v>0</v>
      </c>
      <c r="BR41" s="124">
        <f>SUM(BR11:BR40)</f>
        <v>0</v>
      </c>
      <c r="BU41" s="124">
        <f>SUM(BU11:BU40)</f>
        <v>0</v>
      </c>
      <c r="BX41" s="124">
        <f>SUM(BX11:BX40)</f>
        <v>0</v>
      </c>
      <c r="CA41" s="124">
        <f>SUM(CA11:CA40)</f>
        <v>0</v>
      </c>
      <c r="CD41" s="124">
        <f>SUM(CD11:CD40)</f>
        <v>0</v>
      </c>
      <c r="CG41" s="124">
        <f>SUM(CG11:CG40)</f>
        <v>0</v>
      </c>
      <c r="CJ41" s="124">
        <f>SUM(CJ11:CJ40)</f>
        <v>0</v>
      </c>
      <c r="CM41" s="124">
        <f>SUM(CM11:CM40)</f>
        <v>0</v>
      </c>
      <c r="CP41" s="124">
        <f>SUM(CP11:CP40)</f>
        <v>0</v>
      </c>
      <c r="CS41" s="124">
        <f>SUM(CS11:CS40)</f>
        <v>0</v>
      </c>
      <c r="CV41" s="124">
        <f>SUM(CV11:CV40)</f>
        <v>0</v>
      </c>
      <c r="CY41" s="124">
        <f>SUM(CY11:CY40)</f>
        <v>0</v>
      </c>
      <c r="DB41" s="124">
        <f>SUM(DB11:DB40)</f>
        <v>0</v>
      </c>
      <c r="DE41" s="124">
        <f>SUM(DE11:DE40)</f>
        <v>0</v>
      </c>
      <c r="DH41" s="124">
        <f>SUM(DH11:DH40)</f>
        <v>0</v>
      </c>
      <c r="DK41" s="124">
        <f>SUM(DK11:DK40)</f>
        <v>0</v>
      </c>
      <c r="DN41" s="124">
        <f>SUM(DN11:DN40)</f>
        <v>0</v>
      </c>
      <c r="DQ41" s="124">
        <f>SUM(DQ11:DQ40)</f>
        <v>0</v>
      </c>
      <c r="DT41" s="124">
        <f>SUM(DT11:DT40)</f>
        <v>0</v>
      </c>
      <c r="DW41" s="124">
        <f>SUM(DW11:DW40)</f>
        <v>0</v>
      </c>
      <c r="DZ41" s="85"/>
      <c r="EA41" s="85"/>
      <c r="EB41" s="87"/>
      <c r="EC41" s="87"/>
      <c r="ED41" s="124">
        <f>SUM(ED11:ED40)</f>
        <v>164073.71527777778</v>
      </c>
      <c r="EE41" s="88"/>
      <c r="EG41" s="87"/>
      <c r="EH41" s="124">
        <f>SUM(EH11:EH40)</f>
        <v>0</v>
      </c>
      <c r="EI41" s="88"/>
      <c r="EJ41" s="88"/>
      <c r="EK41" s="87"/>
      <c r="EL41" s="87"/>
      <c r="EM41" s="124">
        <f>SUM(EM11:EM40)</f>
        <v>164073.71527777778</v>
      </c>
      <c r="EN41" s="88"/>
    </row>
    <row r="43" spans="1:144" x14ac:dyDescent="0.25">
      <c r="EM43" s="125"/>
    </row>
    <row r="44" spans="1:144" x14ac:dyDescent="0.25">
      <c r="EM44" s="87"/>
    </row>
    <row r="46" spans="1:144" x14ac:dyDescent="0.25">
      <c r="EM46" s="125"/>
    </row>
    <row r="48" spans="1:144" x14ac:dyDescent="0.25">
      <c r="EM48" s="8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146425000</v>
      </c>
      <c r="EI2" s="85">
        <f>EG40</f>
        <v>0</v>
      </c>
      <c r="EM2" s="85"/>
      <c r="EN2" s="85">
        <f>EK41</f>
        <v>146425000</v>
      </c>
      <c r="EO2" s="78">
        <v>-50339.76</v>
      </c>
      <c r="EP2" s="78">
        <f>EN2+EO2</f>
        <v>146374660.24000001</v>
      </c>
      <c r="EQ2" s="78">
        <f>EE2+EO2</f>
        <v>146374660.24000001</v>
      </c>
    </row>
    <row r="3" spans="1:147" ht="16.5" thickTop="1" x14ac:dyDescent="0.25">
      <c r="A3" s="86" t="s">
        <v>170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100534677.41935484</v>
      </c>
      <c r="EI3" s="85">
        <f>AVERAGE(EG11:EG40)</f>
        <v>0</v>
      </c>
      <c r="EM3" s="85"/>
      <c r="EN3" s="85">
        <f>AVERAGE(EK11:EK41)</f>
        <v>100534677.41935484</v>
      </c>
    </row>
    <row r="4" spans="1:147" x14ac:dyDescent="0.25">
      <c r="D4" s="33"/>
      <c r="E4" s="95" t="s">
        <v>102</v>
      </c>
      <c r="F4" s="85"/>
      <c r="G4" s="96">
        <f>EQ2</f>
        <v>146374660.24000001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2.6773610453783406E-2</v>
      </c>
      <c r="EI4" s="93">
        <f>IF(EI3=0,0,360*(AVERAGE(EH11:EH40)/EI3))</f>
        <v>0</v>
      </c>
      <c r="EM4" s="93"/>
      <c r="EN4" s="93">
        <f>IF(EN3=0,0,360*(AVERAGE(EM11:EM41)/EN3))</f>
        <v>2.6773610453783406E-2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100534677.41935484</v>
      </c>
      <c r="AI5" s="100" t="s">
        <v>97</v>
      </c>
      <c r="EB5" s="101" t="s">
        <v>109</v>
      </c>
      <c r="EC5" s="101"/>
      <c r="ED5" s="85"/>
      <c r="EE5" s="85">
        <f>MAX(EB11:EB41)</f>
        <v>146425000</v>
      </c>
      <c r="EI5" s="85">
        <f>MAX(EG11:EG40)</f>
        <v>0</v>
      </c>
      <c r="EM5" s="85"/>
      <c r="EN5" s="85">
        <f>MAX(EK11:EK41)</f>
        <v>146425000</v>
      </c>
    </row>
    <row r="6" spans="1:147" x14ac:dyDescent="0.25">
      <c r="D6" s="33"/>
      <c r="E6" s="95" t="s">
        <v>107</v>
      </c>
      <c r="F6" s="85"/>
      <c r="G6" s="102">
        <f>EE4</f>
        <v>2.6773610453783406E-2</v>
      </c>
    </row>
    <row r="7" spans="1:147" ht="16.5" thickBot="1" x14ac:dyDescent="0.3">
      <c r="D7" s="33"/>
      <c r="E7" s="103" t="s">
        <v>109</v>
      </c>
      <c r="F7" s="104"/>
      <c r="G7" s="105">
        <f>EE5</f>
        <v>146425000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43586</v>
      </c>
      <c r="B11" s="87">
        <v>0</v>
      </c>
      <c r="C11" s="88">
        <v>2.7838359999999999E-2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88125000</f>
        <v>88125000</v>
      </c>
      <c r="AJ11" s="121">
        <v>2.6499999999999999E-2</v>
      </c>
      <c r="AK11" s="87">
        <f>(AI11*AJ11)/360</f>
        <v>6486.979166666667</v>
      </c>
      <c r="AL11" s="120"/>
      <c r="AM11" s="121"/>
      <c r="AN11" s="87">
        <f>(AL11*AM11)/360</f>
        <v>0</v>
      </c>
      <c r="AO11" s="120"/>
      <c r="AP11" s="121"/>
      <c r="AQ11" s="87">
        <f>(AO11*AP11)/360</f>
        <v>0</v>
      </c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88125000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6486.979166666667</v>
      </c>
      <c r="EE11" s="88">
        <f>IF(EB11&lt;&gt;0,((ED11/EB11)*360),0)</f>
        <v>2.6499999999999999E-2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88125000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6486.979166666667</v>
      </c>
      <c r="EN11" s="88">
        <f>IF(EK11&lt;&gt;0,((EM11/EK11)*360),0)</f>
        <v>2.6499999999999999E-2</v>
      </c>
    </row>
    <row r="12" spans="1:147" x14ac:dyDescent="0.25">
      <c r="A12" s="35">
        <f>1+A11</f>
        <v>43587</v>
      </c>
      <c r="B12" s="87">
        <v>0</v>
      </c>
      <c r="C12" s="88">
        <v>2.7802289999999997E-2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>
        <f>83150000</f>
        <v>83150000</v>
      </c>
      <c r="AJ12" s="121">
        <v>2.6499999999999999E-2</v>
      </c>
      <c r="AK12" s="87">
        <f t="shared" ref="AK12:AK41" si="9">(AI12*AJ12)/360</f>
        <v>6120.7638888888887</v>
      </c>
      <c r="AL12" s="120"/>
      <c r="AM12" s="121"/>
      <c r="AN12" s="87">
        <f t="shared" ref="AN12:AN41" si="10">(AL12*AM12)/360</f>
        <v>0</v>
      </c>
      <c r="AO12" s="120"/>
      <c r="AP12" s="121"/>
      <c r="AQ12" s="87">
        <f t="shared" ref="AQ12:AQ41" si="11">(AO12*AP12)/360</f>
        <v>0</v>
      </c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83150000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6120.7638888888887</v>
      </c>
      <c r="EE12" s="88">
        <f t="shared" ref="EE12:EE41" si="43">IF(EB12&lt;&gt;0,((ED12/EB12)*360),0)</f>
        <v>2.6499999999999999E-2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83150000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6120.7638888888887</v>
      </c>
      <c r="EN12" s="88">
        <f t="shared" ref="EN12:EN41" si="50">IF(EK12&lt;&gt;0,((EM12/EK12)*360),0)</f>
        <v>2.6499999999999999E-2</v>
      </c>
    </row>
    <row r="13" spans="1:147" x14ac:dyDescent="0.25">
      <c r="A13" s="35">
        <f t="shared" ref="A13:A41" si="51">1+A12</f>
        <v>43588</v>
      </c>
      <c r="B13" s="87">
        <v>0</v>
      </c>
      <c r="C13" s="88">
        <v>2.76869E-2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87600000</f>
        <v>87600000</v>
      </c>
      <c r="AJ13" s="121">
        <v>2.6499999999999999E-2</v>
      </c>
      <c r="AK13" s="87">
        <f t="shared" si="9"/>
        <v>6448.333333333333</v>
      </c>
      <c r="AL13" s="120"/>
      <c r="AM13" s="121"/>
      <c r="AN13" s="87">
        <f t="shared" si="10"/>
        <v>0</v>
      </c>
      <c r="AO13" s="120"/>
      <c r="AP13" s="121"/>
      <c r="AQ13" s="87">
        <f t="shared" si="11"/>
        <v>0</v>
      </c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87600000</v>
      </c>
      <c r="EC13" s="122">
        <f t="shared" si="41"/>
        <v>0</v>
      </c>
      <c r="ED13" s="87">
        <f t="shared" si="42"/>
        <v>6448.333333333333</v>
      </c>
      <c r="EE13" s="88">
        <f t="shared" si="43"/>
        <v>2.6499999999999999E-2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87600000</v>
      </c>
      <c r="EL13" s="122">
        <f t="shared" si="48"/>
        <v>0</v>
      </c>
      <c r="EM13" s="122">
        <f t="shared" si="49"/>
        <v>6448.333333333333</v>
      </c>
      <c r="EN13" s="88">
        <f t="shared" si="50"/>
        <v>2.6499999999999999E-2</v>
      </c>
    </row>
    <row r="14" spans="1:147" x14ac:dyDescent="0.25">
      <c r="A14" s="35">
        <f t="shared" si="51"/>
        <v>43589</v>
      </c>
      <c r="B14" s="87">
        <v>0</v>
      </c>
      <c r="C14" s="88">
        <v>2.76869E-2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87600000</f>
        <v>87600000</v>
      </c>
      <c r="AJ14" s="121">
        <v>2.6499999999999999E-2</v>
      </c>
      <c r="AK14" s="87">
        <f t="shared" si="9"/>
        <v>6448.333333333333</v>
      </c>
      <c r="AL14" s="120"/>
      <c r="AM14" s="121"/>
      <c r="AN14" s="87">
        <f t="shared" si="10"/>
        <v>0</v>
      </c>
      <c r="AO14" s="120"/>
      <c r="AP14" s="121"/>
      <c r="AQ14" s="87">
        <f t="shared" si="11"/>
        <v>0</v>
      </c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87600000</v>
      </c>
      <c r="EC14" s="122">
        <f t="shared" si="41"/>
        <v>0</v>
      </c>
      <c r="ED14" s="87">
        <f t="shared" si="42"/>
        <v>6448.333333333333</v>
      </c>
      <c r="EE14" s="88">
        <f t="shared" si="43"/>
        <v>2.6499999999999999E-2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87600000</v>
      </c>
      <c r="EL14" s="122">
        <f t="shared" si="48"/>
        <v>0</v>
      </c>
      <c r="EM14" s="122">
        <f t="shared" si="49"/>
        <v>6448.333333333333</v>
      </c>
      <c r="EN14" s="88">
        <f t="shared" si="50"/>
        <v>2.6499999999999999E-2</v>
      </c>
    </row>
    <row r="15" spans="1:147" x14ac:dyDescent="0.25">
      <c r="A15" s="35">
        <f t="shared" si="51"/>
        <v>43590</v>
      </c>
      <c r="B15" s="87">
        <v>0</v>
      </c>
      <c r="C15" s="88">
        <v>2.76869E-2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87600000</f>
        <v>87600000</v>
      </c>
      <c r="AJ15" s="121">
        <v>2.6499999999999999E-2</v>
      </c>
      <c r="AK15" s="87">
        <f t="shared" si="9"/>
        <v>6448.333333333333</v>
      </c>
      <c r="AL15" s="120"/>
      <c r="AM15" s="121"/>
      <c r="AN15" s="87">
        <f t="shared" si="10"/>
        <v>0</v>
      </c>
      <c r="AO15" s="120"/>
      <c r="AP15" s="121"/>
      <c r="AQ15" s="87">
        <f t="shared" si="11"/>
        <v>0</v>
      </c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87600000</v>
      </c>
      <c r="EC15" s="122">
        <f t="shared" si="41"/>
        <v>0</v>
      </c>
      <c r="ED15" s="87">
        <f t="shared" si="42"/>
        <v>6448.333333333333</v>
      </c>
      <c r="EE15" s="88">
        <f t="shared" si="43"/>
        <v>2.6499999999999999E-2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87600000</v>
      </c>
      <c r="EL15" s="122">
        <f t="shared" si="48"/>
        <v>0</v>
      </c>
      <c r="EM15" s="122">
        <f t="shared" si="49"/>
        <v>6448.333333333333</v>
      </c>
      <c r="EN15" s="88">
        <f t="shared" si="50"/>
        <v>2.6499999999999999E-2</v>
      </c>
    </row>
    <row r="16" spans="1:147" x14ac:dyDescent="0.25">
      <c r="A16" s="35">
        <f t="shared" si="51"/>
        <v>43591</v>
      </c>
      <c r="B16" s="87">
        <v>0</v>
      </c>
      <c r="C16" s="88">
        <v>2.7551160000000002E-2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>
        <f>87850000</f>
        <v>87850000</v>
      </c>
      <c r="AJ16" s="121">
        <v>2.6499999999999999E-2</v>
      </c>
      <c r="AK16" s="87">
        <f t="shared" si="9"/>
        <v>6466.7361111111113</v>
      </c>
      <c r="AL16" s="120"/>
      <c r="AM16" s="121"/>
      <c r="AN16" s="87">
        <f t="shared" si="10"/>
        <v>0</v>
      </c>
      <c r="AO16" s="120"/>
      <c r="AP16" s="121"/>
      <c r="AQ16" s="87">
        <f t="shared" si="11"/>
        <v>0</v>
      </c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87850000</v>
      </c>
      <c r="EC16" s="122">
        <f t="shared" si="41"/>
        <v>0</v>
      </c>
      <c r="ED16" s="87">
        <f t="shared" si="42"/>
        <v>6466.7361111111113</v>
      </c>
      <c r="EE16" s="88">
        <f t="shared" si="43"/>
        <v>2.6499999999999999E-2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87850000</v>
      </c>
      <c r="EL16" s="122">
        <f t="shared" si="48"/>
        <v>0</v>
      </c>
      <c r="EM16" s="122">
        <f t="shared" si="49"/>
        <v>6466.7361111111113</v>
      </c>
      <c r="EN16" s="88">
        <f t="shared" si="50"/>
        <v>2.6499999999999999E-2</v>
      </c>
    </row>
    <row r="17" spans="1:144" x14ac:dyDescent="0.25">
      <c r="A17" s="35">
        <f t="shared" si="51"/>
        <v>43592</v>
      </c>
      <c r="B17" s="87">
        <v>0</v>
      </c>
      <c r="C17" s="88">
        <v>2.7643559999999998E-2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>
        <f>60425000</f>
        <v>60425000</v>
      </c>
      <c r="AJ17" s="121">
        <v>2.6499999999999999E-2</v>
      </c>
      <c r="AK17" s="87">
        <f t="shared" si="9"/>
        <v>4447.9513888888887</v>
      </c>
      <c r="AL17" s="120">
        <f t="shared" ref="AL17:AL41" si="52">25000000</f>
        <v>25000000</v>
      </c>
      <c r="AM17" s="121">
        <v>2.75E-2</v>
      </c>
      <c r="AN17" s="87">
        <f t="shared" si="10"/>
        <v>1909.7222222222222</v>
      </c>
      <c r="AO17" s="120"/>
      <c r="AP17" s="121"/>
      <c r="AQ17" s="87">
        <f t="shared" si="11"/>
        <v>0</v>
      </c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85425000</v>
      </c>
      <c r="EC17" s="122">
        <f t="shared" si="41"/>
        <v>0</v>
      </c>
      <c r="ED17" s="87">
        <f t="shared" si="42"/>
        <v>6357.6736111111113</v>
      </c>
      <c r="EE17" s="88">
        <f t="shared" si="43"/>
        <v>2.6792654375182912E-2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85425000</v>
      </c>
      <c r="EL17" s="122">
        <f t="shared" si="48"/>
        <v>0</v>
      </c>
      <c r="EM17" s="122">
        <f t="shared" si="49"/>
        <v>6357.6736111111113</v>
      </c>
      <c r="EN17" s="88">
        <f t="shared" si="50"/>
        <v>2.6792654375182912E-2</v>
      </c>
    </row>
    <row r="18" spans="1:144" x14ac:dyDescent="0.25">
      <c r="A18" s="35">
        <f t="shared" si="51"/>
        <v>43593</v>
      </c>
      <c r="B18" s="87">
        <v>0</v>
      </c>
      <c r="C18" s="88">
        <v>2.742727E-2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>
        <f>52075000</f>
        <v>52075000</v>
      </c>
      <c r="AJ18" s="121">
        <v>2.6499999999999999E-2</v>
      </c>
      <c r="AK18" s="87">
        <f t="shared" si="9"/>
        <v>3833.2986111111113</v>
      </c>
      <c r="AL18" s="120">
        <f t="shared" si="52"/>
        <v>25000000</v>
      </c>
      <c r="AM18" s="121">
        <v>2.75E-2</v>
      </c>
      <c r="AN18" s="87">
        <f t="shared" si="10"/>
        <v>1909.7222222222222</v>
      </c>
      <c r="AO18" s="120"/>
      <c r="AP18" s="121"/>
      <c r="AQ18" s="87">
        <f t="shared" si="11"/>
        <v>0</v>
      </c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77075000</v>
      </c>
      <c r="EC18" s="122">
        <f t="shared" si="41"/>
        <v>0</v>
      </c>
      <c r="ED18" s="87">
        <f t="shared" si="42"/>
        <v>5743.0208333333339</v>
      </c>
      <c r="EE18" s="88">
        <f t="shared" si="43"/>
        <v>2.6824359390204347E-2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77075000</v>
      </c>
      <c r="EL18" s="122">
        <f t="shared" si="48"/>
        <v>0</v>
      </c>
      <c r="EM18" s="122">
        <f t="shared" si="49"/>
        <v>5743.0208333333339</v>
      </c>
      <c r="EN18" s="88">
        <f t="shared" si="50"/>
        <v>2.6824359390204347E-2</v>
      </c>
    </row>
    <row r="19" spans="1:144" x14ac:dyDescent="0.25">
      <c r="A19" s="35">
        <f t="shared" si="51"/>
        <v>43594</v>
      </c>
      <c r="B19" s="87">
        <v>0</v>
      </c>
      <c r="C19" s="88">
        <v>2.7411819999999996E-2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>
        <f>49725000</f>
        <v>49725000</v>
      </c>
      <c r="AJ19" s="121">
        <v>2.6499999999999999E-2</v>
      </c>
      <c r="AK19" s="87">
        <f t="shared" si="9"/>
        <v>3660.3125</v>
      </c>
      <c r="AL19" s="120">
        <f t="shared" si="52"/>
        <v>25000000</v>
      </c>
      <c r="AM19" s="121">
        <v>2.75E-2</v>
      </c>
      <c r="AN19" s="87">
        <f t="shared" si="10"/>
        <v>1909.7222222222222</v>
      </c>
      <c r="AO19" s="120"/>
      <c r="AP19" s="121"/>
      <c r="AQ19" s="87">
        <f t="shared" si="11"/>
        <v>0</v>
      </c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74725000</v>
      </c>
      <c r="EC19" s="122">
        <f t="shared" si="41"/>
        <v>0</v>
      </c>
      <c r="ED19" s="87">
        <f t="shared" si="42"/>
        <v>5570.0347222222226</v>
      </c>
      <c r="EE19" s="88">
        <f t="shared" si="43"/>
        <v>2.6834560053529612E-2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74725000</v>
      </c>
      <c r="EL19" s="122">
        <f t="shared" si="48"/>
        <v>0</v>
      </c>
      <c r="EM19" s="122">
        <f t="shared" si="49"/>
        <v>5570.0347222222226</v>
      </c>
      <c r="EN19" s="88">
        <f t="shared" si="50"/>
        <v>2.6834560053529612E-2</v>
      </c>
    </row>
    <row r="20" spans="1:144" x14ac:dyDescent="0.25">
      <c r="A20" s="35">
        <f t="shared" si="51"/>
        <v>43595</v>
      </c>
      <c r="B20" s="87">
        <v>0</v>
      </c>
      <c r="C20" s="88">
        <v>2.7413199999999999E-2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>
        <f>54325000</f>
        <v>54325000</v>
      </c>
      <c r="AJ20" s="121">
        <v>2.6499999999999999E-2</v>
      </c>
      <c r="AK20" s="87">
        <f t="shared" si="9"/>
        <v>3998.9236111111113</v>
      </c>
      <c r="AL20" s="120">
        <f t="shared" si="52"/>
        <v>25000000</v>
      </c>
      <c r="AM20" s="121">
        <v>2.75E-2</v>
      </c>
      <c r="AN20" s="87">
        <f t="shared" si="10"/>
        <v>1909.7222222222222</v>
      </c>
      <c r="AO20" s="120"/>
      <c r="AP20" s="121"/>
      <c r="AQ20" s="87">
        <f t="shared" si="11"/>
        <v>0</v>
      </c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79325000</v>
      </c>
      <c r="EC20" s="122">
        <f t="shared" si="41"/>
        <v>0</v>
      </c>
      <c r="ED20" s="87">
        <f t="shared" si="42"/>
        <v>5908.6458333333339</v>
      </c>
      <c r="EE20" s="88">
        <f t="shared" si="43"/>
        <v>2.6815159155373469E-2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79325000</v>
      </c>
      <c r="EL20" s="122">
        <f t="shared" si="48"/>
        <v>0</v>
      </c>
      <c r="EM20" s="122">
        <f t="shared" si="49"/>
        <v>5908.6458333333339</v>
      </c>
      <c r="EN20" s="88">
        <f t="shared" si="50"/>
        <v>2.6815159155373469E-2</v>
      </c>
    </row>
    <row r="21" spans="1:144" x14ac:dyDescent="0.25">
      <c r="A21" s="35">
        <f t="shared" si="51"/>
        <v>43596</v>
      </c>
      <c r="B21" s="87">
        <v>0</v>
      </c>
      <c r="C21" s="88">
        <v>2.7413199999999999E-2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>
        <f>54325000</f>
        <v>54325000</v>
      </c>
      <c r="AJ21" s="121">
        <v>2.6499999999999999E-2</v>
      </c>
      <c r="AK21" s="87">
        <f t="shared" si="9"/>
        <v>3998.9236111111113</v>
      </c>
      <c r="AL21" s="120">
        <f t="shared" si="52"/>
        <v>25000000</v>
      </c>
      <c r="AM21" s="121">
        <v>2.75E-2</v>
      </c>
      <c r="AN21" s="87">
        <f t="shared" si="10"/>
        <v>1909.7222222222222</v>
      </c>
      <c r="AO21" s="120"/>
      <c r="AP21" s="121"/>
      <c r="AQ21" s="87">
        <f t="shared" si="11"/>
        <v>0</v>
      </c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79325000</v>
      </c>
      <c r="EC21" s="122">
        <f t="shared" si="41"/>
        <v>0</v>
      </c>
      <c r="ED21" s="87">
        <f t="shared" si="42"/>
        <v>5908.6458333333339</v>
      </c>
      <c r="EE21" s="88">
        <f t="shared" si="43"/>
        <v>2.6815159155373469E-2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79325000</v>
      </c>
      <c r="EL21" s="122">
        <f t="shared" si="48"/>
        <v>0</v>
      </c>
      <c r="EM21" s="122">
        <f t="shared" si="49"/>
        <v>5908.6458333333339</v>
      </c>
      <c r="EN21" s="88">
        <f t="shared" si="50"/>
        <v>2.6815159155373469E-2</v>
      </c>
    </row>
    <row r="22" spans="1:144" x14ac:dyDescent="0.25">
      <c r="A22" s="35">
        <f t="shared" si="51"/>
        <v>43597</v>
      </c>
      <c r="B22" s="87">
        <v>0</v>
      </c>
      <c r="C22" s="88">
        <v>2.7413199999999999E-2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>
        <f>54325000</f>
        <v>54325000</v>
      </c>
      <c r="AJ22" s="121">
        <v>2.6499999999999999E-2</v>
      </c>
      <c r="AK22" s="87">
        <f t="shared" si="9"/>
        <v>3998.9236111111113</v>
      </c>
      <c r="AL22" s="120">
        <f t="shared" si="52"/>
        <v>25000000</v>
      </c>
      <c r="AM22" s="121">
        <v>2.75E-2</v>
      </c>
      <c r="AN22" s="87">
        <f t="shared" si="10"/>
        <v>1909.7222222222222</v>
      </c>
      <c r="AO22" s="120"/>
      <c r="AP22" s="121"/>
      <c r="AQ22" s="87">
        <f t="shared" si="11"/>
        <v>0</v>
      </c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79325000</v>
      </c>
      <c r="EC22" s="122">
        <f t="shared" si="41"/>
        <v>0</v>
      </c>
      <c r="ED22" s="87">
        <f t="shared" si="42"/>
        <v>5908.6458333333339</v>
      </c>
      <c r="EE22" s="88">
        <f t="shared" si="43"/>
        <v>2.6815159155373469E-2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79325000</v>
      </c>
      <c r="EL22" s="122">
        <f t="shared" si="48"/>
        <v>0</v>
      </c>
      <c r="EM22" s="122">
        <f t="shared" si="49"/>
        <v>5908.6458333333339</v>
      </c>
      <c r="EN22" s="88">
        <f t="shared" si="50"/>
        <v>2.6815159155373469E-2</v>
      </c>
    </row>
    <row r="23" spans="1:144" x14ac:dyDescent="0.25">
      <c r="A23" s="35">
        <f t="shared" si="51"/>
        <v>43598</v>
      </c>
      <c r="B23" s="87">
        <v>0</v>
      </c>
      <c r="C23" s="88">
        <v>2.7406340000000001E-2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>
        <f>64325000</f>
        <v>64325000</v>
      </c>
      <c r="AJ23" s="121">
        <v>2.6499999999999999E-2</v>
      </c>
      <c r="AK23" s="87">
        <f t="shared" si="9"/>
        <v>4735.0347222222226</v>
      </c>
      <c r="AL23" s="120">
        <f t="shared" si="52"/>
        <v>25000000</v>
      </c>
      <c r="AM23" s="121">
        <v>2.75E-2</v>
      </c>
      <c r="AN23" s="87">
        <f t="shared" si="10"/>
        <v>1909.7222222222222</v>
      </c>
      <c r="AO23" s="120"/>
      <c r="AP23" s="121"/>
      <c r="AQ23" s="87">
        <f t="shared" si="11"/>
        <v>0</v>
      </c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89325000</v>
      </c>
      <c r="EC23" s="122">
        <f t="shared" si="41"/>
        <v>0</v>
      </c>
      <c r="ED23" s="87">
        <f t="shared" si="42"/>
        <v>6644.7569444444453</v>
      </c>
      <c r="EE23" s="88">
        <f t="shared" si="43"/>
        <v>2.6779876854184162E-2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89325000</v>
      </c>
      <c r="EL23" s="122">
        <f t="shared" si="48"/>
        <v>0</v>
      </c>
      <c r="EM23" s="122">
        <f t="shared" si="49"/>
        <v>6644.7569444444453</v>
      </c>
      <c r="EN23" s="88">
        <f t="shared" si="50"/>
        <v>2.6779876854184162E-2</v>
      </c>
    </row>
    <row r="24" spans="1:144" x14ac:dyDescent="0.25">
      <c r="A24" s="35">
        <f t="shared" si="51"/>
        <v>43599</v>
      </c>
      <c r="B24" s="87">
        <v>0</v>
      </c>
      <c r="C24" s="88">
        <v>2.7406050000000001E-2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>
        <f>65100000</f>
        <v>65100000</v>
      </c>
      <c r="AJ24" s="121">
        <v>2.6499999999999999E-2</v>
      </c>
      <c r="AK24" s="87">
        <f t="shared" si="9"/>
        <v>4792.083333333333</v>
      </c>
      <c r="AL24" s="120">
        <f t="shared" si="52"/>
        <v>25000000</v>
      </c>
      <c r="AM24" s="121">
        <v>2.75E-2</v>
      </c>
      <c r="AN24" s="87">
        <f t="shared" si="10"/>
        <v>1909.7222222222222</v>
      </c>
      <c r="AO24" s="120"/>
      <c r="AP24" s="121"/>
      <c r="AQ24" s="87">
        <f t="shared" si="11"/>
        <v>0</v>
      </c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90100000</v>
      </c>
      <c r="EC24" s="122">
        <f t="shared" si="41"/>
        <v>0</v>
      </c>
      <c r="ED24" s="87">
        <f t="shared" si="42"/>
        <v>6701.8055555555547</v>
      </c>
      <c r="EE24" s="88">
        <f t="shared" si="43"/>
        <v>2.6777469478357376E-2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90100000</v>
      </c>
      <c r="EL24" s="122">
        <f t="shared" si="48"/>
        <v>0</v>
      </c>
      <c r="EM24" s="122">
        <f t="shared" si="49"/>
        <v>6701.8055555555547</v>
      </c>
      <c r="EN24" s="88">
        <f t="shared" si="50"/>
        <v>2.6777469478357376E-2</v>
      </c>
    </row>
    <row r="25" spans="1:144" x14ac:dyDescent="0.25">
      <c r="A25" s="35">
        <f t="shared" si="51"/>
        <v>43600</v>
      </c>
      <c r="B25" s="87">
        <v>0</v>
      </c>
      <c r="C25" s="88">
        <v>2.74661E-2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>
        <f>65725000</f>
        <v>65725000</v>
      </c>
      <c r="AJ25" s="121">
        <v>2.6499999999999999E-2</v>
      </c>
      <c r="AK25" s="87">
        <f t="shared" si="9"/>
        <v>4838.0902777777774</v>
      </c>
      <c r="AL25" s="120">
        <f t="shared" si="52"/>
        <v>25000000</v>
      </c>
      <c r="AM25" s="121">
        <v>2.75E-2</v>
      </c>
      <c r="AN25" s="87">
        <f t="shared" si="10"/>
        <v>1909.7222222222222</v>
      </c>
      <c r="AO25" s="120">
        <f t="shared" ref="AO25:AO41" si="53">25000000</f>
        <v>25000000</v>
      </c>
      <c r="AP25" s="121">
        <v>2.7699999999999999E-2</v>
      </c>
      <c r="AQ25" s="87">
        <f t="shared" si="11"/>
        <v>1923.6111111111111</v>
      </c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115725000</v>
      </c>
      <c r="EC25" s="122">
        <f t="shared" si="41"/>
        <v>0</v>
      </c>
      <c r="ED25" s="87">
        <f t="shared" si="42"/>
        <v>8671.4236111111113</v>
      </c>
      <c r="EE25" s="88">
        <f t="shared" si="43"/>
        <v>2.6975264635990495E-2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115725000</v>
      </c>
      <c r="EL25" s="122">
        <f t="shared" si="48"/>
        <v>0</v>
      </c>
      <c r="EM25" s="122">
        <f t="shared" si="49"/>
        <v>8671.4236111111095</v>
      </c>
      <c r="EN25" s="88">
        <f t="shared" si="50"/>
        <v>2.6975264635990488E-2</v>
      </c>
    </row>
    <row r="26" spans="1:144" x14ac:dyDescent="0.25">
      <c r="A26" s="35">
        <f t="shared" si="51"/>
        <v>43601</v>
      </c>
      <c r="B26" s="87">
        <v>0</v>
      </c>
      <c r="C26" s="88">
        <v>2.7488009999999997E-2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>
        <f>57425000</f>
        <v>57425000</v>
      </c>
      <c r="AJ26" s="121">
        <v>2.6499999999999999E-2</v>
      </c>
      <c r="AK26" s="87">
        <f t="shared" si="9"/>
        <v>4227.1180555555557</v>
      </c>
      <c r="AL26" s="120">
        <f t="shared" si="52"/>
        <v>25000000</v>
      </c>
      <c r="AM26" s="121">
        <v>2.75E-2</v>
      </c>
      <c r="AN26" s="87">
        <f t="shared" si="10"/>
        <v>1909.7222222222222</v>
      </c>
      <c r="AO26" s="120">
        <f t="shared" si="53"/>
        <v>25000000</v>
      </c>
      <c r="AP26" s="121">
        <v>2.7699999999999999E-2</v>
      </c>
      <c r="AQ26" s="87">
        <f t="shared" si="11"/>
        <v>1923.6111111111111</v>
      </c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107425000</v>
      </c>
      <c r="EC26" s="122">
        <f t="shared" si="41"/>
        <v>0</v>
      </c>
      <c r="ED26" s="87">
        <f t="shared" si="42"/>
        <v>8060.4513888888887</v>
      </c>
      <c r="EE26" s="88">
        <f t="shared" si="43"/>
        <v>2.7011985105887832E-2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107425000</v>
      </c>
      <c r="EL26" s="122">
        <f t="shared" si="48"/>
        <v>0</v>
      </c>
      <c r="EM26" s="122">
        <f t="shared" si="49"/>
        <v>8060.4513888888887</v>
      </c>
      <c r="EN26" s="88">
        <f t="shared" si="50"/>
        <v>2.7011985105887832E-2</v>
      </c>
    </row>
    <row r="27" spans="1:144" x14ac:dyDescent="0.25">
      <c r="A27" s="35">
        <f t="shared" si="51"/>
        <v>43602</v>
      </c>
      <c r="B27" s="87">
        <v>0</v>
      </c>
      <c r="C27" s="88">
        <v>2.7531139999999999E-2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>
        <f>52350000</f>
        <v>52350000</v>
      </c>
      <c r="AJ27" s="121">
        <v>2.6499999999999999E-2</v>
      </c>
      <c r="AK27" s="87">
        <f t="shared" si="9"/>
        <v>3853.5416666666665</v>
      </c>
      <c r="AL27" s="120">
        <f t="shared" si="52"/>
        <v>25000000</v>
      </c>
      <c r="AM27" s="121">
        <v>2.75E-2</v>
      </c>
      <c r="AN27" s="87">
        <f t="shared" si="10"/>
        <v>1909.7222222222222</v>
      </c>
      <c r="AO27" s="120">
        <f t="shared" si="53"/>
        <v>25000000</v>
      </c>
      <c r="AP27" s="121">
        <v>2.7699999999999999E-2</v>
      </c>
      <c r="AQ27" s="87">
        <f t="shared" si="11"/>
        <v>1923.6111111111111</v>
      </c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102350000</v>
      </c>
      <c r="EC27" s="122">
        <f t="shared" si="41"/>
        <v>0</v>
      </c>
      <c r="ED27" s="87">
        <f t="shared" si="42"/>
        <v>7686.875</v>
      </c>
      <c r="EE27" s="88">
        <f t="shared" si="43"/>
        <v>2.7037371763556427E-2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102350000</v>
      </c>
      <c r="EL27" s="122">
        <f t="shared" si="48"/>
        <v>0</v>
      </c>
      <c r="EM27" s="122">
        <f t="shared" si="49"/>
        <v>7686.875</v>
      </c>
      <c r="EN27" s="88">
        <f t="shared" si="50"/>
        <v>2.7037371763556427E-2</v>
      </c>
    </row>
    <row r="28" spans="1:144" x14ac:dyDescent="0.25">
      <c r="A28" s="35">
        <f t="shared" si="51"/>
        <v>43603</v>
      </c>
      <c r="B28" s="87">
        <v>0</v>
      </c>
      <c r="C28" s="88">
        <v>2.7531139999999999E-2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>
        <f>52350000</f>
        <v>52350000</v>
      </c>
      <c r="AJ28" s="121">
        <v>2.6499999999999999E-2</v>
      </c>
      <c r="AK28" s="87">
        <f t="shared" si="9"/>
        <v>3853.5416666666665</v>
      </c>
      <c r="AL28" s="120">
        <f t="shared" si="52"/>
        <v>25000000</v>
      </c>
      <c r="AM28" s="121">
        <v>2.75E-2</v>
      </c>
      <c r="AN28" s="87">
        <f t="shared" si="10"/>
        <v>1909.7222222222222</v>
      </c>
      <c r="AO28" s="120">
        <f t="shared" si="53"/>
        <v>25000000</v>
      </c>
      <c r="AP28" s="121">
        <v>2.7699999999999999E-2</v>
      </c>
      <c r="AQ28" s="87">
        <f t="shared" si="11"/>
        <v>1923.6111111111111</v>
      </c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102350000</v>
      </c>
      <c r="EC28" s="122">
        <f t="shared" si="41"/>
        <v>0</v>
      </c>
      <c r="ED28" s="87">
        <f t="shared" si="42"/>
        <v>7686.875</v>
      </c>
      <c r="EE28" s="88">
        <f t="shared" si="43"/>
        <v>2.7037371763556427E-2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102350000</v>
      </c>
      <c r="EL28" s="122">
        <f t="shared" si="48"/>
        <v>0</v>
      </c>
      <c r="EM28" s="122">
        <f t="shared" si="49"/>
        <v>7686.875</v>
      </c>
      <c r="EN28" s="88">
        <f t="shared" si="50"/>
        <v>2.7037371763556427E-2</v>
      </c>
    </row>
    <row r="29" spans="1:144" x14ac:dyDescent="0.25">
      <c r="A29" s="35">
        <f t="shared" si="51"/>
        <v>43604</v>
      </c>
      <c r="B29" s="87">
        <v>0</v>
      </c>
      <c r="C29" s="88">
        <v>2.7531139999999999E-2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52350000</f>
        <v>52350000</v>
      </c>
      <c r="AJ29" s="121">
        <v>2.6499999999999999E-2</v>
      </c>
      <c r="AK29" s="87">
        <f t="shared" si="9"/>
        <v>3853.5416666666665</v>
      </c>
      <c r="AL29" s="120">
        <f t="shared" si="52"/>
        <v>25000000</v>
      </c>
      <c r="AM29" s="121">
        <v>2.75E-2</v>
      </c>
      <c r="AN29" s="87">
        <f t="shared" si="10"/>
        <v>1909.7222222222222</v>
      </c>
      <c r="AO29" s="120">
        <f t="shared" si="53"/>
        <v>25000000</v>
      </c>
      <c r="AP29" s="121">
        <v>2.7699999999999999E-2</v>
      </c>
      <c r="AQ29" s="87">
        <f t="shared" si="11"/>
        <v>1923.6111111111111</v>
      </c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102350000</v>
      </c>
      <c r="EC29" s="122">
        <f t="shared" si="41"/>
        <v>0</v>
      </c>
      <c r="ED29" s="87">
        <f t="shared" si="42"/>
        <v>7686.875</v>
      </c>
      <c r="EE29" s="88">
        <f t="shared" si="43"/>
        <v>2.7037371763556427E-2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102350000</v>
      </c>
      <c r="EL29" s="122">
        <f t="shared" si="48"/>
        <v>0</v>
      </c>
      <c r="EM29" s="122">
        <f t="shared" si="49"/>
        <v>7686.875</v>
      </c>
      <c r="EN29" s="88">
        <f t="shared" si="50"/>
        <v>2.7037371763556427E-2</v>
      </c>
    </row>
    <row r="30" spans="1:144" x14ac:dyDescent="0.25">
      <c r="A30" s="35">
        <f t="shared" si="51"/>
        <v>43605</v>
      </c>
      <c r="B30" s="87">
        <v>0</v>
      </c>
      <c r="C30" s="88">
        <v>2.7523010000000001E-2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70050000</f>
        <v>70050000</v>
      </c>
      <c r="AJ30" s="121">
        <v>2.63E-2</v>
      </c>
      <c r="AK30" s="87">
        <f t="shared" si="9"/>
        <v>5117.541666666667</v>
      </c>
      <c r="AL30" s="120">
        <f t="shared" si="52"/>
        <v>25000000</v>
      </c>
      <c r="AM30" s="121">
        <v>2.75E-2</v>
      </c>
      <c r="AN30" s="87">
        <f t="shared" si="10"/>
        <v>1909.7222222222222</v>
      </c>
      <c r="AO30" s="120">
        <f t="shared" si="53"/>
        <v>25000000</v>
      </c>
      <c r="AP30" s="121">
        <v>2.7699999999999999E-2</v>
      </c>
      <c r="AQ30" s="87">
        <f t="shared" si="11"/>
        <v>1923.6111111111111</v>
      </c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120050000</v>
      </c>
      <c r="EC30" s="122">
        <f t="shared" si="41"/>
        <v>0</v>
      </c>
      <c r="ED30" s="87">
        <f t="shared" si="42"/>
        <v>8950.875</v>
      </c>
      <c r="EE30" s="88">
        <f t="shared" si="43"/>
        <v>2.6841441066222407E-2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120050000</v>
      </c>
      <c r="EL30" s="122">
        <f t="shared" si="48"/>
        <v>0</v>
      </c>
      <c r="EM30" s="122">
        <f t="shared" si="49"/>
        <v>8950.875</v>
      </c>
      <c r="EN30" s="88">
        <f t="shared" si="50"/>
        <v>2.6841441066222407E-2</v>
      </c>
    </row>
    <row r="31" spans="1:144" x14ac:dyDescent="0.25">
      <c r="A31" s="35">
        <f t="shared" si="51"/>
        <v>43606</v>
      </c>
      <c r="B31" s="87">
        <v>0</v>
      </c>
      <c r="C31" s="88">
        <v>2.7519200000000001E-2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>
        <f>63575000</f>
        <v>63575000</v>
      </c>
      <c r="AJ31" s="121">
        <v>2.63E-2</v>
      </c>
      <c r="AK31" s="87">
        <f t="shared" si="9"/>
        <v>4644.5069444444443</v>
      </c>
      <c r="AL31" s="120">
        <f t="shared" si="52"/>
        <v>25000000</v>
      </c>
      <c r="AM31" s="121">
        <v>2.75E-2</v>
      </c>
      <c r="AN31" s="87">
        <f t="shared" si="10"/>
        <v>1909.7222222222222</v>
      </c>
      <c r="AO31" s="120">
        <f t="shared" si="53"/>
        <v>25000000</v>
      </c>
      <c r="AP31" s="121">
        <v>2.7699999999999999E-2</v>
      </c>
      <c r="AQ31" s="87">
        <f t="shared" si="11"/>
        <v>1923.6111111111111</v>
      </c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113575000</v>
      </c>
      <c r="EC31" s="122">
        <f t="shared" si="41"/>
        <v>0</v>
      </c>
      <c r="ED31" s="87">
        <f t="shared" si="42"/>
        <v>8477.8402777777774</v>
      </c>
      <c r="EE31" s="88">
        <f t="shared" si="43"/>
        <v>2.6872309046885316E-2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113575000</v>
      </c>
      <c r="EL31" s="122">
        <f t="shared" si="48"/>
        <v>0</v>
      </c>
      <c r="EM31" s="122">
        <f t="shared" si="49"/>
        <v>8477.8402777777774</v>
      </c>
      <c r="EN31" s="88">
        <f t="shared" si="50"/>
        <v>2.6872309046885316E-2</v>
      </c>
    </row>
    <row r="32" spans="1:144" x14ac:dyDescent="0.25">
      <c r="A32" s="35">
        <f t="shared" si="51"/>
        <v>43607</v>
      </c>
      <c r="B32" s="87">
        <v>0</v>
      </c>
      <c r="C32" s="88">
        <v>2.7506270000000003E-2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f>59025000</f>
        <v>59025000</v>
      </c>
      <c r="AJ32" s="121">
        <v>2.63E-2</v>
      </c>
      <c r="AK32" s="87">
        <f t="shared" si="9"/>
        <v>4312.104166666667</v>
      </c>
      <c r="AL32" s="120">
        <f t="shared" si="52"/>
        <v>25000000</v>
      </c>
      <c r="AM32" s="121">
        <v>2.75E-2</v>
      </c>
      <c r="AN32" s="87">
        <f t="shared" si="10"/>
        <v>1909.7222222222222</v>
      </c>
      <c r="AO32" s="120">
        <f t="shared" si="53"/>
        <v>25000000</v>
      </c>
      <c r="AP32" s="121">
        <v>2.7699999999999999E-2</v>
      </c>
      <c r="AQ32" s="87">
        <f t="shared" si="11"/>
        <v>1923.6111111111111</v>
      </c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109025000</v>
      </c>
      <c r="EC32" s="122">
        <f t="shared" si="41"/>
        <v>0</v>
      </c>
      <c r="ED32" s="87">
        <f t="shared" si="42"/>
        <v>8145.4375</v>
      </c>
      <c r="EE32" s="88">
        <f t="shared" si="43"/>
        <v>2.6896193533593214E-2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109025000</v>
      </c>
      <c r="EL32" s="122">
        <f t="shared" si="48"/>
        <v>0</v>
      </c>
      <c r="EM32" s="122">
        <f t="shared" si="49"/>
        <v>8145.4375</v>
      </c>
      <c r="EN32" s="88">
        <f t="shared" si="50"/>
        <v>2.6896193533593214E-2</v>
      </c>
    </row>
    <row r="33" spans="1:144" x14ac:dyDescent="0.25">
      <c r="A33" s="35">
        <f t="shared" si="51"/>
        <v>43608</v>
      </c>
      <c r="B33" s="87">
        <v>0</v>
      </c>
      <c r="C33" s="88">
        <v>2.750505E-2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53150000</f>
        <v>53150000</v>
      </c>
      <c r="AJ33" s="121">
        <v>2.63E-2</v>
      </c>
      <c r="AK33" s="87">
        <f t="shared" si="9"/>
        <v>3882.9027777777778</v>
      </c>
      <c r="AL33" s="120">
        <f t="shared" si="52"/>
        <v>25000000</v>
      </c>
      <c r="AM33" s="121">
        <v>2.75E-2</v>
      </c>
      <c r="AN33" s="87">
        <f t="shared" si="10"/>
        <v>1909.7222222222222</v>
      </c>
      <c r="AO33" s="120">
        <f t="shared" si="53"/>
        <v>25000000</v>
      </c>
      <c r="AP33" s="121">
        <v>2.7699999999999999E-2</v>
      </c>
      <c r="AQ33" s="87">
        <f t="shared" si="11"/>
        <v>1923.6111111111111</v>
      </c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103150000</v>
      </c>
      <c r="EC33" s="122">
        <f t="shared" si="41"/>
        <v>0</v>
      </c>
      <c r="ED33" s="87">
        <f t="shared" si="42"/>
        <v>7716.2361111111113</v>
      </c>
      <c r="EE33" s="88">
        <f t="shared" si="43"/>
        <v>2.6930150266602036E-2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103150000</v>
      </c>
      <c r="EL33" s="122">
        <f t="shared" si="48"/>
        <v>0</v>
      </c>
      <c r="EM33" s="122">
        <f t="shared" si="49"/>
        <v>7716.2361111111113</v>
      </c>
      <c r="EN33" s="88">
        <f t="shared" si="50"/>
        <v>2.6930150266602036E-2</v>
      </c>
    </row>
    <row r="34" spans="1:144" x14ac:dyDescent="0.25">
      <c r="A34" s="35">
        <f t="shared" si="51"/>
        <v>43609</v>
      </c>
      <c r="B34" s="87">
        <v>0</v>
      </c>
      <c r="C34" s="88">
        <v>2.748743E-2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55750000</f>
        <v>55750000</v>
      </c>
      <c r="AJ34" s="121">
        <v>2.63E-2</v>
      </c>
      <c r="AK34" s="87">
        <f t="shared" si="9"/>
        <v>4072.8472222222222</v>
      </c>
      <c r="AL34" s="120">
        <f t="shared" si="52"/>
        <v>25000000</v>
      </c>
      <c r="AM34" s="121">
        <v>2.75E-2</v>
      </c>
      <c r="AN34" s="87">
        <f t="shared" si="10"/>
        <v>1909.7222222222222</v>
      </c>
      <c r="AO34" s="120">
        <f t="shared" si="53"/>
        <v>25000000</v>
      </c>
      <c r="AP34" s="121">
        <v>2.7699999999999999E-2</v>
      </c>
      <c r="AQ34" s="87">
        <f t="shared" si="11"/>
        <v>1923.6111111111111</v>
      </c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105750000</v>
      </c>
      <c r="EC34" s="122">
        <f t="shared" si="41"/>
        <v>0</v>
      </c>
      <c r="ED34" s="87">
        <f t="shared" si="42"/>
        <v>7906.1805555555557</v>
      </c>
      <c r="EE34" s="88">
        <f t="shared" si="43"/>
        <v>2.6914657210401892E-2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105750000</v>
      </c>
      <c r="EL34" s="122">
        <f t="shared" si="48"/>
        <v>0</v>
      </c>
      <c r="EM34" s="122">
        <f t="shared" si="49"/>
        <v>7906.1805555555547</v>
      </c>
      <c r="EN34" s="88">
        <f t="shared" si="50"/>
        <v>2.6914657210401888E-2</v>
      </c>
    </row>
    <row r="35" spans="1:144" x14ac:dyDescent="0.25">
      <c r="A35" s="35">
        <f t="shared" si="51"/>
        <v>43610</v>
      </c>
      <c r="B35" s="87">
        <v>0</v>
      </c>
      <c r="C35" s="88">
        <v>2.748743E-2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55750000</f>
        <v>55750000</v>
      </c>
      <c r="AJ35" s="121">
        <v>2.63E-2</v>
      </c>
      <c r="AK35" s="87">
        <f t="shared" si="9"/>
        <v>4072.8472222222222</v>
      </c>
      <c r="AL35" s="120">
        <f t="shared" si="52"/>
        <v>25000000</v>
      </c>
      <c r="AM35" s="121">
        <v>2.75E-2</v>
      </c>
      <c r="AN35" s="87">
        <f t="shared" si="10"/>
        <v>1909.7222222222222</v>
      </c>
      <c r="AO35" s="120">
        <f t="shared" si="53"/>
        <v>25000000</v>
      </c>
      <c r="AP35" s="121">
        <v>2.7699999999999999E-2</v>
      </c>
      <c r="AQ35" s="87">
        <f t="shared" si="11"/>
        <v>1923.6111111111111</v>
      </c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105750000</v>
      </c>
      <c r="EC35" s="122">
        <f t="shared" si="41"/>
        <v>0</v>
      </c>
      <c r="ED35" s="87">
        <f t="shared" si="42"/>
        <v>7906.1805555555557</v>
      </c>
      <c r="EE35" s="88">
        <f t="shared" si="43"/>
        <v>2.6914657210401892E-2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105750000</v>
      </c>
      <c r="EL35" s="122">
        <f t="shared" si="48"/>
        <v>0</v>
      </c>
      <c r="EM35" s="122">
        <f t="shared" si="49"/>
        <v>7906.1805555555547</v>
      </c>
      <c r="EN35" s="88">
        <f t="shared" si="50"/>
        <v>2.6914657210401888E-2</v>
      </c>
    </row>
    <row r="36" spans="1:144" x14ac:dyDescent="0.25">
      <c r="A36" s="35">
        <f t="shared" si="51"/>
        <v>43611</v>
      </c>
      <c r="B36" s="87">
        <v>0</v>
      </c>
      <c r="C36" s="88">
        <v>2.748743E-2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55750000</f>
        <v>55750000</v>
      </c>
      <c r="AJ36" s="121">
        <v>2.63E-2</v>
      </c>
      <c r="AK36" s="87">
        <f t="shared" si="9"/>
        <v>4072.8472222222222</v>
      </c>
      <c r="AL36" s="120">
        <f t="shared" si="52"/>
        <v>25000000</v>
      </c>
      <c r="AM36" s="121">
        <v>2.75E-2</v>
      </c>
      <c r="AN36" s="87">
        <f t="shared" si="10"/>
        <v>1909.7222222222222</v>
      </c>
      <c r="AO36" s="120">
        <f t="shared" si="53"/>
        <v>25000000</v>
      </c>
      <c r="AP36" s="121">
        <v>2.7699999999999999E-2</v>
      </c>
      <c r="AQ36" s="87">
        <f t="shared" si="11"/>
        <v>1923.6111111111111</v>
      </c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105750000</v>
      </c>
      <c r="EC36" s="122">
        <f t="shared" si="41"/>
        <v>0</v>
      </c>
      <c r="ED36" s="87">
        <f t="shared" si="42"/>
        <v>7906.1805555555557</v>
      </c>
      <c r="EE36" s="88">
        <f t="shared" si="43"/>
        <v>2.6914657210401892E-2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105750000</v>
      </c>
      <c r="EL36" s="122">
        <f t="shared" si="48"/>
        <v>0</v>
      </c>
      <c r="EM36" s="122">
        <f t="shared" si="49"/>
        <v>7906.1805555555547</v>
      </c>
      <c r="EN36" s="88">
        <f t="shared" si="50"/>
        <v>2.6914657210401888E-2</v>
      </c>
    </row>
    <row r="37" spans="1:144" x14ac:dyDescent="0.25">
      <c r="A37" s="35">
        <f t="shared" si="51"/>
        <v>43612</v>
      </c>
      <c r="B37" s="87">
        <v>0</v>
      </c>
      <c r="C37" s="88">
        <v>2.748743E-2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55750000</f>
        <v>55750000</v>
      </c>
      <c r="AJ37" s="121">
        <v>2.63E-2</v>
      </c>
      <c r="AK37" s="87">
        <f t="shared" si="9"/>
        <v>4072.8472222222222</v>
      </c>
      <c r="AL37" s="120">
        <f t="shared" si="52"/>
        <v>25000000</v>
      </c>
      <c r="AM37" s="121">
        <v>2.75E-2</v>
      </c>
      <c r="AN37" s="87">
        <f t="shared" si="10"/>
        <v>1909.7222222222222</v>
      </c>
      <c r="AO37" s="120">
        <f t="shared" si="53"/>
        <v>25000000</v>
      </c>
      <c r="AP37" s="121">
        <v>2.7699999999999999E-2</v>
      </c>
      <c r="AQ37" s="87">
        <f t="shared" si="11"/>
        <v>1923.6111111111111</v>
      </c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105750000</v>
      </c>
      <c r="EC37" s="122">
        <f t="shared" si="41"/>
        <v>0</v>
      </c>
      <c r="ED37" s="87">
        <f t="shared" si="42"/>
        <v>7906.1805555555557</v>
      </c>
      <c r="EE37" s="88">
        <f t="shared" si="43"/>
        <v>2.6914657210401892E-2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105750000</v>
      </c>
      <c r="EL37" s="122">
        <f t="shared" si="48"/>
        <v>0</v>
      </c>
      <c r="EM37" s="122">
        <f t="shared" si="49"/>
        <v>7906.1805555555547</v>
      </c>
      <c r="EN37" s="88">
        <f t="shared" si="50"/>
        <v>2.6914657210401888E-2</v>
      </c>
    </row>
    <row r="38" spans="1:144" x14ac:dyDescent="0.25">
      <c r="A38" s="35">
        <f t="shared" si="51"/>
        <v>43613</v>
      </c>
      <c r="B38" s="87">
        <v>0</v>
      </c>
      <c r="C38" s="88">
        <v>2.7457850000000002E-2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f>81375000</f>
        <v>81375000</v>
      </c>
      <c r="AJ38" s="121">
        <v>2.5999999999999999E-2</v>
      </c>
      <c r="AK38" s="87">
        <f t="shared" si="9"/>
        <v>5877.083333333333</v>
      </c>
      <c r="AL38" s="120">
        <f t="shared" si="52"/>
        <v>25000000</v>
      </c>
      <c r="AM38" s="121">
        <v>2.75E-2</v>
      </c>
      <c r="AN38" s="87">
        <f t="shared" si="10"/>
        <v>1909.7222222222222</v>
      </c>
      <c r="AO38" s="120">
        <f t="shared" si="53"/>
        <v>25000000</v>
      </c>
      <c r="AP38" s="121">
        <v>2.7699999999999999E-2</v>
      </c>
      <c r="AQ38" s="87">
        <f t="shared" si="11"/>
        <v>1923.6111111111111</v>
      </c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131375000</v>
      </c>
      <c r="EC38" s="122">
        <f t="shared" si="41"/>
        <v>0</v>
      </c>
      <c r="ED38" s="87">
        <f t="shared" si="42"/>
        <v>9710.4166666666661</v>
      </c>
      <c r="EE38" s="88">
        <f t="shared" si="43"/>
        <v>2.6608943862987629E-2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131375000</v>
      </c>
      <c r="EL38" s="122">
        <f t="shared" si="48"/>
        <v>0</v>
      </c>
      <c r="EM38" s="122">
        <f t="shared" si="49"/>
        <v>9710.4166666666661</v>
      </c>
      <c r="EN38" s="88">
        <f t="shared" si="50"/>
        <v>2.6608943862987629E-2</v>
      </c>
    </row>
    <row r="39" spans="1:144" x14ac:dyDescent="0.25">
      <c r="A39" s="35">
        <f t="shared" si="51"/>
        <v>43614</v>
      </c>
      <c r="B39" s="87">
        <v>0</v>
      </c>
      <c r="C39" s="88">
        <v>2.7462799999999999E-2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>
        <f>79650000</f>
        <v>79650000</v>
      </c>
      <c r="AJ39" s="121">
        <v>2.5999999999999999E-2</v>
      </c>
      <c r="AK39" s="87">
        <f t="shared" si="9"/>
        <v>5752.5</v>
      </c>
      <c r="AL39" s="120">
        <f t="shared" si="52"/>
        <v>25000000</v>
      </c>
      <c r="AM39" s="121">
        <v>2.75E-2</v>
      </c>
      <c r="AN39" s="87">
        <f t="shared" si="10"/>
        <v>1909.7222222222222</v>
      </c>
      <c r="AO39" s="120">
        <f t="shared" si="53"/>
        <v>25000000</v>
      </c>
      <c r="AP39" s="121">
        <v>2.7699999999999999E-2</v>
      </c>
      <c r="AQ39" s="87">
        <f t="shared" si="11"/>
        <v>1923.6111111111111</v>
      </c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129650000</v>
      </c>
      <c r="EC39" s="122">
        <f t="shared" si="41"/>
        <v>0</v>
      </c>
      <c r="ED39" s="87">
        <f t="shared" si="42"/>
        <v>9585.8333333333339</v>
      </c>
      <c r="EE39" s="88">
        <f t="shared" si="43"/>
        <v>2.661704589278828E-2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129650000</v>
      </c>
      <c r="EL39" s="122">
        <f t="shared" si="48"/>
        <v>0</v>
      </c>
      <c r="EM39" s="122">
        <f t="shared" si="49"/>
        <v>9585.8333333333321</v>
      </c>
      <c r="EN39" s="88">
        <f t="shared" si="50"/>
        <v>2.6617045892788273E-2</v>
      </c>
    </row>
    <row r="40" spans="1:144" x14ac:dyDescent="0.25">
      <c r="A40" s="35">
        <f t="shared" si="51"/>
        <v>43615</v>
      </c>
      <c r="B40" s="87">
        <v>0</v>
      </c>
      <c r="C40" s="88">
        <v>2.742876E-2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>
        <v>83575000</v>
      </c>
      <c r="AJ40" s="121">
        <v>2.5899999999999999E-2</v>
      </c>
      <c r="AK40" s="87">
        <f t="shared" si="9"/>
        <v>6012.7569444444443</v>
      </c>
      <c r="AL40" s="120">
        <f t="shared" si="52"/>
        <v>25000000</v>
      </c>
      <c r="AM40" s="121">
        <v>2.75E-2</v>
      </c>
      <c r="AN40" s="87">
        <f t="shared" si="10"/>
        <v>1909.7222222222222</v>
      </c>
      <c r="AO40" s="120">
        <f t="shared" si="53"/>
        <v>25000000</v>
      </c>
      <c r="AP40" s="121">
        <v>2.7699999999999999E-2</v>
      </c>
      <c r="AQ40" s="87">
        <f t="shared" si="11"/>
        <v>1923.6111111111111</v>
      </c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133575000</v>
      </c>
      <c r="EC40" s="122">
        <f t="shared" si="41"/>
        <v>0</v>
      </c>
      <c r="ED40" s="87">
        <f t="shared" si="42"/>
        <v>9846.0902777777774</v>
      </c>
      <c r="EE40" s="88">
        <f t="shared" si="43"/>
        <v>2.6536346621748079E-2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133575000</v>
      </c>
      <c r="EL40" s="122">
        <f t="shared" si="48"/>
        <v>0</v>
      </c>
      <c r="EM40" s="122">
        <f t="shared" si="49"/>
        <v>9846.0902777777774</v>
      </c>
      <c r="EN40" s="88">
        <f t="shared" si="50"/>
        <v>2.6536346621748079E-2</v>
      </c>
    </row>
    <row r="41" spans="1:144" x14ac:dyDescent="0.25">
      <c r="A41" s="35">
        <f t="shared" si="51"/>
        <v>43616</v>
      </c>
      <c r="B41" s="87">
        <v>0</v>
      </c>
      <c r="C41" s="88">
        <v>2.7406239999999998E-2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>
        <f>96425000</f>
        <v>96425000</v>
      </c>
      <c r="AJ41" s="121">
        <v>2.5899999999999999E-2</v>
      </c>
      <c r="AK41" s="87">
        <f t="shared" si="9"/>
        <v>6937.2430555555557</v>
      </c>
      <c r="AL41" s="120">
        <f t="shared" si="52"/>
        <v>25000000</v>
      </c>
      <c r="AM41" s="121">
        <v>2.75E-2</v>
      </c>
      <c r="AN41" s="87">
        <f t="shared" si="10"/>
        <v>1909.7222222222222</v>
      </c>
      <c r="AO41" s="120">
        <f t="shared" si="53"/>
        <v>25000000</v>
      </c>
      <c r="AP41" s="121">
        <v>2.7699999999999999E-2</v>
      </c>
      <c r="AQ41" s="87">
        <f t="shared" si="11"/>
        <v>1923.6111111111111</v>
      </c>
      <c r="AT41" s="87">
        <f t="shared" si="12"/>
        <v>0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146425000</v>
      </c>
      <c r="EC41" s="122">
        <f t="shared" si="41"/>
        <v>0</v>
      </c>
      <c r="ED41" s="87">
        <f t="shared" si="42"/>
        <v>10770.576388888889</v>
      </c>
      <c r="EE41" s="88">
        <f t="shared" si="43"/>
        <v>2.6480501963462522E-2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146425000</v>
      </c>
      <c r="EL41" s="122">
        <f t="shared" si="48"/>
        <v>0</v>
      </c>
      <c r="EM41" s="122">
        <f t="shared" si="49"/>
        <v>10770.576388888889</v>
      </c>
      <c r="EN41" s="88">
        <f t="shared" si="50"/>
        <v>2.6480501963462522E-2</v>
      </c>
    </row>
    <row r="42" spans="1:144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151338.79166666669</v>
      </c>
      <c r="AN42" s="124">
        <f>SUM(AN11:AN41)</f>
        <v>47743.055555555533</v>
      </c>
      <c r="AQ42" s="124">
        <f>SUM(AQ11:AQ41)</f>
        <v>32701.388888888876</v>
      </c>
      <c r="AT42" s="124">
        <f>SUM(AT11:AT41)</f>
        <v>0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231783.23611111115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231783.23611111115</v>
      </c>
      <c r="EN42" s="88"/>
    </row>
    <row r="44" spans="1:144" x14ac:dyDescent="0.25">
      <c r="EM44" s="125"/>
    </row>
    <row r="45" spans="1:144" x14ac:dyDescent="0.25">
      <c r="EM45" s="125"/>
    </row>
    <row r="46" spans="1:144" x14ac:dyDescent="0.25">
      <c r="EM46" s="87"/>
    </row>
    <row r="47" spans="1:144" x14ac:dyDescent="0.25">
      <c r="EM47" s="8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Q47"/>
  <sheetViews>
    <sheetView workbookViewId="0">
      <selection activeCell="F26" sqref="F26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EB40</f>
        <v>205225000</v>
      </c>
      <c r="EI2" s="85">
        <f>EG40</f>
        <v>0</v>
      </c>
      <c r="EM2" s="85"/>
      <c r="EN2" s="85">
        <f>EK40</f>
        <v>205225000</v>
      </c>
      <c r="EO2" s="78">
        <v>-20641.669999999998</v>
      </c>
      <c r="EP2" s="78">
        <f>EN2+EO2</f>
        <v>205204358.33000001</v>
      </c>
      <c r="EQ2" s="78">
        <f>EE2+EO2</f>
        <v>205204358.33000001</v>
      </c>
    </row>
    <row r="3" spans="1:147" ht="16.5" thickTop="1" x14ac:dyDescent="0.25">
      <c r="A3" s="86" t="s">
        <v>175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AVERAGE(EB11:EB40)</f>
        <v>132703333.33333333</v>
      </c>
      <c r="EI3" s="85">
        <f>AVERAGE(EG11:EG40)</f>
        <v>0</v>
      </c>
      <c r="EM3" s="85"/>
      <c r="EN3" s="85">
        <f>AVERAGE(EK11:EK40)</f>
        <v>132703333.33333333</v>
      </c>
    </row>
    <row r="4" spans="1:147" x14ac:dyDescent="0.25">
      <c r="D4" s="33"/>
      <c r="E4" s="95" t="s">
        <v>102</v>
      </c>
      <c r="F4" s="85"/>
      <c r="G4" s="96">
        <f>EQ2</f>
        <v>205204358.33000001</v>
      </c>
      <c r="AI4" s="97" t="s">
        <v>106</v>
      </c>
      <c r="EB4" s="33" t="s">
        <v>107</v>
      </c>
      <c r="EC4" s="33"/>
      <c r="ED4" s="93"/>
      <c r="EE4" s="93">
        <f>IF(EE3=0,0,360*(AVERAGE(ED11:ED40)/EE3))</f>
        <v>2.6500566426364579E-2</v>
      </c>
      <c r="EI4" s="93">
        <f>IF(EI3=0,0,360*(AVERAGE(EH11:EH40)/EI3))</f>
        <v>0</v>
      </c>
      <c r="EM4" s="93"/>
      <c r="EN4" s="93">
        <f>IF(EN3=0,0,360*(AVERAGE(EM11:EM40)/EN3))</f>
        <v>2.6500566426364579E-2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132703333.33333333</v>
      </c>
      <c r="AI5" s="100" t="s">
        <v>97</v>
      </c>
      <c r="EB5" s="101" t="s">
        <v>109</v>
      </c>
      <c r="EC5" s="101"/>
      <c r="ED5" s="85"/>
      <c r="EE5" s="85">
        <f>MAX(EB11:EB40)</f>
        <v>205225000</v>
      </c>
      <c r="EI5" s="85">
        <f>MAX(EG11:EG40)</f>
        <v>0</v>
      </c>
      <c r="EM5" s="85"/>
      <c r="EN5" s="85">
        <f>MAX(EK11:EK40)</f>
        <v>205225000</v>
      </c>
    </row>
    <row r="6" spans="1:147" x14ac:dyDescent="0.25">
      <c r="D6" s="33"/>
      <c r="E6" s="95" t="s">
        <v>107</v>
      </c>
      <c r="F6" s="85"/>
      <c r="G6" s="102">
        <f>EE4</f>
        <v>2.6500566426364579E-2</v>
      </c>
    </row>
    <row r="7" spans="1:147" ht="16.5" thickBot="1" x14ac:dyDescent="0.3">
      <c r="D7" s="33"/>
      <c r="E7" s="103" t="s">
        <v>109</v>
      </c>
      <c r="F7" s="104"/>
      <c r="G7" s="105">
        <f>EE5</f>
        <v>205225000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43617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96425000</f>
        <v>96425000</v>
      </c>
      <c r="AJ11" s="121">
        <v>2.5899999999999999E-2</v>
      </c>
      <c r="AK11" s="87">
        <f>(AI11*AJ11)/360</f>
        <v>6937.2430555555557</v>
      </c>
      <c r="AL11" s="120">
        <f t="shared" ref="AL11:AL16" si="0">25000000</f>
        <v>25000000</v>
      </c>
      <c r="AM11" s="121">
        <v>2.75E-2</v>
      </c>
      <c r="AN11" s="87">
        <f>(AL11*AM11)/360</f>
        <v>1909.7222222222222</v>
      </c>
      <c r="AO11" s="120">
        <f t="shared" ref="AO11:AO23" si="1">25000000</f>
        <v>25000000</v>
      </c>
      <c r="AP11" s="121">
        <v>2.7699999999999999E-2</v>
      </c>
      <c r="AQ11" s="87">
        <f>(AO11*AP11)/360</f>
        <v>1923.6111111111111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146425000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10770.576388888889</v>
      </c>
      <c r="EE11" s="88">
        <f>IF(EB11&lt;&gt;0,((ED11/EB11)*360),0)</f>
        <v>2.6480501963462522E-2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146425000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10770.576388888889</v>
      </c>
      <c r="EN11" s="88">
        <f>IF(EK11&lt;&gt;0,((EM11/EK11)*360),0)</f>
        <v>2.6480501963462522E-2</v>
      </c>
      <c r="EO11" s="125"/>
      <c r="EP11" s="87"/>
    </row>
    <row r="12" spans="1:147" x14ac:dyDescent="0.25">
      <c r="A12" s="35">
        <f>1+A11</f>
        <v>43618</v>
      </c>
      <c r="D12" s="87">
        <f t="shared" ref="D12:D40" si="2">(B12*C12)/360</f>
        <v>0</v>
      </c>
      <c r="G12" s="87">
        <f t="shared" ref="G12:G40" si="3">(E12*F12)/360</f>
        <v>0</v>
      </c>
      <c r="J12" s="87">
        <f t="shared" ref="J12:J40" si="4">(H12*I12)/360</f>
        <v>0</v>
      </c>
      <c r="M12" s="87">
        <f t="shared" ref="M12:M40" si="5">(K12*L12)/360</f>
        <v>0</v>
      </c>
      <c r="P12" s="87">
        <f t="shared" ref="P12:P40" si="6">(N12*O12)/360</f>
        <v>0</v>
      </c>
      <c r="S12" s="87">
        <f t="shared" ref="S12:S40" si="7">(Q12*R12)/360</f>
        <v>0</v>
      </c>
      <c r="V12" s="87">
        <f t="shared" ref="V12:V40" si="8">(T12*U12)/360</f>
        <v>0</v>
      </c>
      <c r="Y12" s="87">
        <f t="shared" ref="Y12:Y40" si="9">(W12*X12)/360</f>
        <v>0</v>
      </c>
      <c r="AB12" s="87">
        <f t="shared" ref="AB12:AB40" si="10">(Z12*AA12)/360</f>
        <v>0</v>
      </c>
      <c r="AE12" s="87">
        <v>0</v>
      </c>
      <c r="AH12" s="87">
        <v>0</v>
      </c>
      <c r="AI12" s="120">
        <f>96425000</f>
        <v>96425000</v>
      </c>
      <c r="AJ12" s="121">
        <v>2.5899999999999999E-2</v>
      </c>
      <c r="AK12" s="87">
        <f t="shared" ref="AK12:AK40" si="11">(AI12*AJ12)/360</f>
        <v>6937.2430555555557</v>
      </c>
      <c r="AL12" s="120">
        <f t="shared" si="0"/>
        <v>25000000</v>
      </c>
      <c r="AM12" s="121">
        <v>2.75E-2</v>
      </c>
      <c r="AN12" s="87">
        <f t="shared" ref="AN12:AN40" si="12">(AL12*AM12)/360</f>
        <v>1909.7222222222222</v>
      </c>
      <c r="AO12" s="120">
        <f t="shared" si="1"/>
        <v>25000000</v>
      </c>
      <c r="AP12" s="121">
        <v>2.7699999999999999E-2</v>
      </c>
      <c r="AQ12" s="87">
        <f t="shared" ref="AQ12:AQ40" si="13">(AO12*AP12)/360</f>
        <v>1923.6111111111111</v>
      </c>
      <c r="AR12" s="120"/>
      <c r="AS12" s="121"/>
      <c r="AT12" s="87">
        <f t="shared" ref="AT12:AT40" si="14">(AR12*AS12)/360</f>
        <v>0</v>
      </c>
      <c r="AW12" s="87">
        <f t="shared" ref="AW12:AW40" si="15">(AU12*AV12)/360</f>
        <v>0</v>
      </c>
      <c r="AZ12" s="87">
        <f t="shared" ref="AZ12:AZ40" si="16">(AX12*AY12)/360</f>
        <v>0</v>
      </c>
      <c r="BC12" s="87">
        <f t="shared" ref="BC12:BC40" si="17">(BA12*BB12)/360</f>
        <v>0</v>
      </c>
      <c r="BF12" s="87">
        <f t="shared" ref="BF12:BF40" si="18">(BD12*BE12)/360</f>
        <v>0</v>
      </c>
      <c r="BI12" s="87">
        <f t="shared" ref="BI12:BI40" si="19">(BG12*BH12)/360</f>
        <v>0</v>
      </c>
      <c r="BL12" s="87">
        <f t="shared" ref="BL12:BL40" si="20">(BJ12*BK12)/360</f>
        <v>0</v>
      </c>
      <c r="BO12" s="87">
        <f t="shared" ref="BO12:BO40" si="21">(BM12*BN12)/360</f>
        <v>0</v>
      </c>
      <c r="BR12" s="87">
        <f t="shared" ref="BR12:BR40" si="22">(BP12*BQ12)/360</f>
        <v>0</v>
      </c>
      <c r="BU12" s="87">
        <f t="shared" ref="BU12:BU40" si="23">(BS12*BT12)/360</f>
        <v>0</v>
      </c>
      <c r="BX12" s="87">
        <f t="shared" ref="BX12:BX40" si="24">(BV12*BW12)/360</f>
        <v>0</v>
      </c>
      <c r="CA12" s="87">
        <f t="shared" ref="CA12:CA40" si="25">(BY12*BZ12)/360</f>
        <v>0</v>
      </c>
      <c r="CD12" s="87">
        <f t="shared" ref="CD12:CD40" si="26">(CB12*CC12)/360</f>
        <v>0</v>
      </c>
      <c r="CG12" s="87">
        <f t="shared" ref="CG12:CG40" si="27">(CE12*CF12)/360</f>
        <v>0</v>
      </c>
      <c r="CJ12" s="87">
        <f t="shared" ref="CJ12:CJ40" si="28">(CH12*CI12)/360</f>
        <v>0</v>
      </c>
      <c r="CM12" s="87">
        <f t="shared" ref="CM12:CM40" si="29">(CK12*CL12)/360</f>
        <v>0</v>
      </c>
      <c r="CP12" s="87">
        <f t="shared" ref="CP12:CP40" si="30">(CN12*CO12)/360</f>
        <v>0</v>
      </c>
      <c r="CS12" s="87">
        <f t="shared" ref="CS12:CS40" si="31">(CQ12*CR12)/360</f>
        <v>0</v>
      </c>
      <c r="CV12" s="87">
        <f t="shared" ref="CV12:CV40" si="32">(CT12*CU12)/360</f>
        <v>0</v>
      </c>
      <c r="CY12" s="87">
        <f t="shared" ref="CY12:CY40" si="33">(CW12*CX12)/360</f>
        <v>0</v>
      </c>
      <c r="DB12" s="87">
        <f t="shared" ref="DB12:DB40" si="34">(CZ12*DA12)/360</f>
        <v>0</v>
      </c>
      <c r="DE12" s="87">
        <f t="shared" ref="DE12:DE40" si="35">(DC12*DD12)/360</f>
        <v>0</v>
      </c>
      <c r="DH12" s="87">
        <f t="shared" ref="DH12:DH40" si="36">(DF12*DG12)/360</f>
        <v>0</v>
      </c>
      <c r="DK12" s="87">
        <f t="shared" ref="DK12:DK40" si="37">(DI12*DJ12)/360</f>
        <v>0</v>
      </c>
      <c r="DN12" s="87">
        <f t="shared" ref="DN12:DN40" si="38">(DL12*DM12)/360</f>
        <v>0</v>
      </c>
      <c r="DQ12" s="87">
        <f t="shared" ref="DQ12:DQ40" si="39">(DO12*DP12)/360</f>
        <v>0</v>
      </c>
      <c r="DT12" s="87">
        <f t="shared" ref="DT12:DT40" si="40">(DR12*DS12)/360</f>
        <v>0</v>
      </c>
      <c r="DW12" s="87">
        <f t="shared" ref="DW12:DW40" si="41">(DU12*DV12)/360</f>
        <v>0</v>
      </c>
      <c r="DZ12" s="87"/>
      <c r="EA12" s="87"/>
      <c r="EB12" s="122">
        <f t="shared" ref="EB12:EB40" si="42">B12+E12+H12+K12+N12+Q12+T12+W12+Z12+AC12+AF12+AL12+AO12+AR12+AU12+AX12+BA12+BD12+BG12+DU12+AI12+DR12+DO12+DL12+DI12+DF12+DC12+CZ12+CW12+CT12+CQ12+CN12+CK12+CH12+CE12+CB12+BY12+BV12+BS12+BP12+BM12+BJ12</f>
        <v>146425000</v>
      </c>
      <c r="EC12" s="122">
        <f t="shared" ref="EC12:EC40" si="43">EB12-EK12+EL12</f>
        <v>0</v>
      </c>
      <c r="ED12" s="87">
        <f t="shared" ref="ED12:ED40" si="44">D12+G12+J12+M12+P12+S12+V12+Y12+AB12+AE12+AH12+AK12+AN12+AQ12+AT12+AW12+AZ12+BC12+BF12+BI12+DW12+DT12+DQ12+DN12+DK12+DH12+DE12+DB12+CY12+CV12+CS12+CP12+CM12+CJ12+CG12+CD12+CA12+BX12+BU12+BR12+BO12+BL12</f>
        <v>10770.576388888889</v>
      </c>
      <c r="EE12" s="88">
        <f t="shared" ref="EE12:EE40" si="45">IF(EB12&lt;&gt;0,((ED12/EB12)*360),0)</f>
        <v>2.6480501963462522E-2</v>
      </c>
      <c r="EG12" s="122">
        <f t="shared" ref="EG12:EG40" si="46">Q12+T12+W12+Z12+AC12+AF12</f>
        <v>0</v>
      </c>
      <c r="EH12" s="87">
        <f t="shared" ref="EH12:EH40" si="47">S12+V12+Y12+AB12+AE12+AH12</f>
        <v>0</v>
      </c>
      <c r="EI12" s="88">
        <f t="shared" ref="EI12:EI40" si="48">IF(EG12&lt;&gt;0,((EH12/EG12)*360),0)</f>
        <v>0</v>
      </c>
      <c r="EJ12" s="88"/>
      <c r="EK12" s="122">
        <f t="shared" ref="EK12:EK40" si="49">DR12+DL12+DI12+DF12+DC12+CZ12+CW12+CT12+CQ12+CN12+CK12+CH12+CE12+CB12+BY12+BV12+BS12+BP12+BM12+BJ12+BG12+BD12+BA12+AX12+AU12+AR12+AO12+AL12+AI12+DO12</f>
        <v>146425000</v>
      </c>
      <c r="EL12" s="122">
        <f t="shared" ref="EL12:EL40" si="50">DX12</f>
        <v>0</v>
      </c>
      <c r="EM12" s="122">
        <f t="shared" ref="EM12:EM40" si="51">DT12+DQ12+DN12+DK12+DH12+DE12+DB12+CY12+CV12+CS12+CP12+CM12+CJ12+CG12+CD12+CA12+BX12+BU12+BR12+BO12+BL12+BI12+BF12+BC12+AZ12+AW12+AT12+AQ12+AN12+AK12</f>
        <v>10770.576388888889</v>
      </c>
      <c r="EN12" s="88">
        <f t="shared" ref="EN12:EN40" si="52">IF(EK12&lt;&gt;0,((EM12/EK12)*360),0)</f>
        <v>2.6480501963462522E-2</v>
      </c>
      <c r="EO12" s="125"/>
      <c r="EP12" s="87"/>
    </row>
    <row r="13" spans="1:147" x14ac:dyDescent="0.25">
      <c r="A13" s="35">
        <f t="shared" ref="A13:A40" si="53">1+A12</f>
        <v>43619</v>
      </c>
      <c r="D13" s="87">
        <f t="shared" si="2"/>
        <v>0</v>
      </c>
      <c r="G13" s="87">
        <f t="shared" si="3"/>
        <v>0</v>
      </c>
      <c r="J13" s="87">
        <f t="shared" si="4"/>
        <v>0</v>
      </c>
      <c r="M13" s="87">
        <f t="shared" si="5"/>
        <v>0</v>
      </c>
      <c r="P13" s="87">
        <f t="shared" si="6"/>
        <v>0</v>
      </c>
      <c r="S13" s="87">
        <f t="shared" si="7"/>
        <v>0</v>
      </c>
      <c r="V13" s="87">
        <f t="shared" si="8"/>
        <v>0</v>
      </c>
      <c r="Y13" s="87">
        <f t="shared" si="9"/>
        <v>0</v>
      </c>
      <c r="AB13" s="87">
        <f t="shared" si="10"/>
        <v>0</v>
      </c>
      <c r="AE13" s="87">
        <v>0</v>
      </c>
      <c r="AH13" s="87">
        <v>0</v>
      </c>
      <c r="AI13" s="120">
        <f>70200000</f>
        <v>70200000</v>
      </c>
      <c r="AJ13" s="121">
        <v>2.5899999999999999E-2</v>
      </c>
      <c r="AK13" s="87">
        <f t="shared" si="11"/>
        <v>5050.5</v>
      </c>
      <c r="AL13" s="120">
        <f t="shared" si="0"/>
        <v>25000000</v>
      </c>
      <c r="AM13" s="121">
        <v>2.75E-2</v>
      </c>
      <c r="AN13" s="87">
        <f t="shared" si="12"/>
        <v>1909.7222222222222</v>
      </c>
      <c r="AO13" s="120">
        <f t="shared" si="1"/>
        <v>25000000</v>
      </c>
      <c r="AP13" s="121">
        <v>2.7699999999999999E-2</v>
      </c>
      <c r="AQ13" s="87">
        <f t="shared" si="13"/>
        <v>1923.6111111111111</v>
      </c>
      <c r="AR13" s="120">
        <f t="shared" ref="AR13:AR40" si="54">30000000</f>
        <v>30000000</v>
      </c>
      <c r="AS13" s="121">
        <v>2.7199999999999998E-2</v>
      </c>
      <c r="AT13" s="87">
        <f t="shared" si="14"/>
        <v>2266.6666666666665</v>
      </c>
      <c r="AW13" s="87">
        <f t="shared" si="15"/>
        <v>0</v>
      </c>
      <c r="AZ13" s="87">
        <f t="shared" si="16"/>
        <v>0</v>
      </c>
      <c r="BC13" s="87">
        <f t="shared" si="17"/>
        <v>0</v>
      </c>
      <c r="BF13" s="87">
        <f t="shared" si="18"/>
        <v>0</v>
      </c>
      <c r="BI13" s="87">
        <f t="shared" si="19"/>
        <v>0</v>
      </c>
      <c r="BL13" s="87">
        <f t="shared" si="20"/>
        <v>0</v>
      </c>
      <c r="BO13" s="87">
        <f t="shared" si="21"/>
        <v>0</v>
      </c>
      <c r="BR13" s="87">
        <f t="shared" si="22"/>
        <v>0</v>
      </c>
      <c r="BU13" s="87">
        <f t="shared" si="23"/>
        <v>0</v>
      </c>
      <c r="BX13" s="87">
        <f t="shared" si="24"/>
        <v>0</v>
      </c>
      <c r="CA13" s="87">
        <f t="shared" si="25"/>
        <v>0</v>
      </c>
      <c r="CD13" s="87">
        <f t="shared" si="26"/>
        <v>0</v>
      </c>
      <c r="CG13" s="87">
        <f t="shared" si="27"/>
        <v>0</v>
      </c>
      <c r="CJ13" s="87">
        <f t="shared" si="28"/>
        <v>0</v>
      </c>
      <c r="CM13" s="87">
        <f t="shared" si="29"/>
        <v>0</v>
      </c>
      <c r="CP13" s="87">
        <f t="shared" si="30"/>
        <v>0</v>
      </c>
      <c r="CS13" s="87">
        <f t="shared" si="31"/>
        <v>0</v>
      </c>
      <c r="CV13" s="87">
        <f t="shared" si="32"/>
        <v>0</v>
      </c>
      <c r="CY13" s="87">
        <f t="shared" si="33"/>
        <v>0</v>
      </c>
      <c r="DB13" s="87">
        <f t="shared" si="34"/>
        <v>0</v>
      </c>
      <c r="DE13" s="87">
        <f t="shared" si="35"/>
        <v>0</v>
      </c>
      <c r="DH13" s="87">
        <f t="shared" si="36"/>
        <v>0</v>
      </c>
      <c r="DK13" s="87">
        <f t="shared" si="37"/>
        <v>0</v>
      </c>
      <c r="DN13" s="87">
        <f t="shared" si="38"/>
        <v>0</v>
      </c>
      <c r="DQ13" s="87">
        <f t="shared" si="39"/>
        <v>0</v>
      </c>
      <c r="DT13" s="87">
        <f t="shared" si="40"/>
        <v>0</v>
      </c>
      <c r="DW13" s="87">
        <f t="shared" si="41"/>
        <v>0</v>
      </c>
      <c r="DZ13" s="87"/>
      <c r="EA13" s="87"/>
      <c r="EB13" s="122">
        <f t="shared" si="42"/>
        <v>150200000</v>
      </c>
      <c r="EC13" s="122">
        <f t="shared" si="43"/>
        <v>0</v>
      </c>
      <c r="ED13" s="87">
        <f t="shared" si="44"/>
        <v>11150.5</v>
      </c>
      <c r="EE13" s="88">
        <f t="shared" si="45"/>
        <v>2.672556591211718E-2</v>
      </c>
      <c r="EG13" s="122">
        <f t="shared" si="46"/>
        <v>0</v>
      </c>
      <c r="EH13" s="87">
        <f t="shared" si="47"/>
        <v>0</v>
      </c>
      <c r="EI13" s="88">
        <f t="shared" si="48"/>
        <v>0</v>
      </c>
      <c r="EJ13" s="88"/>
      <c r="EK13" s="122">
        <f t="shared" si="49"/>
        <v>150200000</v>
      </c>
      <c r="EL13" s="122">
        <f t="shared" si="50"/>
        <v>0</v>
      </c>
      <c r="EM13" s="122">
        <f t="shared" si="51"/>
        <v>11150.5</v>
      </c>
      <c r="EN13" s="88">
        <f t="shared" si="52"/>
        <v>2.672556591211718E-2</v>
      </c>
      <c r="EO13" s="87"/>
      <c r="EP13" s="87"/>
    </row>
    <row r="14" spans="1:147" x14ac:dyDescent="0.25">
      <c r="A14" s="35">
        <f t="shared" si="53"/>
        <v>43620</v>
      </c>
      <c r="D14" s="87">
        <f t="shared" si="2"/>
        <v>0</v>
      </c>
      <c r="G14" s="87">
        <f t="shared" si="3"/>
        <v>0</v>
      </c>
      <c r="J14" s="87">
        <f t="shared" si="4"/>
        <v>0</v>
      </c>
      <c r="M14" s="87">
        <f t="shared" si="5"/>
        <v>0</v>
      </c>
      <c r="P14" s="87">
        <f t="shared" si="6"/>
        <v>0</v>
      </c>
      <c r="S14" s="87">
        <f t="shared" si="7"/>
        <v>0</v>
      </c>
      <c r="V14" s="87">
        <f t="shared" si="8"/>
        <v>0</v>
      </c>
      <c r="Y14" s="87">
        <f t="shared" si="9"/>
        <v>0</v>
      </c>
      <c r="AB14" s="87">
        <f t="shared" si="10"/>
        <v>0</v>
      </c>
      <c r="AE14" s="87">
        <v>0</v>
      </c>
      <c r="AH14" s="87">
        <v>0</v>
      </c>
      <c r="AI14" s="120">
        <f>67475000</f>
        <v>67475000</v>
      </c>
      <c r="AJ14" s="121">
        <v>2.5899999999999999E-2</v>
      </c>
      <c r="AK14" s="87">
        <f t="shared" si="11"/>
        <v>4854.4513888888887</v>
      </c>
      <c r="AL14" s="120">
        <f t="shared" si="0"/>
        <v>25000000</v>
      </c>
      <c r="AM14" s="121">
        <v>2.75E-2</v>
      </c>
      <c r="AN14" s="87">
        <f t="shared" si="12"/>
        <v>1909.7222222222222</v>
      </c>
      <c r="AO14" s="120">
        <f t="shared" si="1"/>
        <v>25000000</v>
      </c>
      <c r="AP14" s="121">
        <v>2.7699999999999999E-2</v>
      </c>
      <c r="AQ14" s="87">
        <f t="shared" si="13"/>
        <v>1923.6111111111111</v>
      </c>
      <c r="AR14" s="120">
        <f t="shared" si="54"/>
        <v>30000000</v>
      </c>
      <c r="AS14" s="121">
        <v>2.7199999999999998E-2</v>
      </c>
      <c r="AT14" s="87">
        <f t="shared" si="14"/>
        <v>2266.6666666666665</v>
      </c>
      <c r="AW14" s="87">
        <f t="shared" si="15"/>
        <v>0</v>
      </c>
      <c r="AZ14" s="87">
        <f t="shared" si="16"/>
        <v>0</v>
      </c>
      <c r="BC14" s="87">
        <f t="shared" si="17"/>
        <v>0</v>
      </c>
      <c r="BF14" s="87">
        <f t="shared" si="18"/>
        <v>0</v>
      </c>
      <c r="BI14" s="87">
        <f t="shared" si="19"/>
        <v>0</v>
      </c>
      <c r="BL14" s="87">
        <f t="shared" si="20"/>
        <v>0</v>
      </c>
      <c r="BO14" s="87">
        <f t="shared" si="21"/>
        <v>0</v>
      </c>
      <c r="BR14" s="87">
        <f t="shared" si="22"/>
        <v>0</v>
      </c>
      <c r="BU14" s="87">
        <f t="shared" si="23"/>
        <v>0</v>
      </c>
      <c r="BX14" s="87">
        <f t="shared" si="24"/>
        <v>0</v>
      </c>
      <c r="CA14" s="87">
        <f t="shared" si="25"/>
        <v>0</v>
      </c>
      <c r="CD14" s="87">
        <f t="shared" si="26"/>
        <v>0</v>
      </c>
      <c r="CG14" s="87">
        <f t="shared" si="27"/>
        <v>0</v>
      </c>
      <c r="CJ14" s="87">
        <f t="shared" si="28"/>
        <v>0</v>
      </c>
      <c r="CM14" s="87">
        <f t="shared" si="29"/>
        <v>0</v>
      </c>
      <c r="CP14" s="87">
        <f t="shared" si="30"/>
        <v>0</v>
      </c>
      <c r="CS14" s="87">
        <f t="shared" si="31"/>
        <v>0</v>
      </c>
      <c r="CV14" s="87">
        <f t="shared" si="32"/>
        <v>0</v>
      </c>
      <c r="CY14" s="87">
        <f t="shared" si="33"/>
        <v>0</v>
      </c>
      <c r="DB14" s="87">
        <f t="shared" si="34"/>
        <v>0</v>
      </c>
      <c r="DE14" s="87">
        <f t="shared" si="35"/>
        <v>0</v>
      </c>
      <c r="DH14" s="87">
        <f t="shared" si="36"/>
        <v>0</v>
      </c>
      <c r="DK14" s="87">
        <f t="shared" si="37"/>
        <v>0</v>
      </c>
      <c r="DN14" s="87">
        <f t="shared" si="38"/>
        <v>0</v>
      </c>
      <c r="DQ14" s="87">
        <f t="shared" si="39"/>
        <v>0</v>
      </c>
      <c r="DT14" s="87">
        <f t="shared" si="40"/>
        <v>0</v>
      </c>
      <c r="DW14" s="87">
        <f t="shared" si="41"/>
        <v>0</v>
      </c>
      <c r="DZ14" s="87"/>
      <c r="EA14" s="87"/>
      <c r="EB14" s="122">
        <f t="shared" si="42"/>
        <v>147475000</v>
      </c>
      <c r="EC14" s="122">
        <f t="shared" si="43"/>
        <v>0</v>
      </c>
      <c r="ED14" s="87">
        <f t="shared" si="44"/>
        <v>10954.451388888889</v>
      </c>
      <c r="EE14" s="88">
        <f t="shared" si="45"/>
        <v>2.6740820478047125E-2</v>
      </c>
      <c r="EG14" s="122">
        <f t="shared" si="46"/>
        <v>0</v>
      </c>
      <c r="EH14" s="87">
        <f t="shared" si="47"/>
        <v>0</v>
      </c>
      <c r="EI14" s="88">
        <f t="shared" si="48"/>
        <v>0</v>
      </c>
      <c r="EJ14" s="88"/>
      <c r="EK14" s="122">
        <f t="shared" si="49"/>
        <v>147475000</v>
      </c>
      <c r="EL14" s="122">
        <f t="shared" si="50"/>
        <v>0</v>
      </c>
      <c r="EM14" s="122">
        <f t="shared" si="51"/>
        <v>10954.451388888889</v>
      </c>
      <c r="EN14" s="88">
        <f t="shared" si="52"/>
        <v>2.6740820478047125E-2</v>
      </c>
      <c r="EO14" s="87"/>
      <c r="EP14" s="87"/>
    </row>
    <row r="15" spans="1:147" x14ac:dyDescent="0.25">
      <c r="A15" s="35">
        <f t="shared" si="53"/>
        <v>43621</v>
      </c>
      <c r="D15" s="87">
        <f t="shared" si="2"/>
        <v>0</v>
      </c>
      <c r="G15" s="87">
        <f t="shared" si="3"/>
        <v>0</v>
      </c>
      <c r="J15" s="87">
        <f t="shared" si="4"/>
        <v>0</v>
      </c>
      <c r="M15" s="87">
        <f t="shared" si="5"/>
        <v>0</v>
      </c>
      <c r="P15" s="87">
        <f t="shared" si="6"/>
        <v>0</v>
      </c>
      <c r="S15" s="87">
        <f t="shared" si="7"/>
        <v>0</v>
      </c>
      <c r="V15" s="87">
        <f t="shared" si="8"/>
        <v>0</v>
      </c>
      <c r="Y15" s="87">
        <f t="shared" si="9"/>
        <v>0</v>
      </c>
      <c r="AB15" s="87">
        <f t="shared" si="10"/>
        <v>0</v>
      </c>
      <c r="AE15" s="87">
        <v>0</v>
      </c>
      <c r="AH15" s="87">
        <v>0</v>
      </c>
      <c r="AI15" s="120">
        <f>62625000</f>
        <v>62625000</v>
      </c>
      <c r="AJ15" s="121">
        <v>2.58E-2</v>
      </c>
      <c r="AK15" s="87">
        <f t="shared" si="11"/>
        <v>4488.125</v>
      </c>
      <c r="AL15" s="120">
        <f t="shared" si="0"/>
        <v>25000000</v>
      </c>
      <c r="AM15" s="121">
        <v>2.75E-2</v>
      </c>
      <c r="AN15" s="87">
        <f t="shared" si="12"/>
        <v>1909.7222222222222</v>
      </c>
      <c r="AO15" s="120">
        <f t="shared" si="1"/>
        <v>25000000</v>
      </c>
      <c r="AP15" s="121">
        <v>2.7699999999999999E-2</v>
      </c>
      <c r="AQ15" s="87">
        <f t="shared" si="13"/>
        <v>1923.6111111111111</v>
      </c>
      <c r="AR15" s="120">
        <f t="shared" si="54"/>
        <v>30000000</v>
      </c>
      <c r="AS15" s="121">
        <v>2.7199999999999998E-2</v>
      </c>
      <c r="AT15" s="87">
        <f t="shared" si="14"/>
        <v>2266.6666666666665</v>
      </c>
      <c r="AW15" s="87">
        <f t="shared" si="15"/>
        <v>0</v>
      </c>
      <c r="AZ15" s="87">
        <f t="shared" si="16"/>
        <v>0</v>
      </c>
      <c r="BC15" s="87">
        <f t="shared" si="17"/>
        <v>0</v>
      </c>
      <c r="BF15" s="87">
        <f t="shared" si="18"/>
        <v>0</v>
      </c>
      <c r="BI15" s="87">
        <f t="shared" si="19"/>
        <v>0</v>
      </c>
      <c r="BL15" s="87">
        <f t="shared" si="20"/>
        <v>0</v>
      </c>
      <c r="BO15" s="87">
        <f t="shared" si="21"/>
        <v>0</v>
      </c>
      <c r="BR15" s="87">
        <f t="shared" si="22"/>
        <v>0</v>
      </c>
      <c r="BU15" s="87">
        <f t="shared" si="23"/>
        <v>0</v>
      </c>
      <c r="BX15" s="87">
        <f t="shared" si="24"/>
        <v>0</v>
      </c>
      <c r="CA15" s="87">
        <f t="shared" si="25"/>
        <v>0</v>
      </c>
      <c r="CD15" s="87">
        <f t="shared" si="26"/>
        <v>0</v>
      </c>
      <c r="CG15" s="87">
        <f t="shared" si="27"/>
        <v>0</v>
      </c>
      <c r="CJ15" s="87">
        <f t="shared" si="28"/>
        <v>0</v>
      </c>
      <c r="CM15" s="87">
        <f t="shared" si="29"/>
        <v>0</v>
      </c>
      <c r="CP15" s="87">
        <f t="shared" si="30"/>
        <v>0</v>
      </c>
      <c r="CS15" s="87">
        <f t="shared" si="31"/>
        <v>0</v>
      </c>
      <c r="CV15" s="87">
        <f t="shared" si="32"/>
        <v>0</v>
      </c>
      <c r="CY15" s="87">
        <f t="shared" si="33"/>
        <v>0</v>
      </c>
      <c r="DB15" s="87">
        <f t="shared" si="34"/>
        <v>0</v>
      </c>
      <c r="DE15" s="87">
        <f t="shared" si="35"/>
        <v>0</v>
      </c>
      <c r="DH15" s="87">
        <f t="shared" si="36"/>
        <v>0</v>
      </c>
      <c r="DK15" s="87">
        <f t="shared" si="37"/>
        <v>0</v>
      </c>
      <c r="DN15" s="87">
        <f t="shared" si="38"/>
        <v>0</v>
      </c>
      <c r="DQ15" s="87">
        <f t="shared" si="39"/>
        <v>0</v>
      </c>
      <c r="DT15" s="87">
        <f t="shared" si="40"/>
        <v>0</v>
      </c>
      <c r="DW15" s="87">
        <f t="shared" si="41"/>
        <v>0</v>
      </c>
      <c r="DZ15" s="87"/>
      <c r="EA15" s="87"/>
      <c r="EB15" s="122">
        <f t="shared" si="42"/>
        <v>142625000</v>
      </c>
      <c r="EC15" s="122">
        <f t="shared" si="43"/>
        <v>0</v>
      </c>
      <c r="ED15" s="87">
        <f t="shared" si="44"/>
        <v>10588.125</v>
      </c>
      <c r="EE15" s="88">
        <f t="shared" si="45"/>
        <v>2.6725503943908852E-2</v>
      </c>
      <c r="EG15" s="122">
        <f t="shared" si="46"/>
        <v>0</v>
      </c>
      <c r="EH15" s="87">
        <f t="shared" si="47"/>
        <v>0</v>
      </c>
      <c r="EI15" s="88">
        <f t="shared" si="48"/>
        <v>0</v>
      </c>
      <c r="EJ15" s="88"/>
      <c r="EK15" s="122">
        <f t="shared" si="49"/>
        <v>142625000</v>
      </c>
      <c r="EL15" s="122">
        <f t="shared" si="50"/>
        <v>0</v>
      </c>
      <c r="EM15" s="122">
        <f t="shared" si="51"/>
        <v>10588.125</v>
      </c>
      <c r="EN15" s="88">
        <f t="shared" si="52"/>
        <v>2.6725503943908852E-2</v>
      </c>
      <c r="EP15" s="87"/>
    </row>
    <row r="16" spans="1:147" x14ac:dyDescent="0.25">
      <c r="A16" s="35">
        <f t="shared" si="53"/>
        <v>43622</v>
      </c>
      <c r="D16" s="87">
        <f t="shared" si="2"/>
        <v>0</v>
      </c>
      <c r="G16" s="87">
        <f t="shared" si="3"/>
        <v>0</v>
      </c>
      <c r="J16" s="87">
        <f t="shared" si="4"/>
        <v>0</v>
      </c>
      <c r="M16" s="87">
        <f t="shared" si="5"/>
        <v>0</v>
      </c>
      <c r="P16" s="87">
        <f t="shared" si="6"/>
        <v>0</v>
      </c>
      <c r="S16" s="87">
        <f t="shared" si="7"/>
        <v>0</v>
      </c>
      <c r="V16" s="87">
        <f t="shared" si="8"/>
        <v>0</v>
      </c>
      <c r="Y16" s="87">
        <f t="shared" si="9"/>
        <v>0</v>
      </c>
      <c r="AB16" s="87">
        <f t="shared" si="10"/>
        <v>0</v>
      </c>
      <c r="AE16" s="87">
        <v>0</v>
      </c>
      <c r="AH16" s="87">
        <v>0</v>
      </c>
      <c r="AI16" s="120">
        <f>58000000</f>
        <v>58000000</v>
      </c>
      <c r="AJ16" s="121">
        <v>2.58E-2</v>
      </c>
      <c r="AK16" s="87">
        <f t="shared" si="11"/>
        <v>4156.666666666667</v>
      </c>
      <c r="AL16" s="120">
        <f t="shared" si="0"/>
        <v>25000000</v>
      </c>
      <c r="AM16" s="121">
        <v>2.75E-2</v>
      </c>
      <c r="AN16" s="87">
        <f t="shared" si="12"/>
        <v>1909.7222222222222</v>
      </c>
      <c r="AO16" s="120">
        <f t="shared" si="1"/>
        <v>25000000</v>
      </c>
      <c r="AP16" s="121">
        <v>2.7699999999999999E-2</v>
      </c>
      <c r="AQ16" s="87">
        <f t="shared" si="13"/>
        <v>1923.6111111111111</v>
      </c>
      <c r="AR16" s="120">
        <f t="shared" si="54"/>
        <v>30000000</v>
      </c>
      <c r="AS16" s="121">
        <v>2.7199999999999998E-2</v>
      </c>
      <c r="AT16" s="87">
        <f t="shared" si="14"/>
        <v>2266.6666666666665</v>
      </c>
      <c r="AW16" s="87">
        <f t="shared" si="15"/>
        <v>0</v>
      </c>
      <c r="AZ16" s="87">
        <f t="shared" si="16"/>
        <v>0</v>
      </c>
      <c r="BC16" s="87">
        <f t="shared" si="17"/>
        <v>0</v>
      </c>
      <c r="BF16" s="87">
        <f t="shared" si="18"/>
        <v>0</v>
      </c>
      <c r="BI16" s="87">
        <f t="shared" si="19"/>
        <v>0</v>
      </c>
      <c r="BL16" s="87">
        <f t="shared" si="20"/>
        <v>0</v>
      </c>
      <c r="BO16" s="87">
        <f t="shared" si="21"/>
        <v>0</v>
      </c>
      <c r="BR16" s="87">
        <f t="shared" si="22"/>
        <v>0</v>
      </c>
      <c r="BU16" s="87">
        <f t="shared" si="23"/>
        <v>0</v>
      </c>
      <c r="BX16" s="87">
        <f t="shared" si="24"/>
        <v>0</v>
      </c>
      <c r="CA16" s="87">
        <f t="shared" si="25"/>
        <v>0</v>
      </c>
      <c r="CD16" s="87">
        <f t="shared" si="26"/>
        <v>0</v>
      </c>
      <c r="CG16" s="87">
        <f t="shared" si="27"/>
        <v>0</v>
      </c>
      <c r="CJ16" s="87">
        <f t="shared" si="28"/>
        <v>0</v>
      </c>
      <c r="CM16" s="87">
        <f t="shared" si="29"/>
        <v>0</v>
      </c>
      <c r="CP16" s="87">
        <f t="shared" si="30"/>
        <v>0</v>
      </c>
      <c r="CS16" s="87">
        <f t="shared" si="31"/>
        <v>0</v>
      </c>
      <c r="CV16" s="87">
        <f t="shared" si="32"/>
        <v>0</v>
      </c>
      <c r="CY16" s="87">
        <f t="shared" si="33"/>
        <v>0</v>
      </c>
      <c r="DB16" s="87">
        <f t="shared" si="34"/>
        <v>0</v>
      </c>
      <c r="DE16" s="87">
        <f t="shared" si="35"/>
        <v>0</v>
      </c>
      <c r="DH16" s="87">
        <f t="shared" si="36"/>
        <v>0</v>
      </c>
      <c r="DK16" s="87">
        <f t="shared" si="37"/>
        <v>0</v>
      </c>
      <c r="DN16" s="87">
        <f t="shared" si="38"/>
        <v>0</v>
      </c>
      <c r="DQ16" s="87">
        <f t="shared" si="39"/>
        <v>0</v>
      </c>
      <c r="DT16" s="87">
        <f t="shared" si="40"/>
        <v>0</v>
      </c>
      <c r="DW16" s="87">
        <f t="shared" si="41"/>
        <v>0</v>
      </c>
      <c r="DZ16" s="87"/>
      <c r="EA16" s="87"/>
      <c r="EB16" s="122">
        <f t="shared" si="42"/>
        <v>138000000</v>
      </c>
      <c r="EC16" s="122">
        <f t="shared" si="43"/>
        <v>0</v>
      </c>
      <c r="ED16" s="87">
        <f t="shared" si="44"/>
        <v>10256.666666666666</v>
      </c>
      <c r="EE16" s="88">
        <f t="shared" si="45"/>
        <v>2.6756521739130432E-2</v>
      </c>
      <c r="EG16" s="122">
        <f t="shared" si="46"/>
        <v>0</v>
      </c>
      <c r="EH16" s="87">
        <f t="shared" si="47"/>
        <v>0</v>
      </c>
      <c r="EI16" s="88">
        <f t="shared" si="48"/>
        <v>0</v>
      </c>
      <c r="EJ16" s="88"/>
      <c r="EK16" s="122">
        <f t="shared" si="49"/>
        <v>138000000</v>
      </c>
      <c r="EL16" s="122">
        <f t="shared" si="50"/>
        <v>0</v>
      </c>
      <c r="EM16" s="122">
        <f t="shared" si="51"/>
        <v>10256.666666666668</v>
      </c>
      <c r="EN16" s="88">
        <f t="shared" si="52"/>
        <v>2.6756521739130436E-2</v>
      </c>
      <c r="EP16" s="87"/>
    </row>
    <row r="17" spans="1:146" x14ac:dyDescent="0.25">
      <c r="A17" s="35">
        <f t="shared" si="53"/>
        <v>43623</v>
      </c>
      <c r="D17" s="87">
        <f t="shared" si="2"/>
        <v>0</v>
      </c>
      <c r="G17" s="87">
        <f t="shared" si="3"/>
        <v>0</v>
      </c>
      <c r="J17" s="87">
        <f t="shared" si="4"/>
        <v>0</v>
      </c>
      <c r="M17" s="87">
        <f t="shared" si="5"/>
        <v>0</v>
      </c>
      <c r="P17" s="87">
        <f t="shared" si="6"/>
        <v>0</v>
      </c>
      <c r="S17" s="87">
        <f t="shared" si="7"/>
        <v>0</v>
      </c>
      <c r="V17" s="87">
        <f t="shared" si="8"/>
        <v>0</v>
      </c>
      <c r="Y17" s="87">
        <f t="shared" si="9"/>
        <v>0</v>
      </c>
      <c r="AB17" s="87">
        <f t="shared" si="10"/>
        <v>0</v>
      </c>
      <c r="AE17" s="87">
        <v>0</v>
      </c>
      <c r="AH17" s="87">
        <v>0</v>
      </c>
      <c r="AI17" s="120">
        <f>46950000</f>
        <v>46950000</v>
      </c>
      <c r="AJ17" s="121">
        <v>2.58E-2</v>
      </c>
      <c r="AK17" s="87">
        <f t="shared" si="11"/>
        <v>3364.75</v>
      </c>
      <c r="AL17" s="120">
        <f t="shared" ref="AL17:AL40" si="55">35000000</f>
        <v>35000000</v>
      </c>
      <c r="AM17" s="121">
        <v>2.7E-2</v>
      </c>
      <c r="AN17" s="87">
        <f t="shared" si="12"/>
        <v>2625</v>
      </c>
      <c r="AO17" s="120">
        <f t="shared" si="1"/>
        <v>25000000</v>
      </c>
      <c r="AP17" s="121">
        <v>2.7699999999999999E-2</v>
      </c>
      <c r="AQ17" s="87">
        <f t="shared" si="13"/>
        <v>1923.6111111111111</v>
      </c>
      <c r="AR17" s="120">
        <f t="shared" si="54"/>
        <v>30000000</v>
      </c>
      <c r="AS17" s="121">
        <v>2.7199999999999998E-2</v>
      </c>
      <c r="AT17" s="87">
        <f t="shared" si="14"/>
        <v>2266.6666666666665</v>
      </c>
      <c r="AW17" s="87">
        <f t="shared" si="15"/>
        <v>0</v>
      </c>
      <c r="AZ17" s="87">
        <f t="shared" si="16"/>
        <v>0</v>
      </c>
      <c r="BC17" s="87">
        <f t="shared" si="17"/>
        <v>0</v>
      </c>
      <c r="BF17" s="87">
        <f t="shared" si="18"/>
        <v>0</v>
      </c>
      <c r="BI17" s="87">
        <f t="shared" si="19"/>
        <v>0</v>
      </c>
      <c r="BL17" s="87">
        <f t="shared" si="20"/>
        <v>0</v>
      </c>
      <c r="BO17" s="87">
        <f t="shared" si="21"/>
        <v>0</v>
      </c>
      <c r="BR17" s="87">
        <f t="shared" si="22"/>
        <v>0</v>
      </c>
      <c r="BU17" s="87">
        <f t="shared" si="23"/>
        <v>0</v>
      </c>
      <c r="BX17" s="87">
        <f t="shared" si="24"/>
        <v>0</v>
      </c>
      <c r="CA17" s="87">
        <f t="shared" si="25"/>
        <v>0</v>
      </c>
      <c r="CD17" s="87">
        <f t="shared" si="26"/>
        <v>0</v>
      </c>
      <c r="CG17" s="87">
        <f t="shared" si="27"/>
        <v>0</v>
      </c>
      <c r="CJ17" s="87">
        <f t="shared" si="28"/>
        <v>0</v>
      </c>
      <c r="CM17" s="87">
        <f t="shared" si="29"/>
        <v>0</v>
      </c>
      <c r="CP17" s="87">
        <f t="shared" si="30"/>
        <v>0</v>
      </c>
      <c r="CS17" s="87">
        <f t="shared" si="31"/>
        <v>0</v>
      </c>
      <c r="CV17" s="87">
        <f t="shared" si="32"/>
        <v>0</v>
      </c>
      <c r="CY17" s="87">
        <f t="shared" si="33"/>
        <v>0</v>
      </c>
      <c r="DB17" s="87">
        <f t="shared" si="34"/>
        <v>0</v>
      </c>
      <c r="DE17" s="87">
        <f t="shared" si="35"/>
        <v>0</v>
      </c>
      <c r="DH17" s="87">
        <f t="shared" si="36"/>
        <v>0</v>
      </c>
      <c r="DK17" s="87">
        <f t="shared" si="37"/>
        <v>0</v>
      </c>
      <c r="DN17" s="87">
        <f t="shared" si="38"/>
        <v>0</v>
      </c>
      <c r="DQ17" s="87">
        <f t="shared" si="39"/>
        <v>0</v>
      </c>
      <c r="DT17" s="87">
        <f t="shared" si="40"/>
        <v>0</v>
      </c>
      <c r="DW17" s="87">
        <f t="shared" si="41"/>
        <v>0</v>
      </c>
      <c r="DZ17" s="87"/>
      <c r="EA17" s="87"/>
      <c r="EB17" s="122">
        <f t="shared" si="42"/>
        <v>136950000</v>
      </c>
      <c r="EC17" s="122">
        <f t="shared" si="43"/>
        <v>0</v>
      </c>
      <c r="ED17" s="87">
        <f t="shared" si="44"/>
        <v>10180.027777777777</v>
      </c>
      <c r="EE17" s="88">
        <f t="shared" si="45"/>
        <v>2.6760204454180356E-2</v>
      </c>
      <c r="EG17" s="122">
        <f t="shared" si="46"/>
        <v>0</v>
      </c>
      <c r="EH17" s="87">
        <f t="shared" si="47"/>
        <v>0</v>
      </c>
      <c r="EI17" s="88">
        <f t="shared" si="48"/>
        <v>0</v>
      </c>
      <c r="EJ17" s="88"/>
      <c r="EK17" s="122">
        <f t="shared" si="49"/>
        <v>136950000</v>
      </c>
      <c r="EL17" s="122">
        <f t="shared" si="50"/>
        <v>0</v>
      </c>
      <c r="EM17" s="122">
        <f t="shared" si="51"/>
        <v>10180.027777777777</v>
      </c>
      <c r="EN17" s="88">
        <f t="shared" si="52"/>
        <v>2.6760204454180356E-2</v>
      </c>
      <c r="EP17" s="87"/>
    </row>
    <row r="18" spans="1:146" x14ac:dyDescent="0.25">
      <c r="A18" s="35">
        <f t="shared" si="53"/>
        <v>43624</v>
      </c>
      <c r="D18" s="87">
        <f t="shared" si="2"/>
        <v>0</v>
      </c>
      <c r="G18" s="87">
        <f t="shared" si="3"/>
        <v>0</v>
      </c>
      <c r="J18" s="87">
        <f t="shared" si="4"/>
        <v>0</v>
      </c>
      <c r="M18" s="87">
        <f t="shared" si="5"/>
        <v>0</v>
      </c>
      <c r="P18" s="87">
        <f t="shared" si="6"/>
        <v>0</v>
      </c>
      <c r="S18" s="87">
        <f t="shared" si="7"/>
        <v>0</v>
      </c>
      <c r="V18" s="87">
        <f t="shared" si="8"/>
        <v>0</v>
      </c>
      <c r="Y18" s="87">
        <f t="shared" si="9"/>
        <v>0</v>
      </c>
      <c r="AB18" s="87">
        <f t="shared" si="10"/>
        <v>0</v>
      </c>
      <c r="AE18" s="87">
        <v>0</v>
      </c>
      <c r="AH18" s="87">
        <v>0</v>
      </c>
      <c r="AI18" s="120">
        <f>46950000</f>
        <v>46950000</v>
      </c>
      <c r="AJ18" s="121">
        <v>2.58E-2</v>
      </c>
      <c r="AK18" s="87">
        <f t="shared" si="11"/>
        <v>3364.75</v>
      </c>
      <c r="AL18" s="120">
        <f t="shared" si="55"/>
        <v>35000000</v>
      </c>
      <c r="AM18" s="121">
        <v>2.7E-2</v>
      </c>
      <c r="AN18" s="87">
        <f t="shared" si="12"/>
        <v>2625</v>
      </c>
      <c r="AO18" s="120">
        <f t="shared" si="1"/>
        <v>25000000</v>
      </c>
      <c r="AP18" s="121">
        <v>2.7699999999999999E-2</v>
      </c>
      <c r="AQ18" s="87">
        <f t="shared" si="13"/>
        <v>1923.6111111111111</v>
      </c>
      <c r="AR18" s="120">
        <f t="shared" si="54"/>
        <v>30000000</v>
      </c>
      <c r="AS18" s="121">
        <v>2.7199999999999998E-2</v>
      </c>
      <c r="AT18" s="87">
        <f t="shared" si="14"/>
        <v>2266.6666666666665</v>
      </c>
      <c r="AW18" s="87">
        <f t="shared" si="15"/>
        <v>0</v>
      </c>
      <c r="AZ18" s="87">
        <f t="shared" si="16"/>
        <v>0</v>
      </c>
      <c r="BC18" s="87">
        <f t="shared" si="17"/>
        <v>0</v>
      </c>
      <c r="BF18" s="87">
        <f t="shared" si="18"/>
        <v>0</v>
      </c>
      <c r="BI18" s="87">
        <f t="shared" si="19"/>
        <v>0</v>
      </c>
      <c r="BL18" s="87">
        <f t="shared" si="20"/>
        <v>0</v>
      </c>
      <c r="BO18" s="87">
        <f t="shared" si="21"/>
        <v>0</v>
      </c>
      <c r="BR18" s="87">
        <f t="shared" si="22"/>
        <v>0</v>
      </c>
      <c r="BU18" s="87">
        <f t="shared" si="23"/>
        <v>0</v>
      </c>
      <c r="BX18" s="87">
        <f t="shared" si="24"/>
        <v>0</v>
      </c>
      <c r="CA18" s="87">
        <f t="shared" si="25"/>
        <v>0</v>
      </c>
      <c r="CD18" s="87">
        <f t="shared" si="26"/>
        <v>0</v>
      </c>
      <c r="CG18" s="87">
        <f t="shared" si="27"/>
        <v>0</v>
      </c>
      <c r="CJ18" s="87">
        <f t="shared" si="28"/>
        <v>0</v>
      </c>
      <c r="CM18" s="87">
        <f t="shared" si="29"/>
        <v>0</v>
      </c>
      <c r="CP18" s="87">
        <f t="shared" si="30"/>
        <v>0</v>
      </c>
      <c r="CS18" s="87">
        <f t="shared" si="31"/>
        <v>0</v>
      </c>
      <c r="CV18" s="87">
        <f t="shared" si="32"/>
        <v>0</v>
      </c>
      <c r="CY18" s="87">
        <f t="shared" si="33"/>
        <v>0</v>
      </c>
      <c r="DB18" s="87">
        <f t="shared" si="34"/>
        <v>0</v>
      </c>
      <c r="DE18" s="87">
        <f t="shared" si="35"/>
        <v>0</v>
      </c>
      <c r="DH18" s="87">
        <f t="shared" si="36"/>
        <v>0</v>
      </c>
      <c r="DK18" s="87">
        <f t="shared" si="37"/>
        <v>0</v>
      </c>
      <c r="DN18" s="87">
        <f t="shared" si="38"/>
        <v>0</v>
      </c>
      <c r="DQ18" s="87">
        <f t="shared" si="39"/>
        <v>0</v>
      </c>
      <c r="DT18" s="87">
        <f t="shared" si="40"/>
        <v>0</v>
      </c>
      <c r="DW18" s="87">
        <f t="shared" si="41"/>
        <v>0</v>
      </c>
      <c r="DZ18" s="87"/>
      <c r="EA18" s="87"/>
      <c r="EB18" s="122">
        <f t="shared" si="42"/>
        <v>136950000</v>
      </c>
      <c r="EC18" s="122">
        <f t="shared" si="43"/>
        <v>0</v>
      </c>
      <c r="ED18" s="87">
        <f t="shared" si="44"/>
        <v>10180.027777777777</v>
      </c>
      <c r="EE18" s="88">
        <f t="shared" si="45"/>
        <v>2.6760204454180356E-2</v>
      </c>
      <c r="EG18" s="122">
        <f t="shared" si="46"/>
        <v>0</v>
      </c>
      <c r="EH18" s="87">
        <f t="shared" si="47"/>
        <v>0</v>
      </c>
      <c r="EI18" s="88">
        <f t="shared" si="48"/>
        <v>0</v>
      </c>
      <c r="EJ18" s="88"/>
      <c r="EK18" s="122">
        <f t="shared" si="49"/>
        <v>136950000</v>
      </c>
      <c r="EL18" s="122">
        <f t="shared" si="50"/>
        <v>0</v>
      </c>
      <c r="EM18" s="122">
        <f t="shared" si="51"/>
        <v>10180.027777777777</v>
      </c>
      <c r="EN18" s="88">
        <f t="shared" si="52"/>
        <v>2.6760204454180356E-2</v>
      </c>
      <c r="EP18" s="87"/>
    </row>
    <row r="19" spans="1:146" x14ac:dyDescent="0.25">
      <c r="A19" s="35">
        <f t="shared" si="53"/>
        <v>43625</v>
      </c>
      <c r="D19" s="87">
        <f t="shared" si="2"/>
        <v>0</v>
      </c>
      <c r="G19" s="87">
        <f t="shared" si="3"/>
        <v>0</v>
      </c>
      <c r="J19" s="87">
        <f t="shared" si="4"/>
        <v>0</v>
      </c>
      <c r="M19" s="87">
        <f t="shared" si="5"/>
        <v>0</v>
      </c>
      <c r="P19" s="87">
        <f t="shared" si="6"/>
        <v>0</v>
      </c>
      <c r="S19" s="87">
        <f t="shared" si="7"/>
        <v>0</v>
      </c>
      <c r="V19" s="87">
        <f t="shared" si="8"/>
        <v>0</v>
      </c>
      <c r="Y19" s="87">
        <f t="shared" si="9"/>
        <v>0</v>
      </c>
      <c r="AB19" s="87">
        <f t="shared" si="10"/>
        <v>0</v>
      </c>
      <c r="AE19" s="87">
        <v>0</v>
      </c>
      <c r="AH19" s="87">
        <v>0</v>
      </c>
      <c r="AI19" s="120">
        <f>46950000</f>
        <v>46950000</v>
      </c>
      <c r="AJ19" s="121">
        <v>2.58E-2</v>
      </c>
      <c r="AK19" s="87">
        <f t="shared" si="11"/>
        <v>3364.75</v>
      </c>
      <c r="AL19" s="120">
        <f t="shared" si="55"/>
        <v>35000000</v>
      </c>
      <c r="AM19" s="121">
        <v>2.7E-2</v>
      </c>
      <c r="AN19" s="87">
        <f t="shared" si="12"/>
        <v>2625</v>
      </c>
      <c r="AO19" s="120">
        <f t="shared" si="1"/>
        <v>25000000</v>
      </c>
      <c r="AP19" s="121">
        <v>2.7699999999999999E-2</v>
      </c>
      <c r="AQ19" s="87">
        <f t="shared" si="13"/>
        <v>1923.6111111111111</v>
      </c>
      <c r="AR19" s="120">
        <f t="shared" si="54"/>
        <v>30000000</v>
      </c>
      <c r="AS19" s="121">
        <v>2.7199999999999998E-2</v>
      </c>
      <c r="AT19" s="87">
        <f t="shared" si="14"/>
        <v>2266.6666666666665</v>
      </c>
      <c r="AW19" s="87">
        <f t="shared" si="15"/>
        <v>0</v>
      </c>
      <c r="AZ19" s="87">
        <f t="shared" si="16"/>
        <v>0</v>
      </c>
      <c r="BC19" s="87">
        <f t="shared" si="17"/>
        <v>0</v>
      </c>
      <c r="BF19" s="87">
        <f t="shared" si="18"/>
        <v>0</v>
      </c>
      <c r="BI19" s="87">
        <f t="shared" si="19"/>
        <v>0</v>
      </c>
      <c r="BL19" s="87">
        <f t="shared" si="20"/>
        <v>0</v>
      </c>
      <c r="BO19" s="87">
        <f t="shared" si="21"/>
        <v>0</v>
      </c>
      <c r="BR19" s="87">
        <f t="shared" si="22"/>
        <v>0</v>
      </c>
      <c r="BU19" s="87">
        <f t="shared" si="23"/>
        <v>0</v>
      </c>
      <c r="BX19" s="87">
        <f t="shared" si="24"/>
        <v>0</v>
      </c>
      <c r="CA19" s="87">
        <f t="shared" si="25"/>
        <v>0</v>
      </c>
      <c r="CD19" s="87">
        <f t="shared" si="26"/>
        <v>0</v>
      </c>
      <c r="CG19" s="87">
        <f t="shared" si="27"/>
        <v>0</v>
      </c>
      <c r="CJ19" s="87">
        <f t="shared" si="28"/>
        <v>0</v>
      </c>
      <c r="CM19" s="87">
        <f t="shared" si="29"/>
        <v>0</v>
      </c>
      <c r="CP19" s="87">
        <f t="shared" si="30"/>
        <v>0</v>
      </c>
      <c r="CS19" s="87">
        <f t="shared" si="31"/>
        <v>0</v>
      </c>
      <c r="CV19" s="87">
        <f t="shared" si="32"/>
        <v>0</v>
      </c>
      <c r="CY19" s="87">
        <f t="shared" si="33"/>
        <v>0</v>
      </c>
      <c r="DB19" s="87">
        <f t="shared" si="34"/>
        <v>0</v>
      </c>
      <c r="DE19" s="87">
        <f t="shared" si="35"/>
        <v>0</v>
      </c>
      <c r="DH19" s="87">
        <f t="shared" si="36"/>
        <v>0</v>
      </c>
      <c r="DK19" s="87">
        <f t="shared" si="37"/>
        <v>0</v>
      </c>
      <c r="DN19" s="87">
        <f t="shared" si="38"/>
        <v>0</v>
      </c>
      <c r="DQ19" s="87">
        <f t="shared" si="39"/>
        <v>0</v>
      </c>
      <c r="DT19" s="87">
        <f t="shared" si="40"/>
        <v>0</v>
      </c>
      <c r="DW19" s="87">
        <f t="shared" si="41"/>
        <v>0</v>
      </c>
      <c r="DZ19" s="87"/>
      <c r="EA19" s="87"/>
      <c r="EB19" s="122">
        <f t="shared" si="42"/>
        <v>136950000</v>
      </c>
      <c r="EC19" s="122">
        <f t="shared" si="43"/>
        <v>0</v>
      </c>
      <c r="ED19" s="87">
        <f t="shared" si="44"/>
        <v>10180.027777777777</v>
      </c>
      <c r="EE19" s="88">
        <f t="shared" si="45"/>
        <v>2.6760204454180356E-2</v>
      </c>
      <c r="EG19" s="122">
        <f t="shared" si="46"/>
        <v>0</v>
      </c>
      <c r="EH19" s="87">
        <f t="shared" si="47"/>
        <v>0</v>
      </c>
      <c r="EI19" s="88">
        <f t="shared" si="48"/>
        <v>0</v>
      </c>
      <c r="EJ19" s="88"/>
      <c r="EK19" s="122">
        <f t="shared" si="49"/>
        <v>136950000</v>
      </c>
      <c r="EL19" s="122">
        <f t="shared" si="50"/>
        <v>0</v>
      </c>
      <c r="EM19" s="122">
        <f t="shared" si="51"/>
        <v>10180.027777777777</v>
      </c>
      <c r="EN19" s="88">
        <f t="shared" si="52"/>
        <v>2.6760204454180356E-2</v>
      </c>
      <c r="EP19" s="87"/>
    </row>
    <row r="20" spans="1:146" x14ac:dyDescent="0.25">
      <c r="A20" s="35">
        <f t="shared" si="53"/>
        <v>43626</v>
      </c>
      <c r="D20" s="87">
        <f t="shared" si="2"/>
        <v>0</v>
      </c>
      <c r="G20" s="87">
        <f t="shared" si="3"/>
        <v>0</v>
      </c>
      <c r="J20" s="87">
        <f t="shared" si="4"/>
        <v>0</v>
      </c>
      <c r="M20" s="87">
        <f t="shared" si="5"/>
        <v>0</v>
      </c>
      <c r="P20" s="87">
        <f t="shared" si="6"/>
        <v>0</v>
      </c>
      <c r="S20" s="87">
        <f t="shared" si="7"/>
        <v>0</v>
      </c>
      <c r="V20" s="87">
        <f t="shared" si="8"/>
        <v>0</v>
      </c>
      <c r="Y20" s="87">
        <f t="shared" si="9"/>
        <v>0</v>
      </c>
      <c r="AB20" s="87">
        <f t="shared" si="10"/>
        <v>0</v>
      </c>
      <c r="AE20" s="87">
        <v>0</v>
      </c>
      <c r="AH20" s="87">
        <v>0</v>
      </c>
      <c r="AI20" s="120">
        <f>44700000</f>
        <v>44700000</v>
      </c>
      <c r="AJ20" s="121">
        <v>2.58E-2</v>
      </c>
      <c r="AK20" s="87">
        <f t="shared" si="11"/>
        <v>3203.5</v>
      </c>
      <c r="AL20" s="120">
        <f t="shared" si="55"/>
        <v>35000000</v>
      </c>
      <c r="AM20" s="121">
        <v>2.7E-2</v>
      </c>
      <c r="AN20" s="87">
        <f t="shared" si="12"/>
        <v>2625</v>
      </c>
      <c r="AO20" s="120">
        <f t="shared" si="1"/>
        <v>25000000</v>
      </c>
      <c r="AP20" s="121">
        <v>2.7699999999999999E-2</v>
      </c>
      <c r="AQ20" s="87">
        <f t="shared" si="13"/>
        <v>1923.6111111111111</v>
      </c>
      <c r="AR20" s="120">
        <f t="shared" si="54"/>
        <v>30000000</v>
      </c>
      <c r="AS20" s="121">
        <v>2.7199999999999998E-2</v>
      </c>
      <c r="AT20" s="87">
        <f t="shared" si="14"/>
        <v>2266.6666666666665</v>
      </c>
      <c r="AW20" s="87">
        <f t="shared" si="15"/>
        <v>0</v>
      </c>
      <c r="AZ20" s="87">
        <f t="shared" si="16"/>
        <v>0</v>
      </c>
      <c r="BC20" s="87">
        <f t="shared" si="17"/>
        <v>0</v>
      </c>
      <c r="BF20" s="87">
        <f t="shared" si="18"/>
        <v>0</v>
      </c>
      <c r="BI20" s="87">
        <f t="shared" si="19"/>
        <v>0</v>
      </c>
      <c r="BL20" s="87">
        <f t="shared" si="20"/>
        <v>0</v>
      </c>
      <c r="BO20" s="87">
        <f t="shared" si="21"/>
        <v>0</v>
      </c>
      <c r="BR20" s="87">
        <f t="shared" si="22"/>
        <v>0</v>
      </c>
      <c r="BU20" s="87">
        <f t="shared" si="23"/>
        <v>0</v>
      </c>
      <c r="BX20" s="87">
        <f t="shared" si="24"/>
        <v>0</v>
      </c>
      <c r="CA20" s="87">
        <f t="shared" si="25"/>
        <v>0</v>
      </c>
      <c r="CD20" s="87">
        <f t="shared" si="26"/>
        <v>0</v>
      </c>
      <c r="CG20" s="87">
        <f t="shared" si="27"/>
        <v>0</v>
      </c>
      <c r="CJ20" s="87">
        <f t="shared" si="28"/>
        <v>0</v>
      </c>
      <c r="CM20" s="87">
        <f t="shared" si="29"/>
        <v>0</v>
      </c>
      <c r="CP20" s="87">
        <f t="shared" si="30"/>
        <v>0</v>
      </c>
      <c r="CS20" s="87">
        <f t="shared" si="31"/>
        <v>0</v>
      </c>
      <c r="CV20" s="87">
        <f t="shared" si="32"/>
        <v>0</v>
      </c>
      <c r="CY20" s="87">
        <f t="shared" si="33"/>
        <v>0</v>
      </c>
      <c r="DB20" s="87">
        <f t="shared" si="34"/>
        <v>0</v>
      </c>
      <c r="DE20" s="87">
        <f t="shared" si="35"/>
        <v>0</v>
      </c>
      <c r="DH20" s="87">
        <f t="shared" si="36"/>
        <v>0</v>
      </c>
      <c r="DK20" s="87">
        <f t="shared" si="37"/>
        <v>0</v>
      </c>
      <c r="DN20" s="87">
        <f t="shared" si="38"/>
        <v>0</v>
      </c>
      <c r="DQ20" s="87">
        <f t="shared" si="39"/>
        <v>0</v>
      </c>
      <c r="DT20" s="87">
        <f t="shared" si="40"/>
        <v>0</v>
      </c>
      <c r="DW20" s="87">
        <f t="shared" si="41"/>
        <v>0</v>
      </c>
      <c r="DZ20" s="87"/>
      <c r="EA20" s="87"/>
      <c r="EB20" s="122">
        <f t="shared" si="42"/>
        <v>134700000</v>
      </c>
      <c r="EC20" s="122">
        <f t="shared" si="43"/>
        <v>0</v>
      </c>
      <c r="ED20" s="87">
        <f t="shared" si="44"/>
        <v>10018.777777777777</v>
      </c>
      <c r="EE20" s="88">
        <f t="shared" si="45"/>
        <v>2.6776243504083148E-2</v>
      </c>
      <c r="EG20" s="122">
        <f t="shared" si="46"/>
        <v>0</v>
      </c>
      <c r="EH20" s="87">
        <f t="shared" si="47"/>
        <v>0</v>
      </c>
      <c r="EI20" s="88">
        <f t="shared" si="48"/>
        <v>0</v>
      </c>
      <c r="EJ20" s="88"/>
      <c r="EK20" s="122">
        <f t="shared" si="49"/>
        <v>134700000</v>
      </c>
      <c r="EL20" s="122">
        <f t="shared" si="50"/>
        <v>0</v>
      </c>
      <c r="EM20" s="122">
        <f t="shared" si="51"/>
        <v>10018.777777777777</v>
      </c>
      <c r="EN20" s="88">
        <f t="shared" si="52"/>
        <v>2.6776243504083148E-2</v>
      </c>
      <c r="EP20" s="87"/>
    </row>
    <row r="21" spans="1:146" x14ac:dyDescent="0.25">
      <c r="A21" s="35">
        <f t="shared" si="53"/>
        <v>43627</v>
      </c>
      <c r="D21" s="87">
        <f t="shared" si="2"/>
        <v>0</v>
      </c>
      <c r="G21" s="87">
        <f t="shared" si="3"/>
        <v>0</v>
      </c>
      <c r="J21" s="87">
        <f t="shared" si="4"/>
        <v>0</v>
      </c>
      <c r="M21" s="87">
        <f t="shared" si="5"/>
        <v>0</v>
      </c>
      <c r="P21" s="87">
        <f t="shared" si="6"/>
        <v>0</v>
      </c>
      <c r="S21" s="87">
        <f t="shared" si="7"/>
        <v>0</v>
      </c>
      <c r="V21" s="87">
        <f t="shared" si="8"/>
        <v>0</v>
      </c>
      <c r="Y21" s="87">
        <f t="shared" si="9"/>
        <v>0</v>
      </c>
      <c r="AB21" s="87">
        <f t="shared" si="10"/>
        <v>0</v>
      </c>
      <c r="AE21" s="87">
        <v>0</v>
      </c>
      <c r="AH21" s="87">
        <v>0</v>
      </c>
      <c r="AI21" s="120">
        <f>34800000</f>
        <v>34800000</v>
      </c>
      <c r="AJ21" s="121">
        <v>2.58E-2</v>
      </c>
      <c r="AK21" s="87">
        <f t="shared" si="11"/>
        <v>2494</v>
      </c>
      <c r="AL21" s="120">
        <f t="shared" si="55"/>
        <v>35000000</v>
      </c>
      <c r="AM21" s="121">
        <v>2.7E-2</v>
      </c>
      <c r="AN21" s="87">
        <f t="shared" si="12"/>
        <v>2625</v>
      </c>
      <c r="AO21" s="120">
        <f t="shared" si="1"/>
        <v>25000000</v>
      </c>
      <c r="AP21" s="121">
        <v>2.7699999999999999E-2</v>
      </c>
      <c r="AQ21" s="87">
        <f t="shared" si="13"/>
        <v>1923.6111111111111</v>
      </c>
      <c r="AR21" s="120">
        <f t="shared" si="54"/>
        <v>30000000</v>
      </c>
      <c r="AS21" s="121">
        <v>2.7199999999999998E-2</v>
      </c>
      <c r="AT21" s="87">
        <f t="shared" si="14"/>
        <v>2266.6666666666665</v>
      </c>
      <c r="AW21" s="87">
        <f t="shared" si="15"/>
        <v>0</v>
      </c>
      <c r="AZ21" s="87">
        <f t="shared" si="16"/>
        <v>0</v>
      </c>
      <c r="BC21" s="87">
        <f t="shared" si="17"/>
        <v>0</v>
      </c>
      <c r="BF21" s="87">
        <f t="shared" si="18"/>
        <v>0</v>
      </c>
      <c r="BI21" s="87">
        <f t="shared" si="19"/>
        <v>0</v>
      </c>
      <c r="BL21" s="87">
        <f t="shared" si="20"/>
        <v>0</v>
      </c>
      <c r="BO21" s="87">
        <f t="shared" si="21"/>
        <v>0</v>
      </c>
      <c r="BR21" s="87">
        <f t="shared" si="22"/>
        <v>0</v>
      </c>
      <c r="BU21" s="87">
        <f t="shared" si="23"/>
        <v>0</v>
      </c>
      <c r="BX21" s="87">
        <f t="shared" si="24"/>
        <v>0</v>
      </c>
      <c r="CA21" s="87">
        <f t="shared" si="25"/>
        <v>0</v>
      </c>
      <c r="CD21" s="87">
        <f t="shared" si="26"/>
        <v>0</v>
      </c>
      <c r="CG21" s="87">
        <f t="shared" si="27"/>
        <v>0</v>
      </c>
      <c r="CJ21" s="87">
        <f t="shared" si="28"/>
        <v>0</v>
      </c>
      <c r="CM21" s="87">
        <f t="shared" si="29"/>
        <v>0</v>
      </c>
      <c r="CP21" s="87">
        <f t="shared" si="30"/>
        <v>0</v>
      </c>
      <c r="CS21" s="87">
        <f t="shared" si="31"/>
        <v>0</v>
      </c>
      <c r="CV21" s="87">
        <f t="shared" si="32"/>
        <v>0</v>
      </c>
      <c r="CY21" s="87">
        <f t="shared" si="33"/>
        <v>0</v>
      </c>
      <c r="DB21" s="87">
        <f t="shared" si="34"/>
        <v>0</v>
      </c>
      <c r="DE21" s="87">
        <f t="shared" si="35"/>
        <v>0</v>
      </c>
      <c r="DH21" s="87">
        <f t="shared" si="36"/>
        <v>0</v>
      </c>
      <c r="DK21" s="87">
        <f t="shared" si="37"/>
        <v>0</v>
      </c>
      <c r="DN21" s="87">
        <f t="shared" si="38"/>
        <v>0</v>
      </c>
      <c r="DQ21" s="87">
        <f t="shared" si="39"/>
        <v>0</v>
      </c>
      <c r="DT21" s="87">
        <f t="shared" si="40"/>
        <v>0</v>
      </c>
      <c r="DW21" s="87">
        <f t="shared" si="41"/>
        <v>0</v>
      </c>
      <c r="DZ21" s="87"/>
      <c r="EA21" s="87"/>
      <c r="EB21" s="122">
        <f t="shared" si="42"/>
        <v>124800000</v>
      </c>
      <c r="EC21" s="122">
        <f t="shared" si="43"/>
        <v>0</v>
      </c>
      <c r="ED21" s="87">
        <f t="shared" si="44"/>
        <v>9309.2777777777774</v>
      </c>
      <c r="EE21" s="88">
        <f t="shared" si="45"/>
        <v>2.6853685897435895E-2</v>
      </c>
      <c r="EG21" s="122">
        <f t="shared" si="46"/>
        <v>0</v>
      </c>
      <c r="EH21" s="87">
        <f t="shared" si="47"/>
        <v>0</v>
      </c>
      <c r="EI21" s="88">
        <f t="shared" si="48"/>
        <v>0</v>
      </c>
      <c r="EJ21" s="88"/>
      <c r="EK21" s="122">
        <f t="shared" si="49"/>
        <v>124800000</v>
      </c>
      <c r="EL21" s="122">
        <f t="shared" si="50"/>
        <v>0</v>
      </c>
      <c r="EM21" s="122">
        <f t="shared" si="51"/>
        <v>9309.2777777777774</v>
      </c>
      <c r="EN21" s="88">
        <f t="shared" si="52"/>
        <v>2.6853685897435895E-2</v>
      </c>
      <c r="EP21" s="87"/>
    </row>
    <row r="22" spans="1:146" x14ac:dyDescent="0.25">
      <c r="A22" s="35">
        <f t="shared" si="53"/>
        <v>43628</v>
      </c>
      <c r="D22" s="87">
        <f t="shared" si="2"/>
        <v>0</v>
      </c>
      <c r="G22" s="87">
        <f t="shared" si="3"/>
        <v>0</v>
      </c>
      <c r="J22" s="87">
        <f t="shared" si="4"/>
        <v>0</v>
      </c>
      <c r="M22" s="87">
        <f t="shared" si="5"/>
        <v>0</v>
      </c>
      <c r="P22" s="87">
        <f t="shared" si="6"/>
        <v>0</v>
      </c>
      <c r="S22" s="87">
        <f t="shared" si="7"/>
        <v>0</v>
      </c>
      <c r="V22" s="87">
        <f t="shared" si="8"/>
        <v>0</v>
      </c>
      <c r="Y22" s="87">
        <f t="shared" si="9"/>
        <v>0</v>
      </c>
      <c r="AB22" s="87">
        <f t="shared" si="10"/>
        <v>0</v>
      </c>
      <c r="AE22" s="87">
        <v>0</v>
      </c>
      <c r="AH22" s="87">
        <v>0</v>
      </c>
      <c r="AI22" s="120">
        <f>32000000</f>
        <v>32000000</v>
      </c>
      <c r="AJ22" s="121">
        <v>2.5700000000000001E-2</v>
      </c>
      <c r="AK22" s="87">
        <f t="shared" si="11"/>
        <v>2284.4444444444443</v>
      </c>
      <c r="AL22" s="120">
        <f t="shared" si="55"/>
        <v>35000000</v>
      </c>
      <c r="AM22" s="121">
        <v>2.7E-2</v>
      </c>
      <c r="AN22" s="87">
        <f t="shared" si="12"/>
        <v>2625</v>
      </c>
      <c r="AO22" s="120">
        <f t="shared" si="1"/>
        <v>25000000</v>
      </c>
      <c r="AP22" s="121">
        <v>2.7699999999999999E-2</v>
      </c>
      <c r="AQ22" s="87">
        <f t="shared" si="13"/>
        <v>1923.6111111111111</v>
      </c>
      <c r="AR22" s="120">
        <f t="shared" si="54"/>
        <v>30000000</v>
      </c>
      <c r="AS22" s="121">
        <v>2.7199999999999998E-2</v>
      </c>
      <c r="AT22" s="87">
        <f t="shared" si="14"/>
        <v>2266.6666666666665</v>
      </c>
      <c r="AW22" s="87">
        <f t="shared" si="15"/>
        <v>0</v>
      </c>
      <c r="AZ22" s="87">
        <f t="shared" si="16"/>
        <v>0</v>
      </c>
      <c r="BC22" s="87">
        <f t="shared" si="17"/>
        <v>0</v>
      </c>
      <c r="BF22" s="87">
        <f t="shared" si="18"/>
        <v>0</v>
      </c>
      <c r="BI22" s="87">
        <f t="shared" si="19"/>
        <v>0</v>
      </c>
      <c r="BL22" s="87">
        <f t="shared" si="20"/>
        <v>0</v>
      </c>
      <c r="BO22" s="87">
        <f t="shared" si="21"/>
        <v>0</v>
      </c>
      <c r="BR22" s="87">
        <f t="shared" si="22"/>
        <v>0</v>
      </c>
      <c r="BU22" s="87">
        <f t="shared" si="23"/>
        <v>0</v>
      </c>
      <c r="BX22" s="87">
        <f t="shared" si="24"/>
        <v>0</v>
      </c>
      <c r="CA22" s="87">
        <f t="shared" si="25"/>
        <v>0</v>
      </c>
      <c r="CD22" s="87">
        <f t="shared" si="26"/>
        <v>0</v>
      </c>
      <c r="CG22" s="87">
        <f t="shared" si="27"/>
        <v>0</v>
      </c>
      <c r="CJ22" s="87">
        <f t="shared" si="28"/>
        <v>0</v>
      </c>
      <c r="CM22" s="87">
        <f t="shared" si="29"/>
        <v>0</v>
      </c>
      <c r="CP22" s="87">
        <f t="shared" si="30"/>
        <v>0</v>
      </c>
      <c r="CS22" s="87">
        <f t="shared" si="31"/>
        <v>0</v>
      </c>
      <c r="CV22" s="87">
        <f t="shared" si="32"/>
        <v>0</v>
      </c>
      <c r="CY22" s="87">
        <f t="shared" si="33"/>
        <v>0</v>
      </c>
      <c r="DB22" s="87">
        <f t="shared" si="34"/>
        <v>0</v>
      </c>
      <c r="DE22" s="87">
        <f t="shared" si="35"/>
        <v>0</v>
      </c>
      <c r="DH22" s="87">
        <f t="shared" si="36"/>
        <v>0</v>
      </c>
      <c r="DK22" s="87">
        <f t="shared" si="37"/>
        <v>0</v>
      </c>
      <c r="DN22" s="87">
        <f t="shared" si="38"/>
        <v>0</v>
      </c>
      <c r="DQ22" s="87">
        <f t="shared" si="39"/>
        <v>0</v>
      </c>
      <c r="DT22" s="87">
        <f t="shared" si="40"/>
        <v>0</v>
      </c>
      <c r="DW22" s="87">
        <f t="shared" si="41"/>
        <v>0</v>
      </c>
      <c r="DZ22" s="87"/>
      <c r="EA22" s="87"/>
      <c r="EB22" s="122">
        <f t="shared" si="42"/>
        <v>122000000</v>
      </c>
      <c r="EC22" s="122">
        <f t="shared" si="43"/>
        <v>0</v>
      </c>
      <c r="ED22" s="87">
        <f t="shared" si="44"/>
        <v>9099.7222222222226</v>
      </c>
      <c r="EE22" s="88">
        <f t="shared" si="45"/>
        <v>2.6851639344262296E-2</v>
      </c>
      <c r="EG22" s="122">
        <f t="shared" si="46"/>
        <v>0</v>
      </c>
      <c r="EH22" s="87">
        <f t="shared" si="47"/>
        <v>0</v>
      </c>
      <c r="EI22" s="88">
        <f t="shared" si="48"/>
        <v>0</v>
      </c>
      <c r="EJ22" s="88"/>
      <c r="EK22" s="122">
        <f t="shared" si="49"/>
        <v>122000000</v>
      </c>
      <c r="EL22" s="122">
        <f t="shared" si="50"/>
        <v>0</v>
      </c>
      <c r="EM22" s="122">
        <f t="shared" si="51"/>
        <v>9099.7222222222226</v>
      </c>
      <c r="EN22" s="88">
        <f t="shared" si="52"/>
        <v>2.6851639344262296E-2</v>
      </c>
      <c r="EP22" s="87"/>
    </row>
    <row r="23" spans="1:146" x14ac:dyDescent="0.25">
      <c r="A23" s="35">
        <f t="shared" si="53"/>
        <v>43629</v>
      </c>
      <c r="D23" s="87">
        <f t="shared" si="2"/>
        <v>0</v>
      </c>
      <c r="G23" s="87">
        <f t="shared" si="3"/>
        <v>0</v>
      </c>
      <c r="J23" s="87">
        <f t="shared" si="4"/>
        <v>0</v>
      </c>
      <c r="M23" s="87">
        <f t="shared" si="5"/>
        <v>0</v>
      </c>
      <c r="P23" s="87">
        <f t="shared" si="6"/>
        <v>0</v>
      </c>
      <c r="S23" s="87">
        <f t="shared" si="7"/>
        <v>0</v>
      </c>
      <c r="V23" s="87">
        <f t="shared" si="8"/>
        <v>0</v>
      </c>
      <c r="Y23" s="87">
        <f t="shared" si="9"/>
        <v>0</v>
      </c>
      <c r="AB23" s="87">
        <f t="shared" si="10"/>
        <v>0</v>
      </c>
      <c r="AE23" s="87">
        <v>0</v>
      </c>
      <c r="AH23" s="87">
        <v>0</v>
      </c>
      <c r="AI23" s="120">
        <f>37850000</f>
        <v>37850000</v>
      </c>
      <c r="AJ23" s="121">
        <v>2.5700000000000001E-2</v>
      </c>
      <c r="AK23" s="87">
        <f t="shared" si="11"/>
        <v>2702.0694444444443</v>
      </c>
      <c r="AL23" s="120">
        <f t="shared" si="55"/>
        <v>35000000</v>
      </c>
      <c r="AM23" s="121">
        <v>2.7E-2</v>
      </c>
      <c r="AN23" s="87">
        <f t="shared" si="12"/>
        <v>2625</v>
      </c>
      <c r="AO23" s="120">
        <f t="shared" si="1"/>
        <v>25000000</v>
      </c>
      <c r="AP23" s="121">
        <v>2.7699999999999999E-2</v>
      </c>
      <c r="AQ23" s="87">
        <f t="shared" si="13"/>
        <v>1923.6111111111111</v>
      </c>
      <c r="AR23" s="120">
        <f t="shared" si="54"/>
        <v>30000000</v>
      </c>
      <c r="AS23" s="121">
        <v>2.7199999999999998E-2</v>
      </c>
      <c r="AT23" s="87">
        <f t="shared" si="14"/>
        <v>2266.6666666666665</v>
      </c>
      <c r="AW23" s="87">
        <f t="shared" si="15"/>
        <v>0</v>
      </c>
      <c r="AZ23" s="87">
        <f t="shared" si="16"/>
        <v>0</v>
      </c>
      <c r="BC23" s="87">
        <f t="shared" si="17"/>
        <v>0</v>
      </c>
      <c r="BF23" s="87">
        <f t="shared" si="18"/>
        <v>0</v>
      </c>
      <c r="BI23" s="87">
        <f t="shared" si="19"/>
        <v>0</v>
      </c>
      <c r="BL23" s="87">
        <f t="shared" si="20"/>
        <v>0</v>
      </c>
      <c r="BO23" s="87">
        <f t="shared" si="21"/>
        <v>0</v>
      </c>
      <c r="BR23" s="87">
        <f t="shared" si="22"/>
        <v>0</v>
      </c>
      <c r="BU23" s="87">
        <f t="shared" si="23"/>
        <v>0</v>
      </c>
      <c r="BX23" s="87">
        <f t="shared" si="24"/>
        <v>0</v>
      </c>
      <c r="CA23" s="87">
        <f t="shared" si="25"/>
        <v>0</v>
      </c>
      <c r="CD23" s="87">
        <f t="shared" si="26"/>
        <v>0</v>
      </c>
      <c r="CG23" s="87">
        <f t="shared" si="27"/>
        <v>0</v>
      </c>
      <c r="CJ23" s="87">
        <f t="shared" si="28"/>
        <v>0</v>
      </c>
      <c r="CM23" s="87">
        <f t="shared" si="29"/>
        <v>0</v>
      </c>
      <c r="CP23" s="87">
        <f t="shared" si="30"/>
        <v>0</v>
      </c>
      <c r="CS23" s="87">
        <f t="shared" si="31"/>
        <v>0</v>
      </c>
      <c r="CV23" s="87">
        <f t="shared" si="32"/>
        <v>0</v>
      </c>
      <c r="CY23" s="87">
        <f t="shared" si="33"/>
        <v>0</v>
      </c>
      <c r="DB23" s="87">
        <f t="shared" si="34"/>
        <v>0</v>
      </c>
      <c r="DE23" s="87">
        <f t="shared" si="35"/>
        <v>0</v>
      </c>
      <c r="DH23" s="87">
        <f t="shared" si="36"/>
        <v>0</v>
      </c>
      <c r="DK23" s="87">
        <f t="shared" si="37"/>
        <v>0</v>
      </c>
      <c r="DN23" s="87">
        <f t="shared" si="38"/>
        <v>0</v>
      </c>
      <c r="DQ23" s="87">
        <f t="shared" si="39"/>
        <v>0</v>
      </c>
      <c r="DT23" s="87">
        <f t="shared" si="40"/>
        <v>0</v>
      </c>
      <c r="DW23" s="87">
        <f t="shared" si="41"/>
        <v>0</v>
      </c>
      <c r="DZ23" s="87"/>
      <c r="EA23" s="87"/>
      <c r="EB23" s="122">
        <f t="shared" si="42"/>
        <v>127850000</v>
      </c>
      <c r="EC23" s="122">
        <f t="shared" si="43"/>
        <v>0</v>
      </c>
      <c r="ED23" s="87">
        <f t="shared" si="44"/>
        <v>9517.3472222222226</v>
      </c>
      <c r="EE23" s="88">
        <f t="shared" si="45"/>
        <v>2.6798944075087996E-2</v>
      </c>
      <c r="EG23" s="122">
        <f t="shared" si="46"/>
        <v>0</v>
      </c>
      <c r="EH23" s="87">
        <f t="shared" si="47"/>
        <v>0</v>
      </c>
      <c r="EI23" s="88">
        <f t="shared" si="48"/>
        <v>0</v>
      </c>
      <c r="EJ23" s="88"/>
      <c r="EK23" s="122">
        <f t="shared" si="49"/>
        <v>127850000</v>
      </c>
      <c r="EL23" s="122">
        <f t="shared" si="50"/>
        <v>0</v>
      </c>
      <c r="EM23" s="122">
        <f t="shared" si="51"/>
        <v>9517.3472222222226</v>
      </c>
      <c r="EN23" s="88">
        <f t="shared" si="52"/>
        <v>2.6798944075087996E-2</v>
      </c>
      <c r="EP23" s="87"/>
    </row>
    <row r="24" spans="1:146" x14ac:dyDescent="0.25">
      <c r="A24" s="35">
        <f t="shared" si="53"/>
        <v>43630</v>
      </c>
      <c r="D24" s="87">
        <f t="shared" si="2"/>
        <v>0</v>
      </c>
      <c r="G24" s="87">
        <f t="shared" si="3"/>
        <v>0</v>
      </c>
      <c r="J24" s="87">
        <f t="shared" si="4"/>
        <v>0</v>
      </c>
      <c r="M24" s="87">
        <f t="shared" si="5"/>
        <v>0</v>
      </c>
      <c r="P24" s="87">
        <f t="shared" si="6"/>
        <v>0</v>
      </c>
      <c r="S24" s="87">
        <f t="shared" si="7"/>
        <v>0</v>
      </c>
      <c r="V24" s="87">
        <f t="shared" si="8"/>
        <v>0</v>
      </c>
      <c r="Y24" s="87">
        <f t="shared" si="9"/>
        <v>0</v>
      </c>
      <c r="AB24" s="87">
        <f t="shared" si="10"/>
        <v>0</v>
      </c>
      <c r="AE24" s="87">
        <v>0</v>
      </c>
      <c r="AH24" s="87">
        <v>0</v>
      </c>
      <c r="AI24" s="120">
        <f>46150000</f>
        <v>46150000</v>
      </c>
      <c r="AJ24" s="121">
        <v>2.5600000000000001E-2</v>
      </c>
      <c r="AK24" s="87">
        <f t="shared" si="11"/>
        <v>3281.7777777777778</v>
      </c>
      <c r="AL24" s="120">
        <f t="shared" si="55"/>
        <v>35000000</v>
      </c>
      <c r="AM24" s="121">
        <v>2.7E-2</v>
      </c>
      <c r="AN24" s="87">
        <f t="shared" si="12"/>
        <v>2625</v>
      </c>
      <c r="AO24" s="120"/>
      <c r="AP24" s="121"/>
      <c r="AQ24" s="87">
        <f t="shared" si="13"/>
        <v>0</v>
      </c>
      <c r="AR24" s="120">
        <f t="shared" si="54"/>
        <v>30000000</v>
      </c>
      <c r="AS24" s="121">
        <v>2.7199999999999998E-2</v>
      </c>
      <c r="AT24" s="87">
        <f t="shared" si="14"/>
        <v>2266.6666666666665</v>
      </c>
      <c r="AW24" s="87">
        <f t="shared" si="15"/>
        <v>0</v>
      </c>
      <c r="AZ24" s="87">
        <f t="shared" si="16"/>
        <v>0</v>
      </c>
      <c r="BC24" s="87">
        <f t="shared" si="17"/>
        <v>0</v>
      </c>
      <c r="BF24" s="87">
        <f t="shared" si="18"/>
        <v>0</v>
      </c>
      <c r="BI24" s="87">
        <f t="shared" si="19"/>
        <v>0</v>
      </c>
      <c r="BL24" s="87">
        <f t="shared" si="20"/>
        <v>0</v>
      </c>
      <c r="BO24" s="87">
        <f t="shared" si="21"/>
        <v>0</v>
      </c>
      <c r="BR24" s="87">
        <f t="shared" si="22"/>
        <v>0</v>
      </c>
      <c r="BU24" s="87">
        <f t="shared" si="23"/>
        <v>0</v>
      </c>
      <c r="BX24" s="87">
        <f t="shared" si="24"/>
        <v>0</v>
      </c>
      <c r="CA24" s="87">
        <f t="shared" si="25"/>
        <v>0</v>
      </c>
      <c r="CD24" s="87">
        <f t="shared" si="26"/>
        <v>0</v>
      </c>
      <c r="CG24" s="87">
        <f t="shared" si="27"/>
        <v>0</v>
      </c>
      <c r="CJ24" s="87">
        <f t="shared" si="28"/>
        <v>0</v>
      </c>
      <c r="CM24" s="87">
        <f t="shared" si="29"/>
        <v>0</v>
      </c>
      <c r="CP24" s="87">
        <f t="shared" si="30"/>
        <v>0</v>
      </c>
      <c r="CS24" s="87">
        <f t="shared" si="31"/>
        <v>0</v>
      </c>
      <c r="CV24" s="87">
        <f t="shared" si="32"/>
        <v>0</v>
      </c>
      <c r="CY24" s="87">
        <f t="shared" si="33"/>
        <v>0</v>
      </c>
      <c r="DB24" s="87">
        <f t="shared" si="34"/>
        <v>0</v>
      </c>
      <c r="DE24" s="87">
        <f t="shared" si="35"/>
        <v>0</v>
      </c>
      <c r="DH24" s="87">
        <f t="shared" si="36"/>
        <v>0</v>
      </c>
      <c r="DK24" s="87">
        <f t="shared" si="37"/>
        <v>0</v>
      </c>
      <c r="DN24" s="87">
        <f t="shared" si="38"/>
        <v>0</v>
      </c>
      <c r="DQ24" s="87">
        <f t="shared" si="39"/>
        <v>0</v>
      </c>
      <c r="DT24" s="87">
        <f t="shared" si="40"/>
        <v>0</v>
      </c>
      <c r="DW24" s="87">
        <f t="shared" si="41"/>
        <v>0</v>
      </c>
      <c r="DZ24" s="87"/>
      <c r="EA24" s="87"/>
      <c r="EB24" s="122">
        <f t="shared" si="42"/>
        <v>111150000</v>
      </c>
      <c r="EC24" s="122">
        <f t="shared" si="43"/>
        <v>0</v>
      </c>
      <c r="ED24" s="87">
        <f t="shared" si="44"/>
        <v>8173.4444444444434</v>
      </c>
      <c r="EE24" s="88">
        <f t="shared" si="45"/>
        <v>2.6472694556905083E-2</v>
      </c>
      <c r="EG24" s="122">
        <f t="shared" si="46"/>
        <v>0</v>
      </c>
      <c r="EH24" s="87">
        <f t="shared" si="47"/>
        <v>0</v>
      </c>
      <c r="EI24" s="88">
        <f t="shared" si="48"/>
        <v>0</v>
      </c>
      <c r="EJ24" s="88"/>
      <c r="EK24" s="122">
        <f t="shared" si="49"/>
        <v>111150000</v>
      </c>
      <c r="EL24" s="122">
        <f t="shared" si="50"/>
        <v>0</v>
      </c>
      <c r="EM24" s="122">
        <f t="shared" si="51"/>
        <v>8173.4444444444434</v>
      </c>
      <c r="EN24" s="88">
        <f t="shared" si="52"/>
        <v>2.6472694556905083E-2</v>
      </c>
      <c r="EP24" s="87"/>
    </row>
    <row r="25" spans="1:146" x14ac:dyDescent="0.25">
      <c r="A25" s="35">
        <f t="shared" si="53"/>
        <v>43631</v>
      </c>
      <c r="D25" s="87">
        <f t="shared" si="2"/>
        <v>0</v>
      </c>
      <c r="G25" s="87">
        <f t="shared" si="3"/>
        <v>0</v>
      </c>
      <c r="J25" s="87">
        <f t="shared" si="4"/>
        <v>0</v>
      </c>
      <c r="M25" s="87">
        <f t="shared" si="5"/>
        <v>0</v>
      </c>
      <c r="P25" s="87">
        <f t="shared" si="6"/>
        <v>0</v>
      </c>
      <c r="S25" s="87">
        <f t="shared" si="7"/>
        <v>0</v>
      </c>
      <c r="V25" s="87">
        <f t="shared" si="8"/>
        <v>0</v>
      </c>
      <c r="Y25" s="87">
        <f t="shared" si="9"/>
        <v>0</v>
      </c>
      <c r="AB25" s="87">
        <f t="shared" si="10"/>
        <v>0</v>
      </c>
      <c r="AE25" s="87">
        <v>0</v>
      </c>
      <c r="AH25" s="87">
        <v>0</v>
      </c>
      <c r="AI25" s="120">
        <f>46150000</f>
        <v>46150000</v>
      </c>
      <c r="AJ25" s="121">
        <v>2.5600000000000001E-2</v>
      </c>
      <c r="AK25" s="87">
        <f t="shared" si="11"/>
        <v>3281.7777777777778</v>
      </c>
      <c r="AL25" s="120">
        <f t="shared" si="55"/>
        <v>35000000</v>
      </c>
      <c r="AM25" s="121">
        <v>2.7E-2</v>
      </c>
      <c r="AN25" s="87">
        <f t="shared" si="12"/>
        <v>2625</v>
      </c>
      <c r="AO25" s="120"/>
      <c r="AP25" s="121"/>
      <c r="AQ25" s="87">
        <f t="shared" si="13"/>
        <v>0</v>
      </c>
      <c r="AR25" s="120">
        <f t="shared" si="54"/>
        <v>30000000</v>
      </c>
      <c r="AS25" s="121">
        <v>2.7199999999999998E-2</v>
      </c>
      <c r="AT25" s="87">
        <f t="shared" si="14"/>
        <v>2266.6666666666665</v>
      </c>
      <c r="AW25" s="87">
        <f t="shared" si="15"/>
        <v>0</v>
      </c>
      <c r="AZ25" s="87">
        <f t="shared" si="16"/>
        <v>0</v>
      </c>
      <c r="BC25" s="87">
        <f t="shared" si="17"/>
        <v>0</v>
      </c>
      <c r="BF25" s="87">
        <f t="shared" si="18"/>
        <v>0</v>
      </c>
      <c r="BI25" s="87">
        <f t="shared" si="19"/>
        <v>0</v>
      </c>
      <c r="BL25" s="87">
        <f t="shared" si="20"/>
        <v>0</v>
      </c>
      <c r="BO25" s="87">
        <f t="shared" si="21"/>
        <v>0</v>
      </c>
      <c r="BR25" s="87">
        <f t="shared" si="22"/>
        <v>0</v>
      </c>
      <c r="BU25" s="87">
        <f t="shared" si="23"/>
        <v>0</v>
      </c>
      <c r="BX25" s="87">
        <f t="shared" si="24"/>
        <v>0</v>
      </c>
      <c r="CA25" s="87">
        <f t="shared" si="25"/>
        <v>0</v>
      </c>
      <c r="CD25" s="87">
        <f t="shared" si="26"/>
        <v>0</v>
      </c>
      <c r="CG25" s="87">
        <f t="shared" si="27"/>
        <v>0</v>
      </c>
      <c r="CJ25" s="87">
        <f t="shared" si="28"/>
        <v>0</v>
      </c>
      <c r="CM25" s="87">
        <f t="shared" si="29"/>
        <v>0</v>
      </c>
      <c r="CP25" s="87">
        <f t="shared" si="30"/>
        <v>0</v>
      </c>
      <c r="CS25" s="87">
        <f t="shared" si="31"/>
        <v>0</v>
      </c>
      <c r="CV25" s="87">
        <f t="shared" si="32"/>
        <v>0</v>
      </c>
      <c r="CY25" s="87">
        <f t="shared" si="33"/>
        <v>0</v>
      </c>
      <c r="DB25" s="87">
        <f t="shared" si="34"/>
        <v>0</v>
      </c>
      <c r="DE25" s="87">
        <f t="shared" si="35"/>
        <v>0</v>
      </c>
      <c r="DH25" s="87">
        <f t="shared" si="36"/>
        <v>0</v>
      </c>
      <c r="DK25" s="87">
        <f t="shared" si="37"/>
        <v>0</v>
      </c>
      <c r="DN25" s="87">
        <f t="shared" si="38"/>
        <v>0</v>
      </c>
      <c r="DQ25" s="87">
        <f t="shared" si="39"/>
        <v>0</v>
      </c>
      <c r="DT25" s="87">
        <f t="shared" si="40"/>
        <v>0</v>
      </c>
      <c r="DW25" s="87">
        <f t="shared" si="41"/>
        <v>0</v>
      </c>
      <c r="DZ25" s="87"/>
      <c r="EA25" s="87"/>
      <c r="EB25" s="122">
        <f t="shared" si="42"/>
        <v>111150000</v>
      </c>
      <c r="EC25" s="122">
        <f t="shared" si="43"/>
        <v>0</v>
      </c>
      <c r="ED25" s="87">
        <f t="shared" si="44"/>
        <v>8173.4444444444434</v>
      </c>
      <c r="EE25" s="88">
        <f t="shared" si="45"/>
        <v>2.6472694556905083E-2</v>
      </c>
      <c r="EG25" s="122">
        <f t="shared" si="46"/>
        <v>0</v>
      </c>
      <c r="EH25" s="87">
        <f t="shared" si="47"/>
        <v>0</v>
      </c>
      <c r="EI25" s="88">
        <f t="shared" si="48"/>
        <v>0</v>
      </c>
      <c r="EJ25" s="88"/>
      <c r="EK25" s="122">
        <f t="shared" si="49"/>
        <v>111150000</v>
      </c>
      <c r="EL25" s="122">
        <f t="shared" si="50"/>
        <v>0</v>
      </c>
      <c r="EM25" s="122">
        <f t="shared" si="51"/>
        <v>8173.4444444444434</v>
      </c>
      <c r="EN25" s="88">
        <f t="shared" si="52"/>
        <v>2.6472694556905083E-2</v>
      </c>
      <c r="EP25" s="87"/>
    </row>
    <row r="26" spans="1:146" x14ac:dyDescent="0.25">
      <c r="A26" s="35">
        <f t="shared" si="53"/>
        <v>43632</v>
      </c>
      <c r="D26" s="87">
        <f t="shared" si="2"/>
        <v>0</v>
      </c>
      <c r="G26" s="87">
        <f t="shared" si="3"/>
        <v>0</v>
      </c>
      <c r="J26" s="87">
        <f t="shared" si="4"/>
        <v>0</v>
      </c>
      <c r="M26" s="87">
        <f t="shared" si="5"/>
        <v>0</v>
      </c>
      <c r="P26" s="87">
        <f t="shared" si="6"/>
        <v>0</v>
      </c>
      <c r="S26" s="87">
        <f t="shared" si="7"/>
        <v>0</v>
      </c>
      <c r="V26" s="87">
        <f t="shared" si="8"/>
        <v>0</v>
      </c>
      <c r="Y26" s="87">
        <f t="shared" si="9"/>
        <v>0</v>
      </c>
      <c r="AB26" s="87">
        <f t="shared" si="10"/>
        <v>0</v>
      </c>
      <c r="AE26" s="87">
        <v>0</v>
      </c>
      <c r="AH26" s="87">
        <v>0</v>
      </c>
      <c r="AI26" s="120">
        <f>46150000</f>
        <v>46150000</v>
      </c>
      <c r="AJ26" s="121">
        <v>2.5600000000000001E-2</v>
      </c>
      <c r="AK26" s="87">
        <f t="shared" si="11"/>
        <v>3281.7777777777778</v>
      </c>
      <c r="AL26" s="120">
        <f t="shared" si="55"/>
        <v>35000000</v>
      </c>
      <c r="AM26" s="121">
        <v>2.7E-2</v>
      </c>
      <c r="AN26" s="87">
        <f t="shared" si="12"/>
        <v>2625</v>
      </c>
      <c r="AO26" s="120"/>
      <c r="AP26" s="121"/>
      <c r="AQ26" s="87">
        <f t="shared" si="13"/>
        <v>0</v>
      </c>
      <c r="AR26" s="120">
        <f t="shared" si="54"/>
        <v>30000000</v>
      </c>
      <c r="AS26" s="121">
        <v>2.7199999999999998E-2</v>
      </c>
      <c r="AT26" s="87">
        <f t="shared" si="14"/>
        <v>2266.6666666666665</v>
      </c>
      <c r="AW26" s="87">
        <f t="shared" si="15"/>
        <v>0</v>
      </c>
      <c r="AZ26" s="87">
        <f t="shared" si="16"/>
        <v>0</v>
      </c>
      <c r="BC26" s="87">
        <f t="shared" si="17"/>
        <v>0</v>
      </c>
      <c r="BF26" s="87">
        <f t="shared" si="18"/>
        <v>0</v>
      </c>
      <c r="BI26" s="87">
        <f t="shared" si="19"/>
        <v>0</v>
      </c>
      <c r="BL26" s="87">
        <f t="shared" si="20"/>
        <v>0</v>
      </c>
      <c r="BO26" s="87">
        <f t="shared" si="21"/>
        <v>0</v>
      </c>
      <c r="BR26" s="87">
        <f t="shared" si="22"/>
        <v>0</v>
      </c>
      <c r="BU26" s="87">
        <f t="shared" si="23"/>
        <v>0</v>
      </c>
      <c r="BX26" s="87">
        <f t="shared" si="24"/>
        <v>0</v>
      </c>
      <c r="CA26" s="87">
        <f t="shared" si="25"/>
        <v>0</v>
      </c>
      <c r="CD26" s="87">
        <f t="shared" si="26"/>
        <v>0</v>
      </c>
      <c r="CG26" s="87">
        <f t="shared" si="27"/>
        <v>0</v>
      </c>
      <c r="CJ26" s="87">
        <f t="shared" si="28"/>
        <v>0</v>
      </c>
      <c r="CM26" s="87">
        <f t="shared" si="29"/>
        <v>0</v>
      </c>
      <c r="CP26" s="87">
        <f t="shared" si="30"/>
        <v>0</v>
      </c>
      <c r="CS26" s="87">
        <f t="shared" si="31"/>
        <v>0</v>
      </c>
      <c r="CV26" s="87">
        <f t="shared" si="32"/>
        <v>0</v>
      </c>
      <c r="CY26" s="87">
        <f t="shared" si="33"/>
        <v>0</v>
      </c>
      <c r="DB26" s="87">
        <f t="shared" si="34"/>
        <v>0</v>
      </c>
      <c r="DE26" s="87">
        <f t="shared" si="35"/>
        <v>0</v>
      </c>
      <c r="DH26" s="87">
        <f t="shared" si="36"/>
        <v>0</v>
      </c>
      <c r="DK26" s="87">
        <f t="shared" si="37"/>
        <v>0</v>
      </c>
      <c r="DN26" s="87">
        <f t="shared" si="38"/>
        <v>0</v>
      </c>
      <c r="DQ26" s="87">
        <f t="shared" si="39"/>
        <v>0</v>
      </c>
      <c r="DT26" s="87">
        <f t="shared" si="40"/>
        <v>0</v>
      </c>
      <c r="DW26" s="87">
        <f t="shared" si="41"/>
        <v>0</v>
      </c>
      <c r="DZ26" s="87"/>
      <c r="EA26" s="87"/>
      <c r="EB26" s="122">
        <f t="shared" si="42"/>
        <v>111150000</v>
      </c>
      <c r="EC26" s="122">
        <f t="shared" si="43"/>
        <v>0</v>
      </c>
      <c r="ED26" s="87">
        <f t="shared" si="44"/>
        <v>8173.4444444444434</v>
      </c>
      <c r="EE26" s="88">
        <f t="shared" si="45"/>
        <v>2.6472694556905083E-2</v>
      </c>
      <c r="EG26" s="122">
        <f t="shared" si="46"/>
        <v>0</v>
      </c>
      <c r="EH26" s="87">
        <f t="shared" si="47"/>
        <v>0</v>
      </c>
      <c r="EI26" s="88">
        <f t="shared" si="48"/>
        <v>0</v>
      </c>
      <c r="EJ26" s="88"/>
      <c r="EK26" s="122">
        <f t="shared" si="49"/>
        <v>111150000</v>
      </c>
      <c r="EL26" s="122">
        <f t="shared" si="50"/>
        <v>0</v>
      </c>
      <c r="EM26" s="122">
        <f t="shared" si="51"/>
        <v>8173.4444444444434</v>
      </c>
      <c r="EN26" s="88">
        <f t="shared" si="52"/>
        <v>2.6472694556905083E-2</v>
      </c>
      <c r="EP26" s="87"/>
    </row>
    <row r="27" spans="1:146" x14ac:dyDescent="0.25">
      <c r="A27" s="35">
        <f t="shared" si="53"/>
        <v>43633</v>
      </c>
      <c r="D27" s="87">
        <f t="shared" si="2"/>
        <v>0</v>
      </c>
      <c r="G27" s="87">
        <f t="shared" si="3"/>
        <v>0</v>
      </c>
      <c r="J27" s="87">
        <f t="shared" si="4"/>
        <v>0</v>
      </c>
      <c r="M27" s="87">
        <f t="shared" si="5"/>
        <v>0</v>
      </c>
      <c r="P27" s="87">
        <f t="shared" si="6"/>
        <v>0</v>
      </c>
      <c r="S27" s="87">
        <f t="shared" si="7"/>
        <v>0</v>
      </c>
      <c r="V27" s="87">
        <f t="shared" si="8"/>
        <v>0</v>
      </c>
      <c r="Y27" s="87">
        <f t="shared" si="9"/>
        <v>0</v>
      </c>
      <c r="AB27" s="87">
        <f t="shared" si="10"/>
        <v>0</v>
      </c>
      <c r="AE27" s="87">
        <v>0</v>
      </c>
      <c r="AH27" s="87">
        <v>0</v>
      </c>
      <c r="AI27" s="120">
        <f>65075000</f>
        <v>65075000</v>
      </c>
      <c r="AJ27" s="121">
        <v>2.5600000000000001E-2</v>
      </c>
      <c r="AK27" s="87">
        <f t="shared" si="11"/>
        <v>4627.5555555555557</v>
      </c>
      <c r="AL27" s="120">
        <f t="shared" si="55"/>
        <v>35000000</v>
      </c>
      <c r="AM27" s="121">
        <v>2.7E-2</v>
      </c>
      <c r="AN27" s="87">
        <f t="shared" si="12"/>
        <v>2625</v>
      </c>
      <c r="AO27" s="120"/>
      <c r="AP27" s="121"/>
      <c r="AQ27" s="87">
        <f t="shared" si="13"/>
        <v>0</v>
      </c>
      <c r="AR27" s="120">
        <f t="shared" si="54"/>
        <v>30000000</v>
      </c>
      <c r="AS27" s="121">
        <v>2.7199999999999998E-2</v>
      </c>
      <c r="AT27" s="87">
        <f t="shared" si="14"/>
        <v>2266.6666666666665</v>
      </c>
      <c r="AW27" s="87">
        <f t="shared" si="15"/>
        <v>0</v>
      </c>
      <c r="AZ27" s="87">
        <f t="shared" si="16"/>
        <v>0</v>
      </c>
      <c r="BC27" s="87">
        <f t="shared" si="17"/>
        <v>0</v>
      </c>
      <c r="BF27" s="87">
        <f t="shared" si="18"/>
        <v>0</v>
      </c>
      <c r="BI27" s="87">
        <f t="shared" si="19"/>
        <v>0</v>
      </c>
      <c r="BL27" s="87">
        <f t="shared" si="20"/>
        <v>0</v>
      </c>
      <c r="BO27" s="87">
        <f t="shared" si="21"/>
        <v>0</v>
      </c>
      <c r="BR27" s="87">
        <f t="shared" si="22"/>
        <v>0</v>
      </c>
      <c r="BU27" s="87">
        <f t="shared" si="23"/>
        <v>0</v>
      </c>
      <c r="BX27" s="87">
        <f t="shared" si="24"/>
        <v>0</v>
      </c>
      <c r="CA27" s="87">
        <f t="shared" si="25"/>
        <v>0</v>
      </c>
      <c r="CD27" s="87">
        <f t="shared" si="26"/>
        <v>0</v>
      </c>
      <c r="CG27" s="87">
        <f t="shared" si="27"/>
        <v>0</v>
      </c>
      <c r="CJ27" s="87">
        <f t="shared" si="28"/>
        <v>0</v>
      </c>
      <c r="CM27" s="87">
        <f t="shared" si="29"/>
        <v>0</v>
      </c>
      <c r="CP27" s="87">
        <f t="shared" si="30"/>
        <v>0</v>
      </c>
      <c r="CS27" s="87">
        <f t="shared" si="31"/>
        <v>0</v>
      </c>
      <c r="CV27" s="87">
        <f t="shared" si="32"/>
        <v>0</v>
      </c>
      <c r="CY27" s="87">
        <f t="shared" si="33"/>
        <v>0</v>
      </c>
      <c r="DB27" s="87">
        <f t="shared" si="34"/>
        <v>0</v>
      </c>
      <c r="DE27" s="87">
        <f t="shared" si="35"/>
        <v>0</v>
      </c>
      <c r="DH27" s="87">
        <f t="shared" si="36"/>
        <v>0</v>
      </c>
      <c r="DK27" s="87">
        <f t="shared" si="37"/>
        <v>0</v>
      </c>
      <c r="DN27" s="87">
        <f t="shared" si="38"/>
        <v>0</v>
      </c>
      <c r="DQ27" s="87">
        <f t="shared" si="39"/>
        <v>0</v>
      </c>
      <c r="DT27" s="87">
        <f t="shared" si="40"/>
        <v>0</v>
      </c>
      <c r="DW27" s="87">
        <f t="shared" si="41"/>
        <v>0</v>
      </c>
      <c r="DZ27" s="87"/>
      <c r="EA27" s="87"/>
      <c r="EB27" s="122">
        <f t="shared" si="42"/>
        <v>130075000</v>
      </c>
      <c r="EC27" s="122">
        <f t="shared" si="43"/>
        <v>0</v>
      </c>
      <c r="ED27" s="87">
        <f t="shared" si="44"/>
        <v>9519.2222222222226</v>
      </c>
      <c r="EE27" s="88">
        <f t="shared" si="45"/>
        <v>2.6345723620987894E-2</v>
      </c>
      <c r="EG27" s="122">
        <f t="shared" si="46"/>
        <v>0</v>
      </c>
      <c r="EH27" s="87">
        <f t="shared" si="47"/>
        <v>0</v>
      </c>
      <c r="EI27" s="88">
        <f t="shared" si="48"/>
        <v>0</v>
      </c>
      <c r="EJ27" s="88"/>
      <c r="EK27" s="122">
        <f t="shared" si="49"/>
        <v>130075000</v>
      </c>
      <c r="EL27" s="122">
        <f t="shared" si="50"/>
        <v>0</v>
      </c>
      <c r="EM27" s="122">
        <f t="shared" si="51"/>
        <v>9519.2222222222226</v>
      </c>
      <c r="EN27" s="88">
        <f t="shared" si="52"/>
        <v>2.6345723620987894E-2</v>
      </c>
      <c r="EP27" s="87"/>
    </row>
    <row r="28" spans="1:146" x14ac:dyDescent="0.25">
      <c r="A28" s="35">
        <f t="shared" si="53"/>
        <v>43634</v>
      </c>
      <c r="D28" s="87">
        <f t="shared" si="2"/>
        <v>0</v>
      </c>
      <c r="G28" s="87">
        <f t="shared" si="3"/>
        <v>0</v>
      </c>
      <c r="J28" s="87">
        <f t="shared" si="4"/>
        <v>0</v>
      </c>
      <c r="M28" s="87">
        <f t="shared" si="5"/>
        <v>0</v>
      </c>
      <c r="P28" s="87">
        <f t="shared" si="6"/>
        <v>0</v>
      </c>
      <c r="S28" s="87">
        <f t="shared" si="7"/>
        <v>0</v>
      </c>
      <c r="V28" s="87">
        <f t="shared" si="8"/>
        <v>0</v>
      </c>
      <c r="Y28" s="87">
        <f t="shared" si="9"/>
        <v>0</v>
      </c>
      <c r="AB28" s="87">
        <f t="shared" si="10"/>
        <v>0</v>
      </c>
      <c r="AE28" s="87">
        <v>0</v>
      </c>
      <c r="AH28" s="87">
        <v>0</v>
      </c>
      <c r="AI28" s="120">
        <f>60825000</f>
        <v>60825000</v>
      </c>
      <c r="AJ28" s="121">
        <v>2.5600000000000001E-2</v>
      </c>
      <c r="AK28" s="87">
        <f t="shared" si="11"/>
        <v>4325.333333333333</v>
      </c>
      <c r="AL28" s="120">
        <f t="shared" si="55"/>
        <v>35000000</v>
      </c>
      <c r="AM28" s="121">
        <v>2.7E-2</v>
      </c>
      <c r="AN28" s="87">
        <f t="shared" si="12"/>
        <v>2625</v>
      </c>
      <c r="AO28" s="120"/>
      <c r="AP28" s="121"/>
      <c r="AQ28" s="87">
        <f t="shared" si="13"/>
        <v>0</v>
      </c>
      <c r="AR28" s="120">
        <f t="shared" si="54"/>
        <v>30000000</v>
      </c>
      <c r="AS28" s="121">
        <v>2.7199999999999998E-2</v>
      </c>
      <c r="AT28" s="87">
        <f t="shared" si="14"/>
        <v>2266.6666666666665</v>
      </c>
      <c r="AW28" s="87">
        <f t="shared" si="15"/>
        <v>0</v>
      </c>
      <c r="AZ28" s="87">
        <f t="shared" si="16"/>
        <v>0</v>
      </c>
      <c r="BC28" s="87">
        <f t="shared" si="17"/>
        <v>0</v>
      </c>
      <c r="BF28" s="87">
        <f t="shared" si="18"/>
        <v>0</v>
      </c>
      <c r="BI28" s="87">
        <f t="shared" si="19"/>
        <v>0</v>
      </c>
      <c r="BL28" s="87">
        <f t="shared" si="20"/>
        <v>0</v>
      </c>
      <c r="BO28" s="87">
        <f t="shared" si="21"/>
        <v>0</v>
      </c>
      <c r="BR28" s="87">
        <f t="shared" si="22"/>
        <v>0</v>
      </c>
      <c r="BU28" s="87">
        <f t="shared" si="23"/>
        <v>0</v>
      </c>
      <c r="BX28" s="87">
        <f t="shared" si="24"/>
        <v>0</v>
      </c>
      <c r="CA28" s="87">
        <f t="shared" si="25"/>
        <v>0</v>
      </c>
      <c r="CD28" s="87">
        <f t="shared" si="26"/>
        <v>0</v>
      </c>
      <c r="CG28" s="87">
        <f t="shared" si="27"/>
        <v>0</v>
      </c>
      <c r="CJ28" s="87">
        <f t="shared" si="28"/>
        <v>0</v>
      </c>
      <c r="CM28" s="87">
        <f t="shared" si="29"/>
        <v>0</v>
      </c>
      <c r="CP28" s="87">
        <f t="shared" si="30"/>
        <v>0</v>
      </c>
      <c r="CS28" s="87">
        <f t="shared" si="31"/>
        <v>0</v>
      </c>
      <c r="CV28" s="87">
        <f t="shared" si="32"/>
        <v>0</v>
      </c>
      <c r="CY28" s="87">
        <f t="shared" si="33"/>
        <v>0</v>
      </c>
      <c r="DB28" s="87">
        <f t="shared" si="34"/>
        <v>0</v>
      </c>
      <c r="DE28" s="87">
        <f t="shared" si="35"/>
        <v>0</v>
      </c>
      <c r="DH28" s="87">
        <f t="shared" si="36"/>
        <v>0</v>
      </c>
      <c r="DK28" s="87">
        <f t="shared" si="37"/>
        <v>0</v>
      </c>
      <c r="DN28" s="87">
        <f t="shared" si="38"/>
        <v>0</v>
      </c>
      <c r="DQ28" s="87">
        <f t="shared" si="39"/>
        <v>0</v>
      </c>
      <c r="DT28" s="87">
        <f t="shared" si="40"/>
        <v>0</v>
      </c>
      <c r="DW28" s="87">
        <f t="shared" si="41"/>
        <v>0</v>
      </c>
      <c r="DZ28" s="87"/>
      <c r="EA28" s="87"/>
      <c r="EB28" s="122">
        <f t="shared" si="42"/>
        <v>125825000</v>
      </c>
      <c r="EC28" s="122">
        <f t="shared" si="43"/>
        <v>0</v>
      </c>
      <c r="ED28" s="87">
        <f t="shared" si="44"/>
        <v>9217</v>
      </c>
      <c r="EE28" s="88">
        <f t="shared" si="45"/>
        <v>2.6370911980925893E-2</v>
      </c>
      <c r="EG28" s="122">
        <f t="shared" si="46"/>
        <v>0</v>
      </c>
      <c r="EH28" s="87">
        <f t="shared" si="47"/>
        <v>0</v>
      </c>
      <c r="EI28" s="88">
        <f t="shared" si="48"/>
        <v>0</v>
      </c>
      <c r="EJ28" s="88"/>
      <c r="EK28" s="122">
        <f t="shared" si="49"/>
        <v>125825000</v>
      </c>
      <c r="EL28" s="122">
        <f t="shared" si="50"/>
        <v>0</v>
      </c>
      <c r="EM28" s="122">
        <f t="shared" si="51"/>
        <v>9217</v>
      </c>
      <c r="EN28" s="88">
        <f t="shared" si="52"/>
        <v>2.6370911980925893E-2</v>
      </c>
      <c r="EP28" s="87"/>
    </row>
    <row r="29" spans="1:146" x14ac:dyDescent="0.25">
      <c r="A29" s="35">
        <f t="shared" si="53"/>
        <v>43635</v>
      </c>
      <c r="D29" s="87">
        <f t="shared" si="2"/>
        <v>0</v>
      </c>
      <c r="G29" s="87">
        <f t="shared" si="3"/>
        <v>0</v>
      </c>
      <c r="J29" s="87">
        <f t="shared" si="4"/>
        <v>0</v>
      </c>
      <c r="M29" s="87">
        <f t="shared" si="5"/>
        <v>0</v>
      </c>
      <c r="P29" s="87">
        <f t="shared" si="6"/>
        <v>0</v>
      </c>
      <c r="S29" s="87">
        <f t="shared" si="7"/>
        <v>0</v>
      </c>
      <c r="V29" s="87">
        <f t="shared" si="8"/>
        <v>0</v>
      </c>
      <c r="Y29" s="87">
        <f t="shared" si="9"/>
        <v>0</v>
      </c>
      <c r="AB29" s="87">
        <f t="shared" si="10"/>
        <v>0</v>
      </c>
      <c r="AE29" s="87">
        <v>0</v>
      </c>
      <c r="AH29" s="87">
        <v>0</v>
      </c>
      <c r="AI29" s="120">
        <f>54475000</f>
        <v>54475000</v>
      </c>
      <c r="AJ29" s="121">
        <v>2.5600000000000001E-2</v>
      </c>
      <c r="AK29" s="87">
        <f t="shared" si="11"/>
        <v>3873.7777777777778</v>
      </c>
      <c r="AL29" s="120">
        <f t="shared" si="55"/>
        <v>35000000</v>
      </c>
      <c r="AM29" s="121">
        <v>2.7E-2</v>
      </c>
      <c r="AN29" s="87">
        <f t="shared" si="12"/>
        <v>2625</v>
      </c>
      <c r="AO29" s="120"/>
      <c r="AP29" s="121"/>
      <c r="AQ29" s="87">
        <f t="shared" si="13"/>
        <v>0</v>
      </c>
      <c r="AR29" s="120">
        <f t="shared" si="54"/>
        <v>30000000</v>
      </c>
      <c r="AS29" s="121">
        <v>2.7199999999999998E-2</v>
      </c>
      <c r="AT29" s="87">
        <f t="shared" si="14"/>
        <v>2266.6666666666665</v>
      </c>
      <c r="AW29" s="87">
        <f t="shared" si="15"/>
        <v>0</v>
      </c>
      <c r="AZ29" s="87">
        <f t="shared" si="16"/>
        <v>0</v>
      </c>
      <c r="BC29" s="87">
        <f t="shared" si="17"/>
        <v>0</v>
      </c>
      <c r="BF29" s="87">
        <f t="shared" si="18"/>
        <v>0</v>
      </c>
      <c r="BI29" s="87">
        <f t="shared" si="19"/>
        <v>0</v>
      </c>
      <c r="BL29" s="87">
        <f t="shared" si="20"/>
        <v>0</v>
      </c>
      <c r="BO29" s="87">
        <f t="shared" si="21"/>
        <v>0</v>
      </c>
      <c r="BR29" s="87">
        <f t="shared" si="22"/>
        <v>0</v>
      </c>
      <c r="BU29" s="87">
        <f t="shared" si="23"/>
        <v>0</v>
      </c>
      <c r="BX29" s="87">
        <f t="shared" si="24"/>
        <v>0</v>
      </c>
      <c r="CA29" s="87">
        <f t="shared" si="25"/>
        <v>0</v>
      </c>
      <c r="CD29" s="87">
        <f t="shared" si="26"/>
        <v>0</v>
      </c>
      <c r="CG29" s="87">
        <f t="shared" si="27"/>
        <v>0</v>
      </c>
      <c r="CJ29" s="87">
        <f t="shared" si="28"/>
        <v>0</v>
      </c>
      <c r="CM29" s="87">
        <f t="shared" si="29"/>
        <v>0</v>
      </c>
      <c r="CP29" s="87">
        <f t="shared" si="30"/>
        <v>0</v>
      </c>
      <c r="CS29" s="87">
        <f t="shared" si="31"/>
        <v>0</v>
      </c>
      <c r="CV29" s="87">
        <f t="shared" si="32"/>
        <v>0</v>
      </c>
      <c r="CY29" s="87">
        <f t="shared" si="33"/>
        <v>0</v>
      </c>
      <c r="DB29" s="87">
        <f t="shared" si="34"/>
        <v>0</v>
      </c>
      <c r="DE29" s="87">
        <f t="shared" si="35"/>
        <v>0</v>
      </c>
      <c r="DH29" s="87">
        <f t="shared" si="36"/>
        <v>0</v>
      </c>
      <c r="DK29" s="87">
        <f t="shared" si="37"/>
        <v>0</v>
      </c>
      <c r="DN29" s="87">
        <f t="shared" si="38"/>
        <v>0</v>
      </c>
      <c r="DQ29" s="87">
        <f t="shared" si="39"/>
        <v>0</v>
      </c>
      <c r="DT29" s="87">
        <f t="shared" si="40"/>
        <v>0</v>
      </c>
      <c r="DW29" s="87">
        <f t="shared" si="41"/>
        <v>0</v>
      </c>
      <c r="DZ29" s="87"/>
      <c r="EA29" s="87"/>
      <c r="EB29" s="122">
        <f t="shared" si="42"/>
        <v>119475000</v>
      </c>
      <c r="EC29" s="122">
        <f t="shared" si="43"/>
        <v>0</v>
      </c>
      <c r="ED29" s="87">
        <f t="shared" si="44"/>
        <v>8765.4444444444434</v>
      </c>
      <c r="EE29" s="88">
        <f t="shared" si="45"/>
        <v>2.6411885331659338E-2</v>
      </c>
      <c r="EG29" s="122">
        <f t="shared" si="46"/>
        <v>0</v>
      </c>
      <c r="EH29" s="87">
        <f t="shared" si="47"/>
        <v>0</v>
      </c>
      <c r="EI29" s="88">
        <f t="shared" si="48"/>
        <v>0</v>
      </c>
      <c r="EJ29" s="88"/>
      <c r="EK29" s="122">
        <f t="shared" si="49"/>
        <v>119475000</v>
      </c>
      <c r="EL29" s="122">
        <f t="shared" si="50"/>
        <v>0</v>
      </c>
      <c r="EM29" s="122">
        <f t="shared" si="51"/>
        <v>8765.4444444444434</v>
      </c>
      <c r="EN29" s="88">
        <f t="shared" si="52"/>
        <v>2.6411885331659338E-2</v>
      </c>
      <c r="EP29" s="87"/>
    </row>
    <row r="30" spans="1:146" x14ac:dyDescent="0.25">
      <c r="A30" s="35">
        <f t="shared" si="53"/>
        <v>43636</v>
      </c>
      <c r="D30" s="87">
        <f t="shared" si="2"/>
        <v>0</v>
      </c>
      <c r="G30" s="87">
        <f t="shared" si="3"/>
        <v>0</v>
      </c>
      <c r="J30" s="87">
        <f t="shared" si="4"/>
        <v>0</v>
      </c>
      <c r="M30" s="87">
        <f t="shared" si="5"/>
        <v>0</v>
      </c>
      <c r="P30" s="87">
        <f t="shared" si="6"/>
        <v>0</v>
      </c>
      <c r="S30" s="87">
        <f t="shared" si="7"/>
        <v>0</v>
      </c>
      <c r="V30" s="87">
        <f t="shared" si="8"/>
        <v>0</v>
      </c>
      <c r="Y30" s="87">
        <f t="shared" si="9"/>
        <v>0</v>
      </c>
      <c r="AB30" s="87">
        <f t="shared" si="10"/>
        <v>0</v>
      </c>
      <c r="AE30" s="87">
        <v>0</v>
      </c>
      <c r="AH30" s="87">
        <v>0</v>
      </c>
      <c r="AI30" s="120">
        <f>52025000</f>
        <v>52025000</v>
      </c>
      <c r="AJ30" s="121">
        <v>2.5499999999999998E-2</v>
      </c>
      <c r="AK30" s="87">
        <f t="shared" si="11"/>
        <v>3685.1041666666665</v>
      </c>
      <c r="AL30" s="120">
        <f t="shared" si="55"/>
        <v>35000000</v>
      </c>
      <c r="AM30" s="121">
        <v>2.7E-2</v>
      </c>
      <c r="AN30" s="87">
        <f t="shared" si="12"/>
        <v>2625</v>
      </c>
      <c r="AO30" s="120"/>
      <c r="AP30" s="121"/>
      <c r="AQ30" s="87">
        <f t="shared" si="13"/>
        <v>0</v>
      </c>
      <c r="AR30" s="120">
        <f t="shared" si="54"/>
        <v>30000000</v>
      </c>
      <c r="AS30" s="121">
        <v>2.7199999999999998E-2</v>
      </c>
      <c r="AT30" s="87">
        <f t="shared" si="14"/>
        <v>2266.6666666666665</v>
      </c>
      <c r="AW30" s="87">
        <f t="shared" si="15"/>
        <v>0</v>
      </c>
      <c r="AZ30" s="87">
        <f t="shared" si="16"/>
        <v>0</v>
      </c>
      <c r="BC30" s="87">
        <f t="shared" si="17"/>
        <v>0</v>
      </c>
      <c r="BF30" s="87">
        <f t="shared" si="18"/>
        <v>0</v>
      </c>
      <c r="BI30" s="87">
        <f t="shared" si="19"/>
        <v>0</v>
      </c>
      <c r="BL30" s="87">
        <f t="shared" si="20"/>
        <v>0</v>
      </c>
      <c r="BO30" s="87">
        <f t="shared" si="21"/>
        <v>0</v>
      </c>
      <c r="BR30" s="87">
        <f t="shared" si="22"/>
        <v>0</v>
      </c>
      <c r="BU30" s="87">
        <f t="shared" si="23"/>
        <v>0</v>
      </c>
      <c r="BX30" s="87">
        <f t="shared" si="24"/>
        <v>0</v>
      </c>
      <c r="CA30" s="87">
        <f t="shared" si="25"/>
        <v>0</v>
      </c>
      <c r="CD30" s="87">
        <f t="shared" si="26"/>
        <v>0</v>
      </c>
      <c r="CG30" s="87">
        <f t="shared" si="27"/>
        <v>0</v>
      </c>
      <c r="CJ30" s="87">
        <f t="shared" si="28"/>
        <v>0</v>
      </c>
      <c r="CM30" s="87">
        <f t="shared" si="29"/>
        <v>0</v>
      </c>
      <c r="CP30" s="87">
        <f t="shared" si="30"/>
        <v>0</v>
      </c>
      <c r="CS30" s="87">
        <f t="shared" si="31"/>
        <v>0</v>
      </c>
      <c r="CV30" s="87">
        <f t="shared" si="32"/>
        <v>0</v>
      </c>
      <c r="CY30" s="87">
        <f t="shared" si="33"/>
        <v>0</v>
      </c>
      <c r="DB30" s="87">
        <f t="shared" si="34"/>
        <v>0</v>
      </c>
      <c r="DE30" s="87">
        <f t="shared" si="35"/>
        <v>0</v>
      </c>
      <c r="DH30" s="87">
        <f t="shared" si="36"/>
        <v>0</v>
      </c>
      <c r="DK30" s="87">
        <f t="shared" si="37"/>
        <v>0</v>
      </c>
      <c r="DN30" s="87">
        <f t="shared" si="38"/>
        <v>0</v>
      </c>
      <c r="DQ30" s="87">
        <f t="shared" si="39"/>
        <v>0</v>
      </c>
      <c r="DT30" s="87">
        <f t="shared" si="40"/>
        <v>0</v>
      </c>
      <c r="DW30" s="87">
        <f t="shared" si="41"/>
        <v>0</v>
      </c>
      <c r="DZ30" s="87"/>
      <c r="EA30" s="87"/>
      <c r="EB30" s="122">
        <f t="shared" si="42"/>
        <v>117025000</v>
      </c>
      <c r="EC30" s="122">
        <f t="shared" si="43"/>
        <v>0</v>
      </c>
      <c r="ED30" s="87">
        <f t="shared" si="44"/>
        <v>8576.7708333333321</v>
      </c>
      <c r="EE30" s="88">
        <f t="shared" si="45"/>
        <v>2.6384426404614393E-2</v>
      </c>
      <c r="EG30" s="122">
        <f t="shared" si="46"/>
        <v>0</v>
      </c>
      <c r="EH30" s="87">
        <f t="shared" si="47"/>
        <v>0</v>
      </c>
      <c r="EI30" s="88">
        <f t="shared" si="48"/>
        <v>0</v>
      </c>
      <c r="EJ30" s="88"/>
      <c r="EK30" s="122">
        <f t="shared" si="49"/>
        <v>117025000</v>
      </c>
      <c r="EL30" s="122">
        <f t="shared" si="50"/>
        <v>0</v>
      </c>
      <c r="EM30" s="122">
        <f t="shared" si="51"/>
        <v>8576.7708333333321</v>
      </c>
      <c r="EN30" s="88">
        <f t="shared" si="52"/>
        <v>2.6384426404614393E-2</v>
      </c>
      <c r="EP30" s="87"/>
    </row>
    <row r="31" spans="1:146" x14ac:dyDescent="0.25">
      <c r="A31" s="35">
        <f t="shared" si="53"/>
        <v>43637</v>
      </c>
      <c r="D31" s="87">
        <f t="shared" si="2"/>
        <v>0</v>
      </c>
      <c r="G31" s="87">
        <f t="shared" si="3"/>
        <v>0</v>
      </c>
      <c r="J31" s="87">
        <f t="shared" si="4"/>
        <v>0</v>
      </c>
      <c r="M31" s="87">
        <f t="shared" si="5"/>
        <v>0</v>
      </c>
      <c r="P31" s="87">
        <f t="shared" si="6"/>
        <v>0</v>
      </c>
      <c r="S31" s="87">
        <f t="shared" si="7"/>
        <v>0</v>
      </c>
      <c r="V31" s="87">
        <f t="shared" si="8"/>
        <v>0</v>
      </c>
      <c r="Y31" s="87">
        <f t="shared" si="9"/>
        <v>0</v>
      </c>
      <c r="AB31" s="87">
        <f t="shared" si="10"/>
        <v>0</v>
      </c>
      <c r="AE31" s="87">
        <v>0</v>
      </c>
      <c r="AH31" s="87">
        <v>0</v>
      </c>
      <c r="AI31" s="120">
        <f>50975000</f>
        <v>50975000</v>
      </c>
      <c r="AJ31" s="121">
        <v>2.5499999999999998E-2</v>
      </c>
      <c r="AK31" s="87">
        <f t="shared" si="11"/>
        <v>3610.7291666666665</v>
      </c>
      <c r="AL31" s="120">
        <f t="shared" si="55"/>
        <v>35000000</v>
      </c>
      <c r="AM31" s="121">
        <v>2.7E-2</v>
      </c>
      <c r="AN31" s="87">
        <f t="shared" si="12"/>
        <v>2625</v>
      </c>
      <c r="AO31" s="120"/>
      <c r="AP31" s="121"/>
      <c r="AQ31" s="87">
        <f t="shared" si="13"/>
        <v>0</v>
      </c>
      <c r="AR31" s="120">
        <f t="shared" si="54"/>
        <v>30000000</v>
      </c>
      <c r="AS31" s="121">
        <v>2.7199999999999998E-2</v>
      </c>
      <c r="AT31" s="87">
        <f t="shared" si="14"/>
        <v>2266.6666666666665</v>
      </c>
      <c r="AW31" s="87">
        <f t="shared" si="15"/>
        <v>0</v>
      </c>
      <c r="AZ31" s="87">
        <f t="shared" si="16"/>
        <v>0</v>
      </c>
      <c r="BC31" s="87">
        <f t="shared" si="17"/>
        <v>0</v>
      </c>
      <c r="BF31" s="87">
        <f t="shared" si="18"/>
        <v>0</v>
      </c>
      <c r="BI31" s="87">
        <f t="shared" si="19"/>
        <v>0</v>
      </c>
      <c r="BL31" s="87">
        <f t="shared" si="20"/>
        <v>0</v>
      </c>
      <c r="BO31" s="87">
        <f t="shared" si="21"/>
        <v>0</v>
      </c>
      <c r="BR31" s="87">
        <f t="shared" si="22"/>
        <v>0</v>
      </c>
      <c r="BU31" s="87">
        <f t="shared" si="23"/>
        <v>0</v>
      </c>
      <c r="BX31" s="87">
        <f t="shared" si="24"/>
        <v>0</v>
      </c>
      <c r="CA31" s="87">
        <f t="shared" si="25"/>
        <v>0</v>
      </c>
      <c r="CD31" s="87">
        <f t="shared" si="26"/>
        <v>0</v>
      </c>
      <c r="CG31" s="87">
        <f t="shared" si="27"/>
        <v>0</v>
      </c>
      <c r="CJ31" s="87">
        <f t="shared" si="28"/>
        <v>0</v>
      </c>
      <c r="CM31" s="87">
        <f t="shared" si="29"/>
        <v>0</v>
      </c>
      <c r="CP31" s="87">
        <f t="shared" si="30"/>
        <v>0</v>
      </c>
      <c r="CS31" s="87">
        <f t="shared" si="31"/>
        <v>0</v>
      </c>
      <c r="CV31" s="87">
        <f t="shared" si="32"/>
        <v>0</v>
      </c>
      <c r="CY31" s="87">
        <f t="shared" si="33"/>
        <v>0</v>
      </c>
      <c r="DB31" s="87">
        <f t="shared" si="34"/>
        <v>0</v>
      </c>
      <c r="DE31" s="87">
        <f t="shared" si="35"/>
        <v>0</v>
      </c>
      <c r="DH31" s="87">
        <f t="shared" si="36"/>
        <v>0</v>
      </c>
      <c r="DK31" s="87">
        <f t="shared" si="37"/>
        <v>0</v>
      </c>
      <c r="DN31" s="87">
        <f t="shared" si="38"/>
        <v>0</v>
      </c>
      <c r="DQ31" s="87">
        <f t="shared" si="39"/>
        <v>0</v>
      </c>
      <c r="DT31" s="87">
        <f t="shared" si="40"/>
        <v>0</v>
      </c>
      <c r="DW31" s="87">
        <f t="shared" si="41"/>
        <v>0</v>
      </c>
      <c r="DZ31" s="87"/>
      <c r="EA31" s="87"/>
      <c r="EB31" s="122">
        <f t="shared" si="42"/>
        <v>115975000</v>
      </c>
      <c r="EC31" s="122">
        <f t="shared" si="43"/>
        <v>0</v>
      </c>
      <c r="ED31" s="87">
        <f t="shared" si="44"/>
        <v>8502.3958333333321</v>
      </c>
      <c r="EE31" s="88">
        <f t="shared" si="45"/>
        <v>2.6392433714162531E-2</v>
      </c>
      <c r="EG31" s="122">
        <f t="shared" si="46"/>
        <v>0</v>
      </c>
      <c r="EH31" s="87">
        <f t="shared" si="47"/>
        <v>0</v>
      </c>
      <c r="EI31" s="88">
        <f t="shared" si="48"/>
        <v>0</v>
      </c>
      <c r="EJ31" s="88"/>
      <c r="EK31" s="122">
        <f t="shared" si="49"/>
        <v>115975000</v>
      </c>
      <c r="EL31" s="122">
        <f t="shared" si="50"/>
        <v>0</v>
      </c>
      <c r="EM31" s="122">
        <f t="shared" si="51"/>
        <v>8502.3958333333321</v>
      </c>
      <c r="EN31" s="88">
        <f t="shared" si="52"/>
        <v>2.6392433714162531E-2</v>
      </c>
      <c r="EP31" s="87"/>
    </row>
    <row r="32" spans="1:146" x14ac:dyDescent="0.25">
      <c r="A32" s="35">
        <f t="shared" si="53"/>
        <v>43638</v>
      </c>
      <c r="D32" s="87">
        <f t="shared" si="2"/>
        <v>0</v>
      </c>
      <c r="G32" s="87">
        <f t="shared" si="3"/>
        <v>0</v>
      </c>
      <c r="J32" s="87">
        <f t="shared" si="4"/>
        <v>0</v>
      </c>
      <c r="M32" s="87">
        <f t="shared" si="5"/>
        <v>0</v>
      </c>
      <c r="P32" s="87">
        <f t="shared" si="6"/>
        <v>0</v>
      </c>
      <c r="S32" s="87">
        <f t="shared" si="7"/>
        <v>0</v>
      </c>
      <c r="V32" s="87">
        <f t="shared" si="8"/>
        <v>0</v>
      </c>
      <c r="Y32" s="87">
        <f t="shared" si="9"/>
        <v>0</v>
      </c>
      <c r="AB32" s="87">
        <f t="shared" si="10"/>
        <v>0</v>
      </c>
      <c r="AE32" s="87">
        <v>0</v>
      </c>
      <c r="AH32" s="87">
        <v>0</v>
      </c>
      <c r="AI32" s="120">
        <f>50975000</f>
        <v>50975000</v>
      </c>
      <c r="AJ32" s="121">
        <v>2.5499999999999998E-2</v>
      </c>
      <c r="AK32" s="87">
        <f t="shared" si="11"/>
        <v>3610.7291666666665</v>
      </c>
      <c r="AL32" s="120">
        <f t="shared" si="55"/>
        <v>35000000</v>
      </c>
      <c r="AM32" s="121">
        <v>2.7E-2</v>
      </c>
      <c r="AN32" s="87">
        <f t="shared" si="12"/>
        <v>2625</v>
      </c>
      <c r="AO32" s="120"/>
      <c r="AP32" s="121"/>
      <c r="AQ32" s="87">
        <f t="shared" si="13"/>
        <v>0</v>
      </c>
      <c r="AR32" s="120">
        <f t="shared" si="54"/>
        <v>30000000</v>
      </c>
      <c r="AS32" s="121">
        <v>2.7199999999999998E-2</v>
      </c>
      <c r="AT32" s="87">
        <f t="shared" si="14"/>
        <v>2266.6666666666665</v>
      </c>
      <c r="AW32" s="87">
        <f t="shared" si="15"/>
        <v>0</v>
      </c>
      <c r="AZ32" s="87">
        <f t="shared" si="16"/>
        <v>0</v>
      </c>
      <c r="BC32" s="87">
        <f t="shared" si="17"/>
        <v>0</v>
      </c>
      <c r="BF32" s="87">
        <f t="shared" si="18"/>
        <v>0</v>
      </c>
      <c r="BI32" s="87">
        <f t="shared" si="19"/>
        <v>0</v>
      </c>
      <c r="BL32" s="87">
        <f t="shared" si="20"/>
        <v>0</v>
      </c>
      <c r="BO32" s="87">
        <f t="shared" si="21"/>
        <v>0</v>
      </c>
      <c r="BR32" s="87">
        <f t="shared" si="22"/>
        <v>0</v>
      </c>
      <c r="BU32" s="87">
        <f t="shared" si="23"/>
        <v>0</v>
      </c>
      <c r="BX32" s="87">
        <f t="shared" si="24"/>
        <v>0</v>
      </c>
      <c r="CA32" s="87">
        <f t="shared" si="25"/>
        <v>0</v>
      </c>
      <c r="CD32" s="87">
        <f t="shared" si="26"/>
        <v>0</v>
      </c>
      <c r="CG32" s="87">
        <f t="shared" si="27"/>
        <v>0</v>
      </c>
      <c r="CJ32" s="87">
        <f t="shared" si="28"/>
        <v>0</v>
      </c>
      <c r="CM32" s="87">
        <f t="shared" si="29"/>
        <v>0</v>
      </c>
      <c r="CP32" s="87">
        <f t="shared" si="30"/>
        <v>0</v>
      </c>
      <c r="CS32" s="87">
        <f t="shared" si="31"/>
        <v>0</v>
      </c>
      <c r="CV32" s="87">
        <f t="shared" si="32"/>
        <v>0</v>
      </c>
      <c r="CY32" s="87">
        <f t="shared" si="33"/>
        <v>0</v>
      </c>
      <c r="DB32" s="87">
        <f t="shared" si="34"/>
        <v>0</v>
      </c>
      <c r="DE32" s="87">
        <f t="shared" si="35"/>
        <v>0</v>
      </c>
      <c r="DH32" s="87">
        <f t="shared" si="36"/>
        <v>0</v>
      </c>
      <c r="DK32" s="87">
        <f t="shared" si="37"/>
        <v>0</v>
      </c>
      <c r="DN32" s="87">
        <f t="shared" si="38"/>
        <v>0</v>
      </c>
      <c r="DQ32" s="87">
        <f t="shared" si="39"/>
        <v>0</v>
      </c>
      <c r="DT32" s="87">
        <f t="shared" si="40"/>
        <v>0</v>
      </c>
      <c r="DW32" s="87">
        <f t="shared" si="41"/>
        <v>0</v>
      </c>
      <c r="DZ32" s="87"/>
      <c r="EA32" s="87"/>
      <c r="EB32" s="122">
        <f t="shared" si="42"/>
        <v>115975000</v>
      </c>
      <c r="EC32" s="122">
        <f t="shared" si="43"/>
        <v>0</v>
      </c>
      <c r="ED32" s="87">
        <f t="shared" si="44"/>
        <v>8502.3958333333321</v>
      </c>
      <c r="EE32" s="88">
        <f t="shared" si="45"/>
        <v>2.6392433714162531E-2</v>
      </c>
      <c r="EG32" s="122">
        <f t="shared" si="46"/>
        <v>0</v>
      </c>
      <c r="EH32" s="87">
        <f t="shared" si="47"/>
        <v>0</v>
      </c>
      <c r="EI32" s="88">
        <f t="shared" si="48"/>
        <v>0</v>
      </c>
      <c r="EJ32" s="88"/>
      <c r="EK32" s="122">
        <f t="shared" si="49"/>
        <v>115975000</v>
      </c>
      <c r="EL32" s="122">
        <f t="shared" si="50"/>
        <v>0</v>
      </c>
      <c r="EM32" s="122">
        <f t="shared" si="51"/>
        <v>8502.3958333333321</v>
      </c>
      <c r="EN32" s="88">
        <f t="shared" si="52"/>
        <v>2.6392433714162531E-2</v>
      </c>
      <c r="EP32" s="87"/>
    </row>
    <row r="33" spans="1:146" x14ac:dyDescent="0.25">
      <c r="A33" s="35">
        <f t="shared" si="53"/>
        <v>43639</v>
      </c>
      <c r="D33" s="87">
        <f t="shared" si="2"/>
        <v>0</v>
      </c>
      <c r="G33" s="87">
        <f t="shared" si="3"/>
        <v>0</v>
      </c>
      <c r="J33" s="87">
        <f t="shared" si="4"/>
        <v>0</v>
      </c>
      <c r="M33" s="87">
        <f t="shared" si="5"/>
        <v>0</v>
      </c>
      <c r="P33" s="87">
        <f t="shared" si="6"/>
        <v>0</v>
      </c>
      <c r="S33" s="87">
        <f t="shared" si="7"/>
        <v>0</v>
      </c>
      <c r="V33" s="87">
        <f t="shared" si="8"/>
        <v>0</v>
      </c>
      <c r="Y33" s="87">
        <f t="shared" si="9"/>
        <v>0</v>
      </c>
      <c r="AB33" s="87">
        <f t="shared" si="10"/>
        <v>0</v>
      </c>
      <c r="AE33" s="87">
        <v>0</v>
      </c>
      <c r="AH33" s="87">
        <v>0</v>
      </c>
      <c r="AI33" s="120">
        <f>50975000</f>
        <v>50975000</v>
      </c>
      <c r="AJ33" s="121">
        <v>2.5499999999999998E-2</v>
      </c>
      <c r="AK33" s="87">
        <f t="shared" si="11"/>
        <v>3610.7291666666665</v>
      </c>
      <c r="AL33" s="120">
        <f t="shared" si="55"/>
        <v>35000000</v>
      </c>
      <c r="AM33" s="121">
        <v>2.7E-2</v>
      </c>
      <c r="AN33" s="87">
        <f t="shared" si="12"/>
        <v>2625</v>
      </c>
      <c r="AO33" s="120"/>
      <c r="AP33" s="121"/>
      <c r="AQ33" s="87">
        <f t="shared" si="13"/>
        <v>0</v>
      </c>
      <c r="AR33" s="120">
        <f t="shared" si="54"/>
        <v>30000000</v>
      </c>
      <c r="AS33" s="121">
        <v>2.7199999999999998E-2</v>
      </c>
      <c r="AT33" s="87">
        <f t="shared" si="14"/>
        <v>2266.6666666666665</v>
      </c>
      <c r="AW33" s="87">
        <f t="shared" si="15"/>
        <v>0</v>
      </c>
      <c r="AZ33" s="87">
        <f t="shared" si="16"/>
        <v>0</v>
      </c>
      <c r="BC33" s="87">
        <f t="shared" si="17"/>
        <v>0</v>
      </c>
      <c r="BF33" s="87">
        <f t="shared" si="18"/>
        <v>0</v>
      </c>
      <c r="BI33" s="87">
        <f t="shared" si="19"/>
        <v>0</v>
      </c>
      <c r="BL33" s="87">
        <f t="shared" si="20"/>
        <v>0</v>
      </c>
      <c r="BO33" s="87">
        <f t="shared" si="21"/>
        <v>0</v>
      </c>
      <c r="BR33" s="87">
        <f t="shared" si="22"/>
        <v>0</v>
      </c>
      <c r="BU33" s="87">
        <f t="shared" si="23"/>
        <v>0</v>
      </c>
      <c r="BX33" s="87">
        <f t="shared" si="24"/>
        <v>0</v>
      </c>
      <c r="CA33" s="87">
        <f t="shared" si="25"/>
        <v>0</v>
      </c>
      <c r="CD33" s="87">
        <f t="shared" si="26"/>
        <v>0</v>
      </c>
      <c r="CG33" s="87">
        <f t="shared" si="27"/>
        <v>0</v>
      </c>
      <c r="CJ33" s="87">
        <f t="shared" si="28"/>
        <v>0</v>
      </c>
      <c r="CM33" s="87">
        <f t="shared" si="29"/>
        <v>0</v>
      </c>
      <c r="CP33" s="87">
        <f t="shared" si="30"/>
        <v>0</v>
      </c>
      <c r="CS33" s="87">
        <f t="shared" si="31"/>
        <v>0</v>
      </c>
      <c r="CV33" s="87">
        <f t="shared" si="32"/>
        <v>0</v>
      </c>
      <c r="CY33" s="87">
        <f t="shared" si="33"/>
        <v>0</v>
      </c>
      <c r="DB33" s="87">
        <f t="shared" si="34"/>
        <v>0</v>
      </c>
      <c r="DE33" s="87">
        <f t="shared" si="35"/>
        <v>0</v>
      </c>
      <c r="DH33" s="87">
        <f t="shared" si="36"/>
        <v>0</v>
      </c>
      <c r="DK33" s="87">
        <f t="shared" si="37"/>
        <v>0</v>
      </c>
      <c r="DN33" s="87">
        <f t="shared" si="38"/>
        <v>0</v>
      </c>
      <c r="DQ33" s="87">
        <f t="shared" si="39"/>
        <v>0</v>
      </c>
      <c r="DT33" s="87">
        <f t="shared" si="40"/>
        <v>0</v>
      </c>
      <c r="DW33" s="87">
        <f t="shared" si="41"/>
        <v>0</v>
      </c>
      <c r="DZ33" s="87"/>
      <c r="EA33" s="87"/>
      <c r="EB33" s="122">
        <f t="shared" si="42"/>
        <v>115975000</v>
      </c>
      <c r="EC33" s="122">
        <f t="shared" si="43"/>
        <v>0</v>
      </c>
      <c r="ED33" s="87">
        <f t="shared" si="44"/>
        <v>8502.3958333333321</v>
      </c>
      <c r="EE33" s="88">
        <f t="shared" si="45"/>
        <v>2.6392433714162531E-2</v>
      </c>
      <c r="EG33" s="122">
        <f t="shared" si="46"/>
        <v>0</v>
      </c>
      <c r="EH33" s="87">
        <f t="shared" si="47"/>
        <v>0</v>
      </c>
      <c r="EI33" s="88">
        <f t="shared" si="48"/>
        <v>0</v>
      </c>
      <c r="EJ33" s="88"/>
      <c r="EK33" s="122">
        <f t="shared" si="49"/>
        <v>115975000</v>
      </c>
      <c r="EL33" s="122">
        <f t="shared" si="50"/>
        <v>0</v>
      </c>
      <c r="EM33" s="122">
        <f t="shared" si="51"/>
        <v>8502.3958333333321</v>
      </c>
      <c r="EN33" s="88">
        <f t="shared" si="52"/>
        <v>2.6392433714162531E-2</v>
      </c>
      <c r="EP33" s="87"/>
    </row>
    <row r="34" spans="1:146" x14ac:dyDescent="0.25">
      <c r="A34" s="35">
        <f t="shared" si="53"/>
        <v>43640</v>
      </c>
      <c r="D34" s="87">
        <f t="shared" si="2"/>
        <v>0</v>
      </c>
      <c r="G34" s="87">
        <f t="shared" si="3"/>
        <v>0</v>
      </c>
      <c r="J34" s="87">
        <f t="shared" si="4"/>
        <v>0</v>
      </c>
      <c r="M34" s="87">
        <f t="shared" si="5"/>
        <v>0</v>
      </c>
      <c r="P34" s="87">
        <f t="shared" si="6"/>
        <v>0</v>
      </c>
      <c r="S34" s="87">
        <f t="shared" si="7"/>
        <v>0</v>
      </c>
      <c r="V34" s="87">
        <f t="shared" si="8"/>
        <v>0</v>
      </c>
      <c r="Y34" s="87">
        <f t="shared" si="9"/>
        <v>0</v>
      </c>
      <c r="AB34" s="87">
        <f t="shared" si="10"/>
        <v>0</v>
      </c>
      <c r="AE34" s="87">
        <v>0</v>
      </c>
      <c r="AH34" s="87">
        <v>0</v>
      </c>
      <c r="AI34" s="120">
        <f>49625000</f>
        <v>49625000</v>
      </c>
      <c r="AJ34" s="121">
        <v>2.5499999999999998E-2</v>
      </c>
      <c r="AK34" s="87">
        <f t="shared" si="11"/>
        <v>3515.1041666666665</v>
      </c>
      <c r="AL34" s="120">
        <f t="shared" si="55"/>
        <v>35000000</v>
      </c>
      <c r="AM34" s="121">
        <v>2.7E-2</v>
      </c>
      <c r="AN34" s="87">
        <f t="shared" si="12"/>
        <v>2625</v>
      </c>
      <c r="AO34" s="120"/>
      <c r="AP34" s="121"/>
      <c r="AQ34" s="87">
        <f t="shared" si="13"/>
        <v>0</v>
      </c>
      <c r="AR34" s="120">
        <f t="shared" si="54"/>
        <v>30000000</v>
      </c>
      <c r="AS34" s="121">
        <v>2.7199999999999998E-2</v>
      </c>
      <c r="AT34" s="87">
        <f t="shared" si="14"/>
        <v>2266.6666666666665</v>
      </c>
      <c r="AW34" s="87">
        <f t="shared" si="15"/>
        <v>0</v>
      </c>
      <c r="AZ34" s="87">
        <f t="shared" si="16"/>
        <v>0</v>
      </c>
      <c r="BC34" s="87">
        <f t="shared" si="17"/>
        <v>0</v>
      </c>
      <c r="BF34" s="87">
        <f t="shared" si="18"/>
        <v>0</v>
      </c>
      <c r="BI34" s="87">
        <f t="shared" si="19"/>
        <v>0</v>
      </c>
      <c r="BL34" s="87">
        <f t="shared" si="20"/>
        <v>0</v>
      </c>
      <c r="BO34" s="87">
        <f t="shared" si="21"/>
        <v>0</v>
      </c>
      <c r="BR34" s="87">
        <f t="shared" si="22"/>
        <v>0</v>
      </c>
      <c r="BU34" s="87">
        <f t="shared" si="23"/>
        <v>0</v>
      </c>
      <c r="BX34" s="87">
        <f t="shared" si="24"/>
        <v>0</v>
      </c>
      <c r="CA34" s="87">
        <f t="shared" si="25"/>
        <v>0</v>
      </c>
      <c r="CD34" s="87">
        <f t="shared" si="26"/>
        <v>0</v>
      </c>
      <c r="CG34" s="87">
        <f t="shared" si="27"/>
        <v>0</v>
      </c>
      <c r="CJ34" s="87">
        <f t="shared" si="28"/>
        <v>0</v>
      </c>
      <c r="CM34" s="87">
        <f t="shared" si="29"/>
        <v>0</v>
      </c>
      <c r="CP34" s="87">
        <f t="shared" si="30"/>
        <v>0</v>
      </c>
      <c r="CS34" s="87">
        <f t="shared" si="31"/>
        <v>0</v>
      </c>
      <c r="CV34" s="87">
        <f t="shared" si="32"/>
        <v>0</v>
      </c>
      <c r="CY34" s="87">
        <f t="shared" si="33"/>
        <v>0</v>
      </c>
      <c r="DB34" s="87">
        <f t="shared" si="34"/>
        <v>0</v>
      </c>
      <c r="DE34" s="87">
        <f t="shared" si="35"/>
        <v>0</v>
      </c>
      <c r="DH34" s="87">
        <f t="shared" si="36"/>
        <v>0</v>
      </c>
      <c r="DK34" s="87">
        <f t="shared" si="37"/>
        <v>0</v>
      </c>
      <c r="DN34" s="87">
        <f t="shared" si="38"/>
        <v>0</v>
      </c>
      <c r="DQ34" s="87">
        <f t="shared" si="39"/>
        <v>0</v>
      </c>
      <c r="DT34" s="87">
        <f t="shared" si="40"/>
        <v>0</v>
      </c>
      <c r="DW34" s="87">
        <f t="shared" si="41"/>
        <v>0</v>
      </c>
      <c r="DZ34" s="87"/>
      <c r="EA34" s="87"/>
      <c r="EB34" s="122">
        <f t="shared" si="42"/>
        <v>114625000</v>
      </c>
      <c r="EC34" s="122">
        <f t="shared" si="43"/>
        <v>0</v>
      </c>
      <c r="ED34" s="87">
        <f t="shared" si="44"/>
        <v>8406.7708333333321</v>
      </c>
      <c r="EE34" s="88">
        <f t="shared" si="45"/>
        <v>2.6402944383860413E-2</v>
      </c>
      <c r="EG34" s="122">
        <f t="shared" si="46"/>
        <v>0</v>
      </c>
      <c r="EH34" s="87">
        <f t="shared" si="47"/>
        <v>0</v>
      </c>
      <c r="EI34" s="88">
        <f t="shared" si="48"/>
        <v>0</v>
      </c>
      <c r="EJ34" s="88"/>
      <c r="EK34" s="122">
        <f t="shared" si="49"/>
        <v>114625000</v>
      </c>
      <c r="EL34" s="122">
        <f t="shared" si="50"/>
        <v>0</v>
      </c>
      <c r="EM34" s="122">
        <f t="shared" si="51"/>
        <v>8406.7708333333321</v>
      </c>
      <c r="EN34" s="88">
        <f t="shared" si="52"/>
        <v>2.6402944383860413E-2</v>
      </c>
      <c r="EP34" s="87"/>
    </row>
    <row r="35" spans="1:146" x14ac:dyDescent="0.25">
      <c r="A35" s="35">
        <f t="shared" si="53"/>
        <v>43641</v>
      </c>
      <c r="D35" s="87">
        <f t="shared" si="2"/>
        <v>0</v>
      </c>
      <c r="G35" s="87">
        <f t="shared" si="3"/>
        <v>0</v>
      </c>
      <c r="J35" s="87">
        <f t="shared" si="4"/>
        <v>0</v>
      </c>
      <c r="M35" s="87">
        <f t="shared" si="5"/>
        <v>0</v>
      </c>
      <c r="P35" s="87">
        <f t="shared" si="6"/>
        <v>0</v>
      </c>
      <c r="S35" s="87">
        <f t="shared" si="7"/>
        <v>0</v>
      </c>
      <c r="V35" s="87">
        <f t="shared" si="8"/>
        <v>0</v>
      </c>
      <c r="Y35" s="87">
        <f t="shared" si="9"/>
        <v>0</v>
      </c>
      <c r="AB35" s="87">
        <f t="shared" si="10"/>
        <v>0</v>
      </c>
      <c r="AE35" s="87">
        <v>0</v>
      </c>
      <c r="AH35" s="87">
        <v>0</v>
      </c>
      <c r="AI35" s="120">
        <f>39050000</f>
        <v>39050000</v>
      </c>
      <c r="AJ35" s="121">
        <v>2.5499999999999998E-2</v>
      </c>
      <c r="AK35" s="87">
        <f t="shared" si="11"/>
        <v>2766.0416666666665</v>
      </c>
      <c r="AL35" s="120">
        <f t="shared" si="55"/>
        <v>35000000</v>
      </c>
      <c r="AM35" s="121">
        <v>2.7E-2</v>
      </c>
      <c r="AN35" s="87">
        <f t="shared" si="12"/>
        <v>2625</v>
      </c>
      <c r="AO35" s="120"/>
      <c r="AP35" s="121"/>
      <c r="AQ35" s="87">
        <f t="shared" si="13"/>
        <v>0</v>
      </c>
      <c r="AR35" s="120">
        <f t="shared" si="54"/>
        <v>30000000</v>
      </c>
      <c r="AS35" s="121">
        <v>2.7199999999999998E-2</v>
      </c>
      <c r="AT35" s="87">
        <f t="shared" si="14"/>
        <v>2266.6666666666665</v>
      </c>
      <c r="AW35" s="87">
        <f t="shared" si="15"/>
        <v>0</v>
      </c>
      <c r="AZ35" s="87">
        <f t="shared" si="16"/>
        <v>0</v>
      </c>
      <c r="BC35" s="87">
        <f t="shared" si="17"/>
        <v>0</v>
      </c>
      <c r="BF35" s="87">
        <f t="shared" si="18"/>
        <v>0</v>
      </c>
      <c r="BI35" s="87">
        <f t="shared" si="19"/>
        <v>0</v>
      </c>
      <c r="BL35" s="87">
        <f t="shared" si="20"/>
        <v>0</v>
      </c>
      <c r="BO35" s="87">
        <f t="shared" si="21"/>
        <v>0</v>
      </c>
      <c r="BR35" s="87">
        <f t="shared" si="22"/>
        <v>0</v>
      </c>
      <c r="BU35" s="87">
        <f t="shared" si="23"/>
        <v>0</v>
      </c>
      <c r="BX35" s="87">
        <f t="shared" si="24"/>
        <v>0</v>
      </c>
      <c r="CA35" s="87">
        <f t="shared" si="25"/>
        <v>0</v>
      </c>
      <c r="CD35" s="87">
        <f t="shared" si="26"/>
        <v>0</v>
      </c>
      <c r="CG35" s="87">
        <f t="shared" si="27"/>
        <v>0</v>
      </c>
      <c r="CJ35" s="87">
        <f t="shared" si="28"/>
        <v>0</v>
      </c>
      <c r="CM35" s="87">
        <f t="shared" si="29"/>
        <v>0</v>
      </c>
      <c r="CP35" s="87">
        <f t="shared" si="30"/>
        <v>0</v>
      </c>
      <c r="CS35" s="87">
        <f t="shared" si="31"/>
        <v>0</v>
      </c>
      <c r="CV35" s="87">
        <f t="shared" si="32"/>
        <v>0</v>
      </c>
      <c r="CY35" s="87">
        <f t="shared" si="33"/>
        <v>0</v>
      </c>
      <c r="DB35" s="87">
        <f t="shared" si="34"/>
        <v>0</v>
      </c>
      <c r="DE35" s="87">
        <f t="shared" si="35"/>
        <v>0</v>
      </c>
      <c r="DH35" s="87">
        <f t="shared" si="36"/>
        <v>0</v>
      </c>
      <c r="DK35" s="87">
        <f t="shared" si="37"/>
        <v>0</v>
      </c>
      <c r="DN35" s="87">
        <f t="shared" si="38"/>
        <v>0</v>
      </c>
      <c r="DQ35" s="87">
        <f t="shared" si="39"/>
        <v>0</v>
      </c>
      <c r="DT35" s="87">
        <f t="shared" si="40"/>
        <v>0</v>
      </c>
      <c r="DW35" s="87">
        <f t="shared" si="41"/>
        <v>0</v>
      </c>
      <c r="DZ35" s="87"/>
      <c r="EA35" s="87"/>
      <c r="EB35" s="122">
        <f t="shared" si="42"/>
        <v>104050000</v>
      </c>
      <c r="EC35" s="122">
        <f t="shared" si="43"/>
        <v>0</v>
      </c>
      <c r="ED35" s="87">
        <f t="shared" si="44"/>
        <v>7657.7083333333321</v>
      </c>
      <c r="EE35" s="88">
        <f t="shared" si="45"/>
        <v>2.6494714079769336E-2</v>
      </c>
      <c r="EG35" s="122">
        <f t="shared" si="46"/>
        <v>0</v>
      </c>
      <c r="EH35" s="87">
        <f t="shared" si="47"/>
        <v>0</v>
      </c>
      <c r="EI35" s="88">
        <f t="shared" si="48"/>
        <v>0</v>
      </c>
      <c r="EJ35" s="88"/>
      <c r="EK35" s="122">
        <f t="shared" si="49"/>
        <v>104050000</v>
      </c>
      <c r="EL35" s="122">
        <f t="shared" si="50"/>
        <v>0</v>
      </c>
      <c r="EM35" s="122">
        <f t="shared" si="51"/>
        <v>7657.7083333333321</v>
      </c>
      <c r="EN35" s="88">
        <f t="shared" si="52"/>
        <v>2.6494714079769336E-2</v>
      </c>
      <c r="EP35" s="87"/>
    </row>
    <row r="36" spans="1:146" x14ac:dyDescent="0.25">
      <c r="A36" s="35">
        <f t="shared" si="53"/>
        <v>43642</v>
      </c>
      <c r="D36" s="87">
        <f t="shared" si="2"/>
        <v>0</v>
      </c>
      <c r="G36" s="87">
        <f t="shared" si="3"/>
        <v>0</v>
      </c>
      <c r="J36" s="87">
        <f t="shared" si="4"/>
        <v>0</v>
      </c>
      <c r="M36" s="87">
        <f t="shared" si="5"/>
        <v>0</v>
      </c>
      <c r="P36" s="87">
        <f t="shared" si="6"/>
        <v>0</v>
      </c>
      <c r="S36" s="87">
        <f t="shared" si="7"/>
        <v>0</v>
      </c>
      <c r="V36" s="87">
        <f t="shared" si="8"/>
        <v>0</v>
      </c>
      <c r="Y36" s="87">
        <f t="shared" si="9"/>
        <v>0</v>
      </c>
      <c r="AB36" s="87">
        <f t="shared" si="10"/>
        <v>0</v>
      </c>
      <c r="AE36" s="87">
        <v>0</v>
      </c>
      <c r="AH36" s="87">
        <v>0</v>
      </c>
      <c r="AI36" s="120">
        <f>28100000</f>
        <v>28100000</v>
      </c>
      <c r="AJ36" s="121">
        <v>2.5499999999999998E-2</v>
      </c>
      <c r="AK36" s="87">
        <f t="shared" si="11"/>
        <v>1990.4166666666667</v>
      </c>
      <c r="AL36" s="120">
        <f t="shared" si="55"/>
        <v>35000000</v>
      </c>
      <c r="AM36" s="121">
        <v>2.7E-2</v>
      </c>
      <c r="AN36" s="87">
        <f t="shared" si="12"/>
        <v>2625</v>
      </c>
      <c r="AO36" s="120"/>
      <c r="AP36" s="121"/>
      <c r="AQ36" s="87">
        <f t="shared" si="13"/>
        <v>0</v>
      </c>
      <c r="AR36" s="120">
        <f t="shared" si="54"/>
        <v>30000000</v>
      </c>
      <c r="AS36" s="121">
        <v>2.7199999999999998E-2</v>
      </c>
      <c r="AT36" s="87">
        <f t="shared" si="14"/>
        <v>2266.6666666666665</v>
      </c>
      <c r="AW36" s="87">
        <f t="shared" si="15"/>
        <v>0</v>
      </c>
      <c r="AZ36" s="87">
        <f t="shared" si="16"/>
        <v>0</v>
      </c>
      <c r="BC36" s="87">
        <f t="shared" si="17"/>
        <v>0</v>
      </c>
      <c r="BF36" s="87">
        <f t="shared" si="18"/>
        <v>0</v>
      </c>
      <c r="BI36" s="87">
        <f t="shared" si="19"/>
        <v>0</v>
      </c>
      <c r="BL36" s="87">
        <f t="shared" si="20"/>
        <v>0</v>
      </c>
      <c r="BO36" s="87">
        <f t="shared" si="21"/>
        <v>0</v>
      </c>
      <c r="BR36" s="87">
        <f t="shared" si="22"/>
        <v>0</v>
      </c>
      <c r="BU36" s="87">
        <f t="shared" si="23"/>
        <v>0</v>
      </c>
      <c r="BX36" s="87">
        <f t="shared" si="24"/>
        <v>0</v>
      </c>
      <c r="CA36" s="87">
        <f t="shared" si="25"/>
        <v>0</v>
      </c>
      <c r="CD36" s="87">
        <f t="shared" si="26"/>
        <v>0</v>
      </c>
      <c r="CG36" s="87">
        <f t="shared" si="27"/>
        <v>0</v>
      </c>
      <c r="CJ36" s="87">
        <f t="shared" si="28"/>
        <v>0</v>
      </c>
      <c r="CM36" s="87">
        <f t="shared" si="29"/>
        <v>0</v>
      </c>
      <c r="CP36" s="87">
        <f t="shared" si="30"/>
        <v>0</v>
      </c>
      <c r="CS36" s="87">
        <f t="shared" si="31"/>
        <v>0</v>
      </c>
      <c r="CV36" s="87">
        <f t="shared" si="32"/>
        <v>0</v>
      </c>
      <c r="CY36" s="87">
        <f t="shared" si="33"/>
        <v>0</v>
      </c>
      <c r="DB36" s="87">
        <f t="shared" si="34"/>
        <v>0</v>
      </c>
      <c r="DE36" s="87">
        <f t="shared" si="35"/>
        <v>0</v>
      </c>
      <c r="DH36" s="87">
        <f t="shared" si="36"/>
        <v>0</v>
      </c>
      <c r="DK36" s="87">
        <f t="shared" si="37"/>
        <v>0</v>
      </c>
      <c r="DN36" s="87">
        <f t="shared" si="38"/>
        <v>0</v>
      </c>
      <c r="DQ36" s="87">
        <f t="shared" si="39"/>
        <v>0</v>
      </c>
      <c r="DT36" s="87">
        <f t="shared" si="40"/>
        <v>0</v>
      </c>
      <c r="DW36" s="87">
        <f t="shared" si="41"/>
        <v>0</v>
      </c>
      <c r="DZ36" s="87"/>
      <c r="EA36" s="87"/>
      <c r="EB36" s="122">
        <f t="shared" si="42"/>
        <v>93100000</v>
      </c>
      <c r="EC36" s="122">
        <f t="shared" si="43"/>
        <v>0</v>
      </c>
      <c r="ED36" s="87">
        <f t="shared" si="44"/>
        <v>6882.0833333333339</v>
      </c>
      <c r="EE36" s="88">
        <f t="shared" si="45"/>
        <v>2.6611707841031149E-2</v>
      </c>
      <c r="EG36" s="122">
        <f t="shared" si="46"/>
        <v>0</v>
      </c>
      <c r="EH36" s="87">
        <f t="shared" si="47"/>
        <v>0</v>
      </c>
      <c r="EI36" s="88">
        <f t="shared" si="48"/>
        <v>0</v>
      </c>
      <c r="EJ36" s="88"/>
      <c r="EK36" s="122">
        <f t="shared" si="49"/>
        <v>93100000</v>
      </c>
      <c r="EL36" s="122">
        <f t="shared" si="50"/>
        <v>0</v>
      </c>
      <c r="EM36" s="122">
        <f t="shared" si="51"/>
        <v>6882.083333333333</v>
      </c>
      <c r="EN36" s="88">
        <f t="shared" si="52"/>
        <v>2.6611707841031149E-2</v>
      </c>
      <c r="EP36" s="87"/>
    </row>
    <row r="37" spans="1:146" x14ac:dyDescent="0.25">
      <c r="A37" s="35">
        <f t="shared" si="53"/>
        <v>43643</v>
      </c>
      <c r="D37" s="87">
        <f t="shared" si="2"/>
        <v>0</v>
      </c>
      <c r="G37" s="87">
        <f t="shared" si="3"/>
        <v>0</v>
      </c>
      <c r="J37" s="87">
        <f t="shared" si="4"/>
        <v>0</v>
      </c>
      <c r="M37" s="87">
        <f t="shared" si="5"/>
        <v>0</v>
      </c>
      <c r="P37" s="87">
        <f t="shared" si="6"/>
        <v>0</v>
      </c>
      <c r="S37" s="87">
        <f t="shared" si="7"/>
        <v>0</v>
      </c>
      <c r="V37" s="87">
        <f t="shared" si="8"/>
        <v>0</v>
      </c>
      <c r="Y37" s="87">
        <f t="shared" si="9"/>
        <v>0</v>
      </c>
      <c r="AB37" s="87">
        <f t="shared" si="10"/>
        <v>0</v>
      </c>
      <c r="AE37" s="87">
        <v>0</v>
      </c>
      <c r="AH37" s="87">
        <v>0</v>
      </c>
      <c r="AI37" s="120">
        <f>23525000</f>
        <v>23525000</v>
      </c>
      <c r="AJ37" s="121">
        <v>2.5499999999999998E-2</v>
      </c>
      <c r="AK37" s="87">
        <f t="shared" si="11"/>
        <v>1666.3541666666667</v>
      </c>
      <c r="AL37" s="120">
        <f t="shared" si="55"/>
        <v>35000000</v>
      </c>
      <c r="AM37" s="121">
        <v>2.7E-2</v>
      </c>
      <c r="AN37" s="87">
        <f t="shared" si="12"/>
        <v>2625</v>
      </c>
      <c r="AO37" s="120"/>
      <c r="AP37" s="121"/>
      <c r="AQ37" s="87">
        <f t="shared" si="13"/>
        <v>0</v>
      </c>
      <c r="AR37" s="120">
        <f t="shared" si="54"/>
        <v>30000000</v>
      </c>
      <c r="AS37" s="121">
        <v>2.7199999999999998E-2</v>
      </c>
      <c r="AT37" s="87">
        <f t="shared" si="14"/>
        <v>2266.6666666666665</v>
      </c>
      <c r="AW37" s="87">
        <f t="shared" si="15"/>
        <v>0</v>
      </c>
      <c r="AZ37" s="87">
        <f t="shared" si="16"/>
        <v>0</v>
      </c>
      <c r="BC37" s="87">
        <f t="shared" si="17"/>
        <v>0</v>
      </c>
      <c r="BF37" s="87">
        <f t="shared" si="18"/>
        <v>0</v>
      </c>
      <c r="BI37" s="87">
        <f t="shared" si="19"/>
        <v>0</v>
      </c>
      <c r="BL37" s="87">
        <f t="shared" si="20"/>
        <v>0</v>
      </c>
      <c r="BO37" s="87">
        <f t="shared" si="21"/>
        <v>0</v>
      </c>
      <c r="BR37" s="87">
        <f t="shared" si="22"/>
        <v>0</v>
      </c>
      <c r="BU37" s="87">
        <f t="shared" si="23"/>
        <v>0</v>
      </c>
      <c r="BX37" s="87">
        <f t="shared" si="24"/>
        <v>0</v>
      </c>
      <c r="CA37" s="87">
        <f t="shared" si="25"/>
        <v>0</v>
      </c>
      <c r="CD37" s="87">
        <f t="shared" si="26"/>
        <v>0</v>
      </c>
      <c r="CG37" s="87">
        <f t="shared" si="27"/>
        <v>0</v>
      </c>
      <c r="CJ37" s="87">
        <f t="shared" si="28"/>
        <v>0</v>
      </c>
      <c r="CM37" s="87">
        <f t="shared" si="29"/>
        <v>0</v>
      </c>
      <c r="CP37" s="87">
        <f t="shared" si="30"/>
        <v>0</v>
      </c>
      <c r="CS37" s="87">
        <f t="shared" si="31"/>
        <v>0</v>
      </c>
      <c r="CV37" s="87">
        <f t="shared" si="32"/>
        <v>0</v>
      </c>
      <c r="CY37" s="87">
        <f t="shared" si="33"/>
        <v>0</v>
      </c>
      <c r="DB37" s="87">
        <f t="shared" si="34"/>
        <v>0</v>
      </c>
      <c r="DE37" s="87">
        <f t="shared" si="35"/>
        <v>0</v>
      </c>
      <c r="DH37" s="87">
        <f t="shared" si="36"/>
        <v>0</v>
      </c>
      <c r="DK37" s="87">
        <f t="shared" si="37"/>
        <v>0</v>
      </c>
      <c r="DN37" s="87">
        <f t="shared" si="38"/>
        <v>0</v>
      </c>
      <c r="DQ37" s="87">
        <f t="shared" si="39"/>
        <v>0</v>
      </c>
      <c r="DT37" s="87">
        <f t="shared" si="40"/>
        <v>0</v>
      </c>
      <c r="DW37" s="87">
        <f t="shared" si="41"/>
        <v>0</v>
      </c>
      <c r="DZ37" s="87"/>
      <c r="EA37" s="87"/>
      <c r="EB37" s="122">
        <f t="shared" si="42"/>
        <v>88525000</v>
      </c>
      <c r="EC37" s="122">
        <f t="shared" si="43"/>
        <v>0</v>
      </c>
      <c r="ED37" s="87">
        <f t="shared" si="44"/>
        <v>6558.0208333333339</v>
      </c>
      <c r="EE37" s="88">
        <f t="shared" si="45"/>
        <v>2.6669161253883085E-2</v>
      </c>
      <c r="EG37" s="122">
        <f t="shared" si="46"/>
        <v>0</v>
      </c>
      <c r="EH37" s="87">
        <f t="shared" si="47"/>
        <v>0</v>
      </c>
      <c r="EI37" s="88">
        <f t="shared" si="48"/>
        <v>0</v>
      </c>
      <c r="EJ37" s="88"/>
      <c r="EK37" s="122">
        <f t="shared" si="49"/>
        <v>88525000</v>
      </c>
      <c r="EL37" s="122">
        <f t="shared" si="50"/>
        <v>0</v>
      </c>
      <c r="EM37" s="122">
        <f t="shared" si="51"/>
        <v>6558.020833333333</v>
      </c>
      <c r="EN37" s="88">
        <f t="shared" si="52"/>
        <v>2.6669161253883081E-2</v>
      </c>
      <c r="EP37" s="87"/>
    </row>
    <row r="38" spans="1:146" x14ac:dyDescent="0.25">
      <c r="A38" s="35">
        <f t="shared" si="53"/>
        <v>43644</v>
      </c>
      <c r="D38" s="87">
        <f t="shared" si="2"/>
        <v>0</v>
      </c>
      <c r="G38" s="87">
        <f t="shared" si="3"/>
        <v>0</v>
      </c>
      <c r="J38" s="87">
        <f t="shared" si="4"/>
        <v>0</v>
      </c>
      <c r="M38" s="87">
        <f t="shared" si="5"/>
        <v>0</v>
      </c>
      <c r="P38" s="87">
        <f t="shared" si="6"/>
        <v>0</v>
      </c>
      <c r="S38" s="87">
        <f t="shared" si="7"/>
        <v>0</v>
      </c>
      <c r="V38" s="87">
        <f t="shared" si="8"/>
        <v>0</v>
      </c>
      <c r="Y38" s="87">
        <f t="shared" si="9"/>
        <v>0</v>
      </c>
      <c r="AB38" s="87">
        <f t="shared" si="10"/>
        <v>0</v>
      </c>
      <c r="AE38" s="87">
        <v>0</v>
      </c>
      <c r="AH38" s="87">
        <v>0</v>
      </c>
      <c r="AI38" s="120">
        <f>140225000</f>
        <v>140225000</v>
      </c>
      <c r="AJ38" s="121">
        <v>2.5499999999999998E-2</v>
      </c>
      <c r="AK38" s="87">
        <f t="shared" si="11"/>
        <v>9932.6041666666661</v>
      </c>
      <c r="AL38" s="120">
        <f t="shared" si="55"/>
        <v>35000000</v>
      </c>
      <c r="AM38" s="121">
        <v>2.7E-2</v>
      </c>
      <c r="AN38" s="87">
        <f t="shared" si="12"/>
        <v>2625</v>
      </c>
      <c r="AO38" s="120"/>
      <c r="AP38" s="121"/>
      <c r="AQ38" s="87">
        <f t="shared" si="13"/>
        <v>0</v>
      </c>
      <c r="AR38" s="120">
        <f t="shared" si="54"/>
        <v>30000000</v>
      </c>
      <c r="AS38" s="121">
        <v>2.7199999999999998E-2</v>
      </c>
      <c r="AT38" s="87">
        <f t="shared" si="14"/>
        <v>2266.6666666666665</v>
      </c>
      <c r="AW38" s="87">
        <f t="shared" si="15"/>
        <v>0</v>
      </c>
      <c r="AZ38" s="87">
        <f t="shared" si="16"/>
        <v>0</v>
      </c>
      <c r="BC38" s="87">
        <f t="shared" si="17"/>
        <v>0</v>
      </c>
      <c r="BF38" s="87">
        <f t="shared" si="18"/>
        <v>0</v>
      </c>
      <c r="BI38" s="87">
        <f t="shared" si="19"/>
        <v>0</v>
      </c>
      <c r="BL38" s="87">
        <f t="shared" si="20"/>
        <v>0</v>
      </c>
      <c r="BO38" s="87">
        <f t="shared" si="21"/>
        <v>0</v>
      </c>
      <c r="BR38" s="87">
        <f t="shared" si="22"/>
        <v>0</v>
      </c>
      <c r="BU38" s="87">
        <f t="shared" si="23"/>
        <v>0</v>
      </c>
      <c r="BX38" s="87">
        <f t="shared" si="24"/>
        <v>0</v>
      </c>
      <c r="CA38" s="87">
        <f t="shared" si="25"/>
        <v>0</v>
      </c>
      <c r="CD38" s="87">
        <f t="shared" si="26"/>
        <v>0</v>
      </c>
      <c r="CG38" s="87">
        <f t="shared" si="27"/>
        <v>0</v>
      </c>
      <c r="CJ38" s="87">
        <f t="shared" si="28"/>
        <v>0</v>
      </c>
      <c r="CM38" s="87">
        <f t="shared" si="29"/>
        <v>0</v>
      </c>
      <c r="CP38" s="87">
        <f t="shared" si="30"/>
        <v>0</v>
      </c>
      <c r="CS38" s="87">
        <f t="shared" si="31"/>
        <v>0</v>
      </c>
      <c r="CV38" s="87">
        <f t="shared" si="32"/>
        <v>0</v>
      </c>
      <c r="CY38" s="87">
        <f t="shared" si="33"/>
        <v>0</v>
      </c>
      <c r="DB38" s="87">
        <f t="shared" si="34"/>
        <v>0</v>
      </c>
      <c r="DE38" s="87">
        <f t="shared" si="35"/>
        <v>0</v>
      </c>
      <c r="DH38" s="87">
        <f t="shared" si="36"/>
        <v>0</v>
      </c>
      <c r="DK38" s="87">
        <f t="shared" si="37"/>
        <v>0</v>
      </c>
      <c r="DN38" s="87">
        <f t="shared" si="38"/>
        <v>0</v>
      </c>
      <c r="DQ38" s="87">
        <f t="shared" si="39"/>
        <v>0</v>
      </c>
      <c r="DT38" s="87">
        <f t="shared" si="40"/>
        <v>0</v>
      </c>
      <c r="DW38" s="87">
        <f t="shared" si="41"/>
        <v>0</v>
      </c>
      <c r="DZ38" s="87"/>
      <c r="EA38" s="87"/>
      <c r="EB38" s="122">
        <f t="shared" si="42"/>
        <v>205225000</v>
      </c>
      <c r="EC38" s="122">
        <f t="shared" si="43"/>
        <v>0</v>
      </c>
      <c r="ED38" s="87">
        <f t="shared" si="44"/>
        <v>14824.270833333332</v>
      </c>
      <c r="EE38" s="88">
        <f t="shared" si="45"/>
        <v>2.6004324521866243E-2</v>
      </c>
      <c r="EG38" s="122">
        <f t="shared" si="46"/>
        <v>0</v>
      </c>
      <c r="EH38" s="87">
        <f t="shared" si="47"/>
        <v>0</v>
      </c>
      <c r="EI38" s="88">
        <f t="shared" si="48"/>
        <v>0</v>
      </c>
      <c r="EJ38" s="88"/>
      <c r="EK38" s="122">
        <f t="shared" si="49"/>
        <v>205225000</v>
      </c>
      <c r="EL38" s="122">
        <f t="shared" si="50"/>
        <v>0</v>
      </c>
      <c r="EM38" s="122">
        <f t="shared" si="51"/>
        <v>14824.270833333332</v>
      </c>
      <c r="EN38" s="88">
        <f t="shared" si="52"/>
        <v>2.6004324521866243E-2</v>
      </c>
      <c r="EP38" s="87"/>
    </row>
    <row r="39" spans="1:146" x14ac:dyDescent="0.25">
      <c r="A39" s="35">
        <f t="shared" si="53"/>
        <v>43645</v>
      </c>
      <c r="D39" s="87">
        <f t="shared" si="2"/>
        <v>0</v>
      </c>
      <c r="G39" s="87">
        <f t="shared" si="3"/>
        <v>0</v>
      </c>
      <c r="J39" s="87">
        <f t="shared" si="4"/>
        <v>0</v>
      </c>
      <c r="M39" s="87">
        <f t="shared" si="5"/>
        <v>0</v>
      </c>
      <c r="P39" s="87">
        <f t="shared" si="6"/>
        <v>0</v>
      </c>
      <c r="S39" s="87">
        <f t="shared" si="7"/>
        <v>0</v>
      </c>
      <c r="V39" s="87">
        <f t="shared" si="8"/>
        <v>0</v>
      </c>
      <c r="Y39" s="87">
        <f t="shared" si="9"/>
        <v>0</v>
      </c>
      <c r="AB39" s="87">
        <f t="shared" si="10"/>
        <v>0</v>
      </c>
      <c r="AE39" s="87">
        <v>0</v>
      </c>
      <c r="AH39" s="87">
        <v>0</v>
      </c>
      <c r="AI39" s="120">
        <f>140225000</f>
        <v>140225000</v>
      </c>
      <c r="AJ39" s="121">
        <v>2.5499999999999998E-2</v>
      </c>
      <c r="AK39" s="87">
        <f t="shared" si="11"/>
        <v>9932.6041666666661</v>
      </c>
      <c r="AL39" s="120">
        <f t="shared" si="55"/>
        <v>35000000</v>
      </c>
      <c r="AM39" s="121">
        <v>2.7E-2</v>
      </c>
      <c r="AN39" s="87">
        <f t="shared" si="12"/>
        <v>2625</v>
      </c>
      <c r="AO39" s="120"/>
      <c r="AP39" s="121"/>
      <c r="AQ39" s="87">
        <f t="shared" si="13"/>
        <v>0</v>
      </c>
      <c r="AR39" s="120">
        <f t="shared" si="54"/>
        <v>30000000</v>
      </c>
      <c r="AS39" s="121">
        <v>2.7199999999999998E-2</v>
      </c>
      <c r="AT39" s="87">
        <f t="shared" si="14"/>
        <v>2266.6666666666665</v>
      </c>
      <c r="AW39" s="87">
        <f t="shared" si="15"/>
        <v>0</v>
      </c>
      <c r="AZ39" s="87">
        <f t="shared" si="16"/>
        <v>0</v>
      </c>
      <c r="BC39" s="87">
        <f t="shared" si="17"/>
        <v>0</v>
      </c>
      <c r="BF39" s="87">
        <f t="shared" si="18"/>
        <v>0</v>
      </c>
      <c r="BI39" s="87">
        <f t="shared" si="19"/>
        <v>0</v>
      </c>
      <c r="BL39" s="87">
        <f t="shared" si="20"/>
        <v>0</v>
      </c>
      <c r="BO39" s="87">
        <f t="shared" si="21"/>
        <v>0</v>
      </c>
      <c r="BR39" s="87">
        <f t="shared" si="22"/>
        <v>0</v>
      </c>
      <c r="BU39" s="87">
        <f t="shared" si="23"/>
        <v>0</v>
      </c>
      <c r="BX39" s="87">
        <f t="shared" si="24"/>
        <v>0</v>
      </c>
      <c r="CA39" s="87">
        <f t="shared" si="25"/>
        <v>0</v>
      </c>
      <c r="CD39" s="87">
        <f t="shared" si="26"/>
        <v>0</v>
      </c>
      <c r="CG39" s="87">
        <f t="shared" si="27"/>
        <v>0</v>
      </c>
      <c r="CJ39" s="87">
        <f t="shared" si="28"/>
        <v>0</v>
      </c>
      <c r="CM39" s="87">
        <f t="shared" si="29"/>
        <v>0</v>
      </c>
      <c r="CP39" s="87">
        <f t="shared" si="30"/>
        <v>0</v>
      </c>
      <c r="CS39" s="87">
        <f t="shared" si="31"/>
        <v>0</v>
      </c>
      <c r="CV39" s="87">
        <f t="shared" si="32"/>
        <v>0</v>
      </c>
      <c r="CY39" s="87">
        <f t="shared" si="33"/>
        <v>0</v>
      </c>
      <c r="DB39" s="87">
        <f t="shared" si="34"/>
        <v>0</v>
      </c>
      <c r="DE39" s="87">
        <f t="shared" si="35"/>
        <v>0</v>
      </c>
      <c r="DH39" s="87">
        <f t="shared" si="36"/>
        <v>0</v>
      </c>
      <c r="DK39" s="87">
        <f t="shared" si="37"/>
        <v>0</v>
      </c>
      <c r="DN39" s="87">
        <f t="shared" si="38"/>
        <v>0</v>
      </c>
      <c r="DQ39" s="87">
        <f t="shared" si="39"/>
        <v>0</v>
      </c>
      <c r="DT39" s="87">
        <f t="shared" si="40"/>
        <v>0</v>
      </c>
      <c r="DW39" s="87">
        <f t="shared" si="41"/>
        <v>0</v>
      </c>
      <c r="DZ39" s="87"/>
      <c r="EA39" s="87"/>
      <c r="EB39" s="122">
        <f t="shared" si="42"/>
        <v>205225000</v>
      </c>
      <c r="EC39" s="122">
        <f t="shared" si="43"/>
        <v>0</v>
      </c>
      <c r="ED39" s="87">
        <f t="shared" si="44"/>
        <v>14824.270833333332</v>
      </c>
      <c r="EE39" s="88">
        <f t="shared" si="45"/>
        <v>2.6004324521866243E-2</v>
      </c>
      <c r="EG39" s="122">
        <f t="shared" si="46"/>
        <v>0</v>
      </c>
      <c r="EH39" s="87">
        <f t="shared" si="47"/>
        <v>0</v>
      </c>
      <c r="EI39" s="88">
        <f t="shared" si="48"/>
        <v>0</v>
      </c>
      <c r="EJ39" s="88"/>
      <c r="EK39" s="122">
        <f t="shared" si="49"/>
        <v>205225000</v>
      </c>
      <c r="EL39" s="122">
        <f t="shared" si="50"/>
        <v>0</v>
      </c>
      <c r="EM39" s="122">
        <f t="shared" si="51"/>
        <v>14824.270833333332</v>
      </c>
      <c r="EN39" s="88">
        <f t="shared" si="52"/>
        <v>2.6004324521866243E-2</v>
      </c>
      <c r="EP39" s="87"/>
    </row>
    <row r="40" spans="1:146" x14ac:dyDescent="0.25">
      <c r="A40" s="35">
        <f t="shared" si="53"/>
        <v>43646</v>
      </c>
      <c r="D40" s="87">
        <f t="shared" si="2"/>
        <v>0</v>
      </c>
      <c r="G40" s="87">
        <f t="shared" si="3"/>
        <v>0</v>
      </c>
      <c r="J40" s="87">
        <f t="shared" si="4"/>
        <v>0</v>
      </c>
      <c r="M40" s="87">
        <f t="shared" si="5"/>
        <v>0</v>
      </c>
      <c r="P40" s="87">
        <f t="shared" si="6"/>
        <v>0</v>
      </c>
      <c r="S40" s="87">
        <f t="shared" si="7"/>
        <v>0</v>
      </c>
      <c r="V40" s="87">
        <f t="shared" si="8"/>
        <v>0</v>
      </c>
      <c r="Y40" s="87">
        <f t="shared" si="9"/>
        <v>0</v>
      </c>
      <c r="AB40" s="87">
        <f t="shared" si="10"/>
        <v>0</v>
      </c>
      <c r="AE40" s="87">
        <v>0</v>
      </c>
      <c r="AH40" s="87">
        <v>0</v>
      </c>
      <c r="AI40" s="120">
        <f>140225000</f>
        <v>140225000</v>
      </c>
      <c r="AJ40" s="121">
        <v>2.5499999999999998E-2</v>
      </c>
      <c r="AK40" s="87">
        <f t="shared" si="11"/>
        <v>9932.6041666666661</v>
      </c>
      <c r="AL40" s="120">
        <f t="shared" si="55"/>
        <v>35000000</v>
      </c>
      <c r="AM40" s="121">
        <v>2.7E-2</v>
      </c>
      <c r="AN40" s="87">
        <f t="shared" si="12"/>
        <v>2625</v>
      </c>
      <c r="AO40" s="120"/>
      <c r="AP40" s="121"/>
      <c r="AQ40" s="87">
        <f t="shared" si="13"/>
        <v>0</v>
      </c>
      <c r="AR40" s="120">
        <f t="shared" si="54"/>
        <v>30000000</v>
      </c>
      <c r="AS40" s="121">
        <v>2.7199999999999998E-2</v>
      </c>
      <c r="AT40" s="87">
        <f t="shared" si="14"/>
        <v>2266.6666666666665</v>
      </c>
      <c r="AW40" s="87">
        <f t="shared" si="15"/>
        <v>0</v>
      </c>
      <c r="AZ40" s="87">
        <f t="shared" si="16"/>
        <v>0</v>
      </c>
      <c r="BC40" s="87">
        <f t="shared" si="17"/>
        <v>0</v>
      </c>
      <c r="BF40" s="87">
        <f t="shared" si="18"/>
        <v>0</v>
      </c>
      <c r="BI40" s="87">
        <f t="shared" si="19"/>
        <v>0</v>
      </c>
      <c r="BL40" s="87">
        <f t="shared" si="20"/>
        <v>0</v>
      </c>
      <c r="BO40" s="87">
        <f t="shared" si="21"/>
        <v>0</v>
      </c>
      <c r="BR40" s="87">
        <f t="shared" si="22"/>
        <v>0</v>
      </c>
      <c r="BU40" s="87">
        <f t="shared" si="23"/>
        <v>0</v>
      </c>
      <c r="BX40" s="87">
        <f t="shared" si="24"/>
        <v>0</v>
      </c>
      <c r="CA40" s="87">
        <f t="shared" si="25"/>
        <v>0</v>
      </c>
      <c r="CD40" s="87">
        <f t="shared" si="26"/>
        <v>0</v>
      </c>
      <c r="CG40" s="87">
        <f t="shared" si="27"/>
        <v>0</v>
      </c>
      <c r="CJ40" s="87">
        <f t="shared" si="28"/>
        <v>0</v>
      </c>
      <c r="CM40" s="87">
        <f t="shared" si="29"/>
        <v>0</v>
      </c>
      <c r="CP40" s="87">
        <f t="shared" si="30"/>
        <v>0</v>
      </c>
      <c r="CS40" s="87">
        <f t="shared" si="31"/>
        <v>0</v>
      </c>
      <c r="CV40" s="87">
        <f t="shared" si="32"/>
        <v>0</v>
      </c>
      <c r="CY40" s="87">
        <f t="shared" si="33"/>
        <v>0</v>
      </c>
      <c r="DB40" s="87">
        <f t="shared" si="34"/>
        <v>0</v>
      </c>
      <c r="DE40" s="87">
        <f t="shared" si="35"/>
        <v>0</v>
      </c>
      <c r="DH40" s="87">
        <f t="shared" si="36"/>
        <v>0</v>
      </c>
      <c r="DK40" s="87">
        <f t="shared" si="37"/>
        <v>0</v>
      </c>
      <c r="DN40" s="87">
        <f t="shared" si="38"/>
        <v>0</v>
      </c>
      <c r="DQ40" s="87">
        <f t="shared" si="39"/>
        <v>0</v>
      </c>
      <c r="DT40" s="87">
        <f t="shared" si="40"/>
        <v>0</v>
      </c>
      <c r="DW40" s="87">
        <f t="shared" si="41"/>
        <v>0</v>
      </c>
      <c r="DZ40" s="85"/>
      <c r="EA40" s="87"/>
      <c r="EB40" s="122">
        <f t="shared" si="42"/>
        <v>205225000</v>
      </c>
      <c r="EC40" s="122">
        <f t="shared" si="43"/>
        <v>0</v>
      </c>
      <c r="ED40" s="87">
        <f t="shared" si="44"/>
        <v>14824.270833333332</v>
      </c>
      <c r="EE40" s="88">
        <f t="shared" si="45"/>
        <v>2.6004324521866243E-2</v>
      </c>
      <c r="EG40" s="122">
        <f t="shared" si="46"/>
        <v>0</v>
      </c>
      <c r="EH40" s="87">
        <f t="shared" si="47"/>
        <v>0</v>
      </c>
      <c r="EI40" s="88">
        <f t="shared" si="48"/>
        <v>0</v>
      </c>
      <c r="EJ40" s="88"/>
      <c r="EK40" s="122">
        <f t="shared" si="49"/>
        <v>205225000</v>
      </c>
      <c r="EL40" s="122">
        <f t="shared" si="50"/>
        <v>0</v>
      </c>
      <c r="EM40" s="122">
        <f t="shared" si="51"/>
        <v>14824.270833333332</v>
      </c>
      <c r="EN40" s="88">
        <f t="shared" si="52"/>
        <v>2.6004324521866243E-2</v>
      </c>
      <c r="EP40" s="87"/>
    </row>
    <row r="41" spans="1:146" x14ac:dyDescent="0.25">
      <c r="A41" s="123" t="s">
        <v>76</v>
      </c>
      <c r="D41" s="124">
        <f>SUM(D11:D40)</f>
        <v>0</v>
      </c>
      <c r="G41" s="124">
        <f>SUM(G11:G40)</f>
        <v>0</v>
      </c>
      <c r="J41" s="124">
        <f>SUM(J11:J40)</f>
        <v>0</v>
      </c>
      <c r="M41" s="124">
        <f>SUM(M11:M40)</f>
        <v>0</v>
      </c>
      <c r="P41" s="124">
        <f>SUM(P11:P40)</f>
        <v>0</v>
      </c>
      <c r="S41" s="124">
        <f>SUM(S11:S40)</f>
        <v>0</v>
      </c>
      <c r="V41" s="124">
        <f>SUM(V11:V40)</f>
        <v>0</v>
      </c>
      <c r="Y41" s="124">
        <f>SUM(Y11:Y40)</f>
        <v>0</v>
      </c>
      <c r="AB41" s="124">
        <f>SUM(AB11:AB40)</f>
        <v>0</v>
      </c>
      <c r="AE41" s="124">
        <f>SUM(AE11:AE40)</f>
        <v>0</v>
      </c>
      <c r="AH41" s="124">
        <f>SUM(AH11:AH40)</f>
        <v>0</v>
      </c>
      <c r="AK41" s="124">
        <f>SUM(AK11:AK40)</f>
        <v>130127.51388888896</v>
      </c>
      <c r="AN41" s="124">
        <f>SUM(AN11:AN40)</f>
        <v>74458.333333333343</v>
      </c>
      <c r="AQ41" s="124">
        <f>SUM(AQ11:AQ40)</f>
        <v>25006.944444444438</v>
      </c>
      <c r="AT41" s="124">
        <f>SUM(AT11:AT40)</f>
        <v>63466.666666666642</v>
      </c>
      <c r="AW41" s="124">
        <f>SUM(AW11:AW40)</f>
        <v>0</v>
      </c>
      <c r="AZ41" s="124">
        <f>SUM(AZ11:AZ40)</f>
        <v>0</v>
      </c>
      <c r="BC41" s="124">
        <f>SUM(BC11:BC40)</f>
        <v>0</v>
      </c>
      <c r="BF41" s="124">
        <f>SUM(BF11:BF40)</f>
        <v>0</v>
      </c>
      <c r="BI41" s="124">
        <f>SUM(BI11:BI40)</f>
        <v>0</v>
      </c>
      <c r="BL41" s="124">
        <f>SUM(BL11:BL40)</f>
        <v>0</v>
      </c>
      <c r="BO41" s="124">
        <f>SUM(BO11:BO40)</f>
        <v>0</v>
      </c>
      <c r="BR41" s="124">
        <f>SUM(BR11:BR40)</f>
        <v>0</v>
      </c>
      <c r="BU41" s="124">
        <f>SUM(BU11:BU40)</f>
        <v>0</v>
      </c>
      <c r="BX41" s="124">
        <f>SUM(BX11:BX40)</f>
        <v>0</v>
      </c>
      <c r="CA41" s="124">
        <f>SUM(CA11:CA40)</f>
        <v>0</v>
      </c>
      <c r="CD41" s="124">
        <f>SUM(CD11:CD40)</f>
        <v>0</v>
      </c>
      <c r="CG41" s="124">
        <f>SUM(CG11:CG40)</f>
        <v>0</v>
      </c>
      <c r="CJ41" s="124">
        <f>SUM(CJ11:CJ40)</f>
        <v>0</v>
      </c>
      <c r="CM41" s="124">
        <f>SUM(CM11:CM40)</f>
        <v>0</v>
      </c>
      <c r="CP41" s="124">
        <f>SUM(CP11:CP40)</f>
        <v>0</v>
      </c>
      <c r="CS41" s="124">
        <f>SUM(CS11:CS40)</f>
        <v>0</v>
      </c>
      <c r="CV41" s="124">
        <f>SUM(CV11:CV40)</f>
        <v>0</v>
      </c>
      <c r="CY41" s="124">
        <f>SUM(CY11:CY40)</f>
        <v>0</v>
      </c>
      <c r="DB41" s="124">
        <f>SUM(DB11:DB40)</f>
        <v>0</v>
      </c>
      <c r="DE41" s="124">
        <f>SUM(DE11:DE40)</f>
        <v>0</v>
      </c>
      <c r="DH41" s="124">
        <f>SUM(DH11:DH40)</f>
        <v>0</v>
      </c>
      <c r="DK41" s="124">
        <f>SUM(DK11:DK40)</f>
        <v>0</v>
      </c>
      <c r="DN41" s="124">
        <f>SUM(DN11:DN40)</f>
        <v>0</v>
      </c>
      <c r="DQ41" s="124">
        <f>SUM(DQ11:DQ40)</f>
        <v>0</v>
      </c>
      <c r="DT41" s="124">
        <f>SUM(DT11:DT40)</f>
        <v>0</v>
      </c>
      <c r="DW41" s="124">
        <f>SUM(DW11:DW40)</f>
        <v>0</v>
      </c>
      <c r="DZ41" s="85"/>
      <c r="EA41" s="85"/>
      <c r="EB41" s="87"/>
      <c r="EC41" s="87"/>
      <c r="ED41" s="124">
        <f>SUM(ED11:ED40)</f>
        <v>293059.45833333337</v>
      </c>
      <c r="EE41" s="88"/>
      <c r="EG41" s="87"/>
      <c r="EH41" s="124">
        <f>SUM(EH11:EH40)</f>
        <v>0</v>
      </c>
      <c r="EI41" s="88"/>
      <c r="EJ41" s="88"/>
      <c r="EK41" s="87"/>
      <c r="EL41" s="87"/>
      <c r="EM41" s="124">
        <f>SUM(EM11:EM40)</f>
        <v>293059.45833333337</v>
      </c>
      <c r="EN41" s="88"/>
    </row>
    <row r="44" spans="1:146" x14ac:dyDescent="0.25">
      <c r="EM44" s="125"/>
    </row>
    <row r="46" spans="1:146" x14ac:dyDescent="0.25">
      <c r="EM46" s="87"/>
    </row>
    <row r="47" spans="1:146" x14ac:dyDescent="0.25">
      <c r="EM47" s="8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Q48"/>
  <sheetViews>
    <sheetView workbookViewId="0">
      <selection activeCell="A39" sqref="A39:A40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116775000</v>
      </c>
      <c r="EI2" s="85">
        <f>EG40</f>
        <v>0</v>
      </c>
      <c r="EM2" s="85"/>
      <c r="EN2" s="85">
        <f>EK41</f>
        <v>116775000</v>
      </c>
      <c r="EO2" s="78">
        <v>-13150</v>
      </c>
      <c r="EP2" s="78">
        <f>EN2+EO2</f>
        <v>116761850</v>
      </c>
      <c r="EQ2" s="78">
        <f>EE2+EO2</f>
        <v>116761850</v>
      </c>
    </row>
    <row r="3" spans="1:147" ht="16.5" thickTop="1" x14ac:dyDescent="0.25">
      <c r="A3" s="86" t="s">
        <v>174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147533064.51612905</v>
      </c>
      <c r="EI3" s="85">
        <f>AVERAGE(EG11:EG40)</f>
        <v>0</v>
      </c>
      <c r="EM3" s="85"/>
      <c r="EN3" s="85">
        <f>AVERAGE(EK11:EK41)</f>
        <v>147533064.51612905</v>
      </c>
    </row>
    <row r="4" spans="1:147" x14ac:dyDescent="0.25">
      <c r="D4" s="33"/>
      <c r="E4" s="95" t="s">
        <v>102</v>
      </c>
      <c r="F4" s="85"/>
      <c r="G4" s="96">
        <f>EQ2</f>
        <v>116761850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2.5948692747935126E-2</v>
      </c>
      <c r="EI4" s="93">
        <f>IF(EI3=0,0,360*(AVERAGE(EH11:EH40)/EI3))</f>
        <v>0</v>
      </c>
      <c r="EM4" s="93"/>
      <c r="EN4" s="93">
        <f>IF(EN3=0,0,360*(AVERAGE(EM11:EM41)/EN3))</f>
        <v>2.5948692747935126E-2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147533064.51612905</v>
      </c>
      <c r="AI5" s="100" t="s">
        <v>97</v>
      </c>
      <c r="EB5" s="101" t="s">
        <v>109</v>
      </c>
      <c r="EC5" s="101"/>
      <c r="ED5" s="85"/>
      <c r="EE5" s="85">
        <f>MAX(EB11:EB41)</f>
        <v>210600000</v>
      </c>
      <c r="EI5" s="85">
        <f>MAX(EG11:EG40)</f>
        <v>0</v>
      </c>
      <c r="EM5" s="85"/>
      <c r="EN5" s="85">
        <f>MAX(EK11:EK41)</f>
        <v>210600000</v>
      </c>
    </row>
    <row r="6" spans="1:147" x14ac:dyDescent="0.25">
      <c r="D6" s="33"/>
      <c r="E6" s="95" t="s">
        <v>107</v>
      </c>
      <c r="F6" s="85"/>
      <c r="G6" s="102">
        <f>EE4</f>
        <v>2.5948692747935126E-2</v>
      </c>
    </row>
    <row r="7" spans="1:147" ht="16.5" thickBot="1" x14ac:dyDescent="0.3">
      <c r="D7" s="33"/>
      <c r="E7" s="103" t="s">
        <v>109</v>
      </c>
      <c r="F7" s="104"/>
      <c r="G7" s="105">
        <f>EE5</f>
        <v>210600000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43647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95250000+350000</f>
        <v>95600000</v>
      </c>
      <c r="AJ11" s="121">
        <v>2.5499999999999998E-2</v>
      </c>
      <c r="AK11" s="87">
        <f>(AI11*AJ11)/360</f>
        <v>6771.666666666667</v>
      </c>
      <c r="AL11" s="120">
        <f t="shared" ref="AL11:AL17" si="0">35000000</f>
        <v>35000000</v>
      </c>
      <c r="AM11" s="121">
        <v>2.7E-2</v>
      </c>
      <c r="AN11" s="87">
        <f>(AL11*AM11)/360</f>
        <v>2625</v>
      </c>
      <c r="AO11" s="120">
        <f>30000000</f>
        <v>30000000</v>
      </c>
      <c r="AP11" s="121">
        <v>2.7199999999999998E-2</v>
      </c>
      <c r="AQ11" s="87">
        <f>(AO11*AP11)/360</f>
        <v>2266.6666666666665</v>
      </c>
      <c r="AR11" s="120">
        <f t="shared" ref="AR11:AR17" si="1">50000000</f>
        <v>50000000</v>
      </c>
      <c r="AS11" s="121">
        <v>2.63E-2</v>
      </c>
      <c r="AT11" s="87">
        <f>(AR11*AS11)/360</f>
        <v>3652.7777777777778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210600000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15316.111111111111</v>
      </c>
      <c r="EE11" s="88">
        <f>IF(EB11&lt;&gt;0,((ED11/EB11)*360),0)</f>
        <v>2.6181386514719848E-2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210600000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15316.111111111113</v>
      </c>
      <c r="EN11" s="88">
        <f>IF(EK11&lt;&gt;0,((EM11/EK11)*360),0)</f>
        <v>2.6181386514719851E-2</v>
      </c>
      <c r="EP11" s="87"/>
    </row>
    <row r="12" spans="1:147" x14ac:dyDescent="0.25">
      <c r="A12" s="35">
        <f>1+A11</f>
        <v>43648</v>
      </c>
      <c r="D12" s="87">
        <f t="shared" ref="D12:D41" si="2">(B12*C12)/360</f>
        <v>0</v>
      </c>
      <c r="G12" s="87">
        <f t="shared" ref="G12:G41" si="3">(E12*F12)/360</f>
        <v>0</v>
      </c>
      <c r="J12" s="87">
        <f t="shared" ref="J12:J41" si="4">(H12*I12)/360</f>
        <v>0</v>
      </c>
      <c r="M12" s="87">
        <f t="shared" ref="M12:M41" si="5">(K12*L12)/360</f>
        <v>0</v>
      </c>
      <c r="P12" s="87">
        <f t="shared" ref="P12:P41" si="6">(N12*O12)/360</f>
        <v>0</v>
      </c>
      <c r="S12" s="87">
        <f t="shared" ref="S12:S41" si="7">(Q12*R12)/360</f>
        <v>0</v>
      </c>
      <c r="V12" s="87">
        <f t="shared" ref="V12:V41" si="8">(T12*U12)/360</f>
        <v>0</v>
      </c>
      <c r="Y12" s="87">
        <f t="shared" ref="Y12:Y41" si="9">(W12*X12)/360</f>
        <v>0</v>
      </c>
      <c r="AB12" s="87">
        <f t="shared" ref="AB12:AB41" si="10">(Z12*AA12)/360</f>
        <v>0</v>
      </c>
      <c r="AE12" s="87">
        <v>0</v>
      </c>
      <c r="AH12" s="87">
        <v>0</v>
      </c>
      <c r="AI12" s="120">
        <f>109000000</f>
        <v>109000000</v>
      </c>
      <c r="AJ12" s="121">
        <v>2.5499999999999998E-2</v>
      </c>
      <c r="AK12" s="87">
        <f t="shared" ref="AK12:AK41" si="11">(AI12*AJ12)/360</f>
        <v>7720.833333333333</v>
      </c>
      <c r="AL12" s="120">
        <f t="shared" si="0"/>
        <v>35000000</v>
      </c>
      <c r="AM12" s="121">
        <v>2.7E-2</v>
      </c>
      <c r="AN12" s="87">
        <f t="shared" ref="AN12:AN41" si="12">(AL12*AM12)/360</f>
        <v>2625</v>
      </c>
      <c r="AO12" s="120"/>
      <c r="AP12" s="121"/>
      <c r="AQ12" s="87">
        <f t="shared" ref="AQ12:AQ41" si="13">(AO12*AP12)/360</f>
        <v>0</v>
      </c>
      <c r="AR12" s="120">
        <f t="shared" si="1"/>
        <v>50000000</v>
      </c>
      <c r="AS12" s="121">
        <v>2.63E-2</v>
      </c>
      <c r="AT12" s="87">
        <f t="shared" ref="AT12:AT41" si="14">(AR12*AS12)/360</f>
        <v>3652.7777777777778</v>
      </c>
      <c r="AW12" s="87">
        <f t="shared" ref="AW12:AW41" si="15">(AU12*AV12)/360</f>
        <v>0</v>
      </c>
      <c r="AZ12" s="87">
        <f t="shared" ref="AZ12:AZ41" si="16">(AX12*AY12)/360</f>
        <v>0</v>
      </c>
      <c r="BC12" s="87">
        <f t="shared" ref="BC12:BC41" si="17">(BA12*BB12)/360</f>
        <v>0</v>
      </c>
      <c r="BF12" s="87">
        <f t="shared" ref="BF12:BF41" si="18">(BD12*BE12)/360</f>
        <v>0</v>
      </c>
      <c r="BI12" s="87">
        <f t="shared" ref="BI12:BI41" si="19">(BG12*BH12)/360</f>
        <v>0</v>
      </c>
      <c r="BL12" s="87">
        <f t="shared" ref="BL12:BL41" si="20">(BJ12*BK12)/360</f>
        <v>0</v>
      </c>
      <c r="BO12" s="87">
        <f t="shared" ref="BO12:BO41" si="21">(BM12*BN12)/360</f>
        <v>0</v>
      </c>
      <c r="BR12" s="87">
        <f t="shared" ref="BR12:BR41" si="22">(BP12*BQ12)/360</f>
        <v>0</v>
      </c>
      <c r="BU12" s="87">
        <f t="shared" ref="BU12:BU41" si="23">(BS12*BT12)/360</f>
        <v>0</v>
      </c>
      <c r="BX12" s="87">
        <f t="shared" ref="BX12:BX41" si="24">(BV12*BW12)/360</f>
        <v>0</v>
      </c>
      <c r="CA12" s="87">
        <f t="shared" ref="CA12:CA41" si="25">(BY12*BZ12)/360</f>
        <v>0</v>
      </c>
      <c r="CD12" s="87">
        <f t="shared" ref="CD12:CD41" si="26">(CB12*CC12)/360</f>
        <v>0</v>
      </c>
      <c r="CG12" s="87">
        <f t="shared" ref="CG12:CG41" si="27">(CE12*CF12)/360</f>
        <v>0</v>
      </c>
      <c r="CJ12" s="87">
        <f t="shared" ref="CJ12:CJ41" si="28">(CH12*CI12)/360</f>
        <v>0</v>
      </c>
      <c r="CM12" s="87">
        <f t="shared" ref="CM12:CM41" si="29">(CK12*CL12)/360</f>
        <v>0</v>
      </c>
      <c r="CP12" s="87">
        <f t="shared" ref="CP12:CP41" si="30">(CN12*CO12)/360</f>
        <v>0</v>
      </c>
      <c r="CS12" s="87">
        <f t="shared" ref="CS12:CS41" si="31">(CQ12*CR12)/360</f>
        <v>0</v>
      </c>
      <c r="CV12" s="87">
        <f t="shared" ref="CV12:CV41" si="32">(CT12*CU12)/360</f>
        <v>0</v>
      </c>
      <c r="CY12" s="87">
        <f t="shared" ref="CY12:CY41" si="33">(CW12*CX12)/360</f>
        <v>0</v>
      </c>
      <c r="DB12" s="87">
        <f t="shared" ref="DB12:DB41" si="34">(CZ12*DA12)/360</f>
        <v>0</v>
      </c>
      <c r="DE12" s="87">
        <f t="shared" ref="DE12:DE41" si="35">(DC12*DD12)/360</f>
        <v>0</v>
      </c>
      <c r="DH12" s="87">
        <f t="shared" ref="DH12:DH41" si="36">(DF12*DG12)/360</f>
        <v>0</v>
      </c>
      <c r="DK12" s="87">
        <f t="shared" ref="DK12:DK41" si="37">(DI12*DJ12)/360</f>
        <v>0</v>
      </c>
      <c r="DN12" s="87">
        <f t="shared" ref="DN12:DN41" si="38">(DL12*DM12)/360</f>
        <v>0</v>
      </c>
      <c r="DQ12" s="87">
        <f t="shared" ref="DQ12:DQ41" si="39">(DO12*DP12)/360</f>
        <v>0</v>
      </c>
      <c r="DT12" s="87">
        <f t="shared" ref="DT12:DT41" si="40">(DR12*DS12)/360</f>
        <v>0</v>
      </c>
      <c r="DW12" s="87">
        <f t="shared" ref="DW12:DW41" si="41">(DU12*DV12)/360</f>
        <v>0</v>
      </c>
      <c r="DZ12" s="87"/>
      <c r="EA12" s="87"/>
      <c r="EB12" s="122">
        <f t="shared" ref="EB12:EB41" si="42">B12+E12+H12+K12+N12+Q12+T12+W12+Z12+AC12+AF12+AL12+AO12+AR12+AU12+AX12+BA12+BD12+BG12+DU12+AI12+DR12+DO12+DL12+DI12+DF12+DC12+CZ12+CW12+CT12+CQ12+CN12+CK12+CH12+CE12+CB12+BY12+BV12+BS12+BP12+BM12+BJ12</f>
        <v>194000000</v>
      </c>
      <c r="EC12" s="122">
        <f t="shared" ref="EC12:EC41" si="43">EB12-EK12+EL12</f>
        <v>0</v>
      </c>
      <c r="ED12" s="87">
        <f t="shared" ref="ED12:ED41" si="44">D12+G12+J12+M12+P12+S12+V12+Y12+AB12+AE12+AH12+AK12+AN12+AQ12+AT12+AW12+AZ12+BC12+BF12+BI12+DW12+DT12+DQ12+DN12+DK12+DH12+DE12+DB12+CY12+CV12+CS12+CP12+CM12+CJ12+CG12+CD12+CA12+BX12+BU12+BR12+BO12+BL12</f>
        <v>13998.611111111109</v>
      </c>
      <c r="EE12" s="88">
        <f t="shared" ref="EE12:EE41" si="45">IF(EB12&lt;&gt;0,((ED12/EB12)*360),0)</f>
        <v>2.5976804123711339E-2</v>
      </c>
      <c r="EG12" s="122">
        <f t="shared" ref="EG12:EG41" si="46">Q12+T12+W12+Z12+AC12+AF12</f>
        <v>0</v>
      </c>
      <c r="EH12" s="87">
        <f t="shared" ref="EH12:EH41" si="47">S12+V12+Y12+AB12+AE12+AH12</f>
        <v>0</v>
      </c>
      <c r="EI12" s="88">
        <f t="shared" ref="EI12:EI41" si="48">IF(EG12&lt;&gt;0,((EH12/EG12)*360),0)</f>
        <v>0</v>
      </c>
      <c r="EJ12" s="88"/>
      <c r="EK12" s="122">
        <f t="shared" ref="EK12:EK41" si="49">DR12+DL12+DI12+DF12+DC12+CZ12+CW12+CT12+CQ12+CN12+CK12+CH12+CE12+CB12+BY12+BV12+BS12+BP12+BM12+BJ12+BG12+BD12+BA12+AX12+AU12+AR12+AO12+AL12+AI12+DO12</f>
        <v>194000000</v>
      </c>
      <c r="EL12" s="122">
        <f t="shared" ref="EL12:EL41" si="50">DX12</f>
        <v>0</v>
      </c>
      <c r="EM12" s="122">
        <f t="shared" ref="EM12:EM41" si="51">DT12+DQ12+DN12+DK12+DH12+DE12+DB12+CY12+CV12+CS12+CP12+CM12+CJ12+CG12+CD12+CA12+BX12+BU12+BR12+BO12+BL12+BI12+BF12+BC12+AZ12+AW12+AT12+AQ12+AN12+AK12</f>
        <v>13998.611111111109</v>
      </c>
      <c r="EN12" s="88">
        <f t="shared" ref="EN12:EN41" si="52">IF(EK12&lt;&gt;0,((EM12/EK12)*360),0)</f>
        <v>2.5976804123711339E-2</v>
      </c>
      <c r="EP12" s="87"/>
    </row>
    <row r="13" spans="1:147" x14ac:dyDescent="0.25">
      <c r="A13" s="35">
        <f t="shared" ref="A13:A41" si="53">1+A12</f>
        <v>43649</v>
      </c>
      <c r="D13" s="87">
        <f t="shared" si="2"/>
        <v>0</v>
      </c>
      <c r="G13" s="87">
        <f t="shared" si="3"/>
        <v>0</v>
      </c>
      <c r="J13" s="87">
        <f t="shared" si="4"/>
        <v>0</v>
      </c>
      <c r="M13" s="87">
        <f t="shared" si="5"/>
        <v>0</v>
      </c>
      <c r="P13" s="87">
        <f t="shared" si="6"/>
        <v>0</v>
      </c>
      <c r="S13" s="87">
        <f t="shared" si="7"/>
        <v>0</v>
      </c>
      <c r="V13" s="87">
        <f t="shared" si="8"/>
        <v>0</v>
      </c>
      <c r="Y13" s="87">
        <f t="shared" si="9"/>
        <v>0</v>
      </c>
      <c r="AB13" s="87">
        <f t="shared" si="10"/>
        <v>0</v>
      </c>
      <c r="AE13" s="87">
        <v>0</v>
      </c>
      <c r="AH13" s="87">
        <v>0</v>
      </c>
      <c r="AI13" s="120">
        <f>25000000</f>
        <v>25000000</v>
      </c>
      <c r="AJ13" s="121">
        <v>2.5399999999999999E-2</v>
      </c>
      <c r="AK13" s="87">
        <f t="shared" si="11"/>
        <v>1763.8888888888889</v>
      </c>
      <c r="AL13" s="120">
        <f t="shared" si="0"/>
        <v>35000000</v>
      </c>
      <c r="AM13" s="121">
        <v>2.7E-2</v>
      </c>
      <c r="AN13" s="87">
        <f t="shared" si="12"/>
        <v>2625</v>
      </c>
      <c r="AO13" s="120">
        <v>74275000</v>
      </c>
      <c r="AP13" s="121">
        <v>2.5399999999999999E-2</v>
      </c>
      <c r="AQ13" s="87">
        <f t="shared" si="13"/>
        <v>5240.5138888888887</v>
      </c>
      <c r="AR13" s="120">
        <f t="shared" si="1"/>
        <v>50000000</v>
      </c>
      <c r="AS13" s="121">
        <v>2.63E-2</v>
      </c>
      <c r="AT13" s="87">
        <f t="shared" si="14"/>
        <v>3652.7777777777778</v>
      </c>
      <c r="AW13" s="87">
        <f t="shared" si="15"/>
        <v>0</v>
      </c>
      <c r="AZ13" s="87">
        <f t="shared" si="16"/>
        <v>0</v>
      </c>
      <c r="BC13" s="87">
        <f t="shared" si="17"/>
        <v>0</v>
      </c>
      <c r="BF13" s="87">
        <f t="shared" si="18"/>
        <v>0</v>
      </c>
      <c r="BI13" s="87">
        <f t="shared" si="19"/>
        <v>0</v>
      </c>
      <c r="BL13" s="87">
        <f t="shared" si="20"/>
        <v>0</v>
      </c>
      <c r="BO13" s="87">
        <f t="shared" si="21"/>
        <v>0</v>
      </c>
      <c r="BR13" s="87">
        <f t="shared" si="22"/>
        <v>0</v>
      </c>
      <c r="BU13" s="87">
        <f t="shared" si="23"/>
        <v>0</v>
      </c>
      <c r="BX13" s="87">
        <f t="shared" si="24"/>
        <v>0</v>
      </c>
      <c r="CA13" s="87">
        <f t="shared" si="25"/>
        <v>0</v>
      </c>
      <c r="CD13" s="87">
        <f t="shared" si="26"/>
        <v>0</v>
      </c>
      <c r="CG13" s="87">
        <f t="shared" si="27"/>
        <v>0</v>
      </c>
      <c r="CJ13" s="87">
        <f t="shared" si="28"/>
        <v>0</v>
      </c>
      <c r="CM13" s="87">
        <f t="shared" si="29"/>
        <v>0</v>
      </c>
      <c r="CP13" s="87">
        <f t="shared" si="30"/>
        <v>0</v>
      </c>
      <c r="CS13" s="87">
        <f t="shared" si="31"/>
        <v>0</v>
      </c>
      <c r="CV13" s="87">
        <f t="shared" si="32"/>
        <v>0</v>
      </c>
      <c r="CY13" s="87">
        <f t="shared" si="33"/>
        <v>0</v>
      </c>
      <c r="DB13" s="87">
        <f t="shared" si="34"/>
        <v>0</v>
      </c>
      <c r="DE13" s="87">
        <f t="shared" si="35"/>
        <v>0</v>
      </c>
      <c r="DH13" s="87">
        <f t="shared" si="36"/>
        <v>0</v>
      </c>
      <c r="DK13" s="87">
        <f t="shared" si="37"/>
        <v>0</v>
      </c>
      <c r="DN13" s="87">
        <f t="shared" si="38"/>
        <v>0</v>
      </c>
      <c r="DQ13" s="87">
        <f t="shared" si="39"/>
        <v>0</v>
      </c>
      <c r="DT13" s="87">
        <f t="shared" si="40"/>
        <v>0</v>
      </c>
      <c r="DW13" s="87">
        <f t="shared" si="41"/>
        <v>0</v>
      </c>
      <c r="DZ13" s="87"/>
      <c r="EA13" s="87"/>
      <c r="EB13" s="122">
        <f t="shared" si="42"/>
        <v>184275000</v>
      </c>
      <c r="EC13" s="122">
        <f t="shared" si="43"/>
        <v>0</v>
      </c>
      <c r="ED13" s="87">
        <f t="shared" si="44"/>
        <v>13282.180555555555</v>
      </c>
      <c r="EE13" s="88">
        <f t="shared" si="45"/>
        <v>2.5948093881427211E-2</v>
      </c>
      <c r="EG13" s="122">
        <f t="shared" si="46"/>
        <v>0</v>
      </c>
      <c r="EH13" s="87">
        <f t="shared" si="47"/>
        <v>0</v>
      </c>
      <c r="EI13" s="88">
        <f t="shared" si="48"/>
        <v>0</v>
      </c>
      <c r="EJ13" s="88"/>
      <c r="EK13" s="122">
        <f t="shared" si="49"/>
        <v>184275000</v>
      </c>
      <c r="EL13" s="122">
        <f t="shared" si="50"/>
        <v>0</v>
      </c>
      <c r="EM13" s="122">
        <f t="shared" si="51"/>
        <v>13282.180555555555</v>
      </c>
      <c r="EN13" s="88">
        <f t="shared" si="52"/>
        <v>2.5948093881427211E-2</v>
      </c>
      <c r="EP13" s="87"/>
    </row>
    <row r="14" spans="1:147" x14ac:dyDescent="0.25">
      <c r="A14" s="35">
        <f t="shared" si="53"/>
        <v>43650</v>
      </c>
      <c r="D14" s="87">
        <f t="shared" si="2"/>
        <v>0</v>
      </c>
      <c r="G14" s="87">
        <f t="shared" si="3"/>
        <v>0</v>
      </c>
      <c r="J14" s="87">
        <f t="shared" si="4"/>
        <v>0</v>
      </c>
      <c r="M14" s="87">
        <f t="shared" si="5"/>
        <v>0</v>
      </c>
      <c r="P14" s="87">
        <f t="shared" si="6"/>
        <v>0</v>
      </c>
      <c r="S14" s="87">
        <f t="shared" si="7"/>
        <v>0</v>
      </c>
      <c r="V14" s="87">
        <f t="shared" si="8"/>
        <v>0</v>
      </c>
      <c r="Y14" s="87">
        <f t="shared" si="9"/>
        <v>0</v>
      </c>
      <c r="AB14" s="87">
        <f t="shared" si="10"/>
        <v>0</v>
      </c>
      <c r="AE14" s="87">
        <v>0</v>
      </c>
      <c r="AH14" s="87">
        <v>0</v>
      </c>
      <c r="AI14" s="120">
        <f>25000000</f>
        <v>25000000</v>
      </c>
      <c r="AJ14" s="121">
        <v>2.5399999999999999E-2</v>
      </c>
      <c r="AK14" s="87">
        <f t="shared" si="11"/>
        <v>1763.8888888888889</v>
      </c>
      <c r="AL14" s="120">
        <f t="shared" si="0"/>
        <v>35000000</v>
      </c>
      <c r="AM14" s="121">
        <v>2.7E-2</v>
      </c>
      <c r="AN14" s="87">
        <f t="shared" si="12"/>
        <v>2625</v>
      </c>
      <c r="AO14" s="120">
        <v>74275000</v>
      </c>
      <c r="AP14" s="121">
        <v>2.5399999999999999E-2</v>
      </c>
      <c r="AQ14" s="87">
        <f t="shared" si="13"/>
        <v>5240.5138888888887</v>
      </c>
      <c r="AR14" s="120">
        <f t="shared" si="1"/>
        <v>50000000</v>
      </c>
      <c r="AS14" s="121">
        <v>2.63E-2</v>
      </c>
      <c r="AT14" s="87">
        <f t="shared" si="14"/>
        <v>3652.7777777777778</v>
      </c>
      <c r="AW14" s="87">
        <f t="shared" si="15"/>
        <v>0</v>
      </c>
      <c r="AZ14" s="87">
        <f t="shared" si="16"/>
        <v>0</v>
      </c>
      <c r="BC14" s="87">
        <f t="shared" si="17"/>
        <v>0</v>
      </c>
      <c r="BF14" s="87">
        <f t="shared" si="18"/>
        <v>0</v>
      </c>
      <c r="BI14" s="87">
        <f t="shared" si="19"/>
        <v>0</v>
      </c>
      <c r="BL14" s="87">
        <f t="shared" si="20"/>
        <v>0</v>
      </c>
      <c r="BO14" s="87">
        <f t="shared" si="21"/>
        <v>0</v>
      </c>
      <c r="BR14" s="87">
        <f t="shared" si="22"/>
        <v>0</v>
      </c>
      <c r="BU14" s="87">
        <f t="shared" si="23"/>
        <v>0</v>
      </c>
      <c r="BX14" s="87">
        <f t="shared" si="24"/>
        <v>0</v>
      </c>
      <c r="CA14" s="87">
        <f t="shared" si="25"/>
        <v>0</v>
      </c>
      <c r="CD14" s="87">
        <f t="shared" si="26"/>
        <v>0</v>
      </c>
      <c r="CG14" s="87">
        <f t="shared" si="27"/>
        <v>0</v>
      </c>
      <c r="CJ14" s="87">
        <f t="shared" si="28"/>
        <v>0</v>
      </c>
      <c r="CM14" s="87">
        <f t="shared" si="29"/>
        <v>0</v>
      </c>
      <c r="CP14" s="87">
        <f t="shared" si="30"/>
        <v>0</v>
      </c>
      <c r="CS14" s="87">
        <f t="shared" si="31"/>
        <v>0</v>
      </c>
      <c r="CV14" s="87">
        <f t="shared" si="32"/>
        <v>0</v>
      </c>
      <c r="CY14" s="87">
        <f t="shared" si="33"/>
        <v>0</v>
      </c>
      <c r="DB14" s="87">
        <f t="shared" si="34"/>
        <v>0</v>
      </c>
      <c r="DE14" s="87">
        <f t="shared" si="35"/>
        <v>0</v>
      </c>
      <c r="DH14" s="87">
        <f t="shared" si="36"/>
        <v>0</v>
      </c>
      <c r="DK14" s="87">
        <f t="shared" si="37"/>
        <v>0</v>
      </c>
      <c r="DN14" s="87">
        <f t="shared" si="38"/>
        <v>0</v>
      </c>
      <c r="DQ14" s="87">
        <f t="shared" si="39"/>
        <v>0</v>
      </c>
      <c r="DT14" s="87">
        <f t="shared" si="40"/>
        <v>0</v>
      </c>
      <c r="DW14" s="87">
        <f t="shared" si="41"/>
        <v>0</v>
      </c>
      <c r="DZ14" s="87"/>
      <c r="EA14" s="87"/>
      <c r="EB14" s="122">
        <f t="shared" si="42"/>
        <v>184275000</v>
      </c>
      <c r="EC14" s="122">
        <f t="shared" si="43"/>
        <v>0</v>
      </c>
      <c r="ED14" s="87">
        <f t="shared" si="44"/>
        <v>13282.180555555555</v>
      </c>
      <c r="EE14" s="88">
        <f t="shared" si="45"/>
        <v>2.5948093881427211E-2</v>
      </c>
      <c r="EG14" s="122">
        <f t="shared" si="46"/>
        <v>0</v>
      </c>
      <c r="EH14" s="87">
        <f t="shared" si="47"/>
        <v>0</v>
      </c>
      <c r="EI14" s="88">
        <f t="shared" si="48"/>
        <v>0</v>
      </c>
      <c r="EJ14" s="88"/>
      <c r="EK14" s="122">
        <f t="shared" si="49"/>
        <v>184275000</v>
      </c>
      <c r="EL14" s="122">
        <f t="shared" si="50"/>
        <v>0</v>
      </c>
      <c r="EM14" s="122">
        <f t="shared" si="51"/>
        <v>13282.180555555555</v>
      </c>
      <c r="EN14" s="88">
        <f t="shared" si="52"/>
        <v>2.5948093881427211E-2</v>
      </c>
      <c r="EP14" s="87"/>
    </row>
    <row r="15" spans="1:147" x14ac:dyDescent="0.25">
      <c r="A15" s="35">
        <f t="shared" si="53"/>
        <v>43651</v>
      </c>
      <c r="D15" s="87">
        <f t="shared" si="2"/>
        <v>0</v>
      </c>
      <c r="G15" s="87">
        <f t="shared" si="3"/>
        <v>0</v>
      </c>
      <c r="J15" s="87">
        <f t="shared" si="4"/>
        <v>0</v>
      </c>
      <c r="M15" s="87">
        <f t="shared" si="5"/>
        <v>0</v>
      </c>
      <c r="P15" s="87">
        <f t="shared" si="6"/>
        <v>0</v>
      </c>
      <c r="S15" s="87">
        <f t="shared" si="7"/>
        <v>0</v>
      </c>
      <c r="V15" s="87">
        <f t="shared" si="8"/>
        <v>0</v>
      </c>
      <c r="Y15" s="87">
        <f t="shared" si="9"/>
        <v>0</v>
      </c>
      <c r="AB15" s="87">
        <f t="shared" si="10"/>
        <v>0</v>
      </c>
      <c r="AE15" s="87">
        <v>0</v>
      </c>
      <c r="AH15" s="87">
        <v>0</v>
      </c>
      <c r="AI15" s="120">
        <f>22675000+425000</f>
        <v>23100000</v>
      </c>
      <c r="AJ15" s="121">
        <v>2.5399999999999999E-2</v>
      </c>
      <c r="AK15" s="87">
        <f t="shared" si="11"/>
        <v>1629.8333333333333</v>
      </c>
      <c r="AL15" s="120">
        <f t="shared" si="0"/>
        <v>35000000</v>
      </c>
      <c r="AM15" s="121">
        <v>2.7E-2</v>
      </c>
      <c r="AN15" s="87">
        <f t="shared" si="12"/>
        <v>2625</v>
      </c>
      <c r="AO15" s="120">
        <v>74275000</v>
      </c>
      <c r="AP15" s="121">
        <v>2.5399999999999999E-2</v>
      </c>
      <c r="AQ15" s="87">
        <f t="shared" si="13"/>
        <v>5240.5138888888887</v>
      </c>
      <c r="AR15" s="120">
        <f t="shared" si="1"/>
        <v>50000000</v>
      </c>
      <c r="AS15" s="121">
        <v>2.63E-2</v>
      </c>
      <c r="AT15" s="87">
        <f t="shared" si="14"/>
        <v>3652.7777777777778</v>
      </c>
      <c r="AW15" s="87">
        <f t="shared" si="15"/>
        <v>0</v>
      </c>
      <c r="AZ15" s="87">
        <f t="shared" si="16"/>
        <v>0</v>
      </c>
      <c r="BC15" s="87">
        <f t="shared" si="17"/>
        <v>0</v>
      </c>
      <c r="BF15" s="87">
        <f t="shared" si="18"/>
        <v>0</v>
      </c>
      <c r="BI15" s="87">
        <f t="shared" si="19"/>
        <v>0</v>
      </c>
      <c r="BL15" s="87">
        <f t="shared" si="20"/>
        <v>0</v>
      </c>
      <c r="BO15" s="87">
        <f t="shared" si="21"/>
        <v>0</v>
      </c>
      <c r="BR15" s="87">
        <f t="shared" si="22"/>
        <v>0</v>
      </c>
      <c r="BU15" s="87">
        <f t="shared" si="23"/>
        <v>0</v>
      </c>
      <c r="BX15" s="87">
        <f t="shared" si="24"/>
        <v>0</v>
      </c>
      <c r="CA15" s="87">
        <f t="shared" si="25"/>
        <v>0</v>
      </c>
      <c r="CD15" s="87">
        <f t="shared" si="26"/>
        <v>0</v>
      </c>
      <c r="CG15" s="87">
        <f t="shared" si="27"/>
        <v>0</v>
      </c>
      <c r="CJ15" s="87">
        <f t="shared" si="28"/>
        <v>0</v>
      </c>
      <c r="CM15" s="87">
        <f t="shared" si="29"/>
        <v>0</v>
      </c>
      <c r="CP15" s="87">
        <f t="shared" si="30"/>
        <v>0</v>
      </c>
      <c r="CS15" s="87">
        <f t="shared" si="31"/>
        <v>0</v>
      </c>
      <c r="CV15" s="87">
        <f t="shared" si="32"/>
        <v>0</v>
      </c>
      <c r="CY15" s="87">
        <f t="shared" si="33"/>
        <v>0</v>
      </c>
      <c r="DB15" s="87">
        <f t="shared" si="34"/>
        <v>0</v>
      </c>
      <c r="DE15" s="87">
        <f t="shared" si="35"/>
        <v>0</v>
      </c>
      <c r="DH15" s="87">
        <f t="shared" si="36"/>
        <v>0</v>
      </c>
      <c r="DK15" s="87">
        <f t="shared" si="37"/>
        <v>0</v>
      </c>
      <c r="DN15" s="87">
        <f t="shared" si="38"/>
        <v>0</v>
      </c>
      <c r="DQ15" s="87">
        <f t="shared" si="39"/>
        <v>0</v>
      </c>
      <c r="DT15" s="87">
        <f t="shared" si="40"/>
        <v>0</v>
      </c>
      <c r="DW15" s="87">
        <f t="shared" si="41"/>
        <v>0</v>
      </c>
      <c r="DZ15" s="87"/>
      <c r="EA15" s="87"/>
      <c r="EB15" s="122">
        <f t="shared" si="42"/>
        <v>182375000</v>
      </c>
      <c r="EC15" s="122">
        <f t="shared" si="43"/>
        <v>0</v>
      </c>
      <c r="ED15" s="87">
        <f t="shared" si="44"/>
        <v>13148.125</v>
      </c>
      <c r="EE15" s="88">
        <f t="shared" si="45"/>
        <v>2.5953803975325568E-2</v>
      </c>
      <c r="EG15" s="122">
        <f t="shared" si="46"/>
        <v>0</v>
      </c>
      <c r="EH15" s="87">
        <f t="shared" si="47"/>
        <v>0</v>
      </c>
      <c r="EI15" s="88">
        <f t="shared" si="48"/>
        <v>0</v>
      </c>
      <c r="EJ15" s="88"/>
      <c r="EK15" s="122">
        <f t="shared" si="49"/>
        <v>182375000</v>
      </c>
      <c r="EL15" s="122">
        <f t="shared" si="50"/>
        <v>0</v>
      </c>
      <c r="EM15" s="122">
        <f t="shared" si="51"/>
        <v>13148.125</v>
      </c>
      <c r="EN15" s="88">
        <f t="shared" si="52"/>
        <v>2.5953803975325568E-2</v>
      </c>
      <c r="EP15" s="87"/>
    </row>
    <row r="16" spans="1:147" x14ac:dyDescent="0.25">
      <c r="A16" s="35">
        <f t="shared" si="53"/>
        <v>43652</v>
      </c>
      <c r="D16" s="87">
        <f t="shared" si="2"/>
        <v>0</v>
      </c>
      <c r="G16" s="87">
        <f t="shared" si="3"/>
        <v>0</v>
      </c>
      <c r="J16" s="87">
        <f t="shared" si="4"/>
        <v>0</v>
      </c>
      <c r="M16" s="87">
        <f t="shared" si="5"/>
        <v>0</v>
      </c>
      <c r="P16" s="87">
        <f t="shared" si="6"/>
        <v>0</v>
      </c>
      <c r="S16" s="87">
        <f t="shared" si="7"/>
        <v>0</v>
      </c>
      <c r="V16" s="87">
        <f t="shared" si="8"/>
        <v>0</v>
      </c>
      <c r="Y16" s="87">
        <f t="shared" si="9"/>
        <v>0</v>
      </c>
      <c r="AB16" s="87">
        <f t="shared" si="10"/>
        <v>0</v>
      </c>
      <c r="AE16" s="87">
        <v>0</v>
      </c>
      <c r="AH16" s="87">
        <v>0</v>
      </c>
      <c r="AI16" s="120">
        <f>22675000+425000</f>
        <v>23100000</v>
      </c>
      <c r="AJ16" s="121">
        <v>2.5399999999999999E-2</v>
      </c>
      <c r="AK16" s="87">
        <f t="shared" si="11"/>
        <v>1629.8333333333333</v>
      </c>
      <c r="AL16" s="120">
        <f t="shared" si="0"/>
        <v>35000000</v>
      </c>
      <c r="AM16" s="121">
        <v>2.7E-2</v>
      </c>
      <c r="AN16" s="87">
        <f t="shared" si="12"/>
        <v>2625</v>
      </c>
      <c r="AO16" s="120">
        <v>74275000</v>
      </c>
      <c r="AP16" s="121">
        <v>2.5399999999999999E-2</v>
      </c>
      <c r="AQ16" s="87">
        <f t="shared" si="13"/>
        <v>5240.5138888888887</v>
      </c>
      <c r="AR16" s="120">
        <f t="shared" si="1"/>
        <v>50000000</v>
      </c>
      <c r="AS16" s="121">
        <v>2.63E-2</v>
      </c>
      <c r="AT16" s="87">
        <f t="shared" si="14"/>
        <v>3652.7777777777778</v>
      </c>
      <c r="AW16" s="87">
        <f t="shared" si="15"/>
        <v>0</v>
      </c>
      <c r="AZ16" s="87">
        <f t="shared" si="16"/>
        <v>0</v>
      </c>
      <c r="BC16" s="87">
        <f t="shared" si="17"/>
        <v>0</v>
      </c>
      <c r="BF16" s="87">
        <f t="shared" si="18"/>
        <v>0</v>
      </c>
      <c r="BI16" s="87">
        <f t="shared" si="19"/>
        <v>0</v>
      </c>
      <c r="BL16" s="87">
        <f t="shared" si="20"/>
        <v>0</v>
      </c>
      <c r="BO16" s="87">
        <f t="shared" si="21"/>
        <v>0</v>
      </c>
      <c r="BR16" s="87">
        <f t="shared" si="22"/>
        <v>0</v>
      </c>
      <c r="BU16" s="87">
        <f t="shared" si="23"/>
        <v>0</v>
      </c>
      <c r="BX16" s="87">
        <f t="shared" si="24"/>
        <v>0</v>
      </c>
      <c r="CA16" s="87">
        <f t="shared" si="25"/>
        <v>0</v>
      </c>
      <c r="CD16" s="87">
        <f t="shared" si="26"/>
        <v>0</v>
      </c>
      <c r="CG16" s="87">
        <f t="shared" si="27"/>
        <v>0</v>
      </c>
      <c r="CJ16" s="87">
        <f t="shared" si="28"/>
        <v>0</v>
      </c>
      <c r="CM16" s="87">
        <f t="shared" si="29"/>
        <v>0</v>
      </c>
      <c r="CP16" s="87">
        <f t="shared" si="30"/>
        <v>0</v>
      </c>
      <c r="CS16" s="87">
        <f t="shared" si="31"/>
        <v>0</v>
      </c>
      <c r="CV16" s="87">
        <f t="shared" si="32"/>
        <v>0</v>
      </c>
      <c r="CY16" s="87">
        <f t="shared" si="33"/>
        <v>0</v>
      </c>
      <c r="DB16" s="87">
        <f t="shared" si="34"/>
        <v>0</v>
      </c>
      <c r="DE16" s="87">
        <f t="shared" si="35"/>
        <v>0</v>
      </c>
      <c r="DH16" s="87">
        <f t="shared" si="36"/>
        <v>0</v>
      </c>
      <c r="DK16" s="87">
        <f t="shared" si="37"/>
        <v>0</v>
      </c>
      <c r="DN16" s="87">
        <f t="shared" si="38"/>
        <v>0</v>
      </c>
      <c r="DQ16" s="87">
        <f t="shared" si="39"/>
        <v>0</v>
      </c>
      <c r="DT16" s="87">
        <f t="shared" si="40"/>
        <v>0</v>
      </c>
      <c r="DW16" s="87">
        <f t="shared" si="41"/>
        <v>0</v>
      </c>
      <c r="DZ16" s="87"/>
      <c r="EA16" s="87"/>
      <c r="EB16" s="122">
        <f t="shared" si="42"/>
        <v>182375000</v>
      </c>
      <c r="EC16" s="122">
        <f t="shared" si="43"/>
        <v>0</v>
      </c>
      <c r="ED16" s="87">
        <f t="shared" si="44"/>
        <v>13148.125</v>
      </c>
      <c r="EE16" s="88">
        <f t="shared" si="45"/>
        <v>2.5953803975325568E-2</v>
      </c>
      <c r="EG16" s="122">
        <f t="shared" si="46"/>
        <v>0</v>
      </c>
      <c r="EH16" s="87">
        <f t="shared" si="47"/>
        <v>0</v>
      </c>
      <c r="EI16" s="88">
        <f t="shared" si="48"/>
        <v>0</v>
      </c>
      <c r="EJ16" s="88"/>
      <c r="EK16" s="122">
        <f t="shared" si="49"/>
        <v>182375000</v>
      </c>
      <c r="EL16" s="122">
        <f t="shared" si="50"/>
        <v>0</v>
      </c>
      <c r="EM16" s="122">
        <f t="shared" si="51"/>
        <v>13148.125</v>
      </c>
      <c r="EN16" s="88">
        <f t="shared" si="52"/>
        <v>2.5953803975325568E-2</v>
      </c>
      <c r="EP16" s="87"/>
    </row>
    <row r="17" spans="1:146" x14ac:dyDescent="0.25">
      <c r="A17" s="35">
        <f t="shared" si="53"/>
        <v>43653</v>
      </c>
      <c r="D17" s="87">
        <f t="shared" si="2"/>
        <v>0</v>
      </c>
      <c r="G17" s="87">
        <f t="shared" si="3"/>
        <v>0</v>
      </c>
      <c r="J17" s="87">
        <f t="shared" si="4"/>
        <v>0</v>
      </c>
      <c r="M17" s="87">
        <f t="shared" si="5"/>
        <v>0</v>
      </c>
      <c r="P17" s="87">
        <f t="shared" si="6"/>
        <v>0</v>
      </c>
      <c r="S17" s="87">
        <f t="shared" si="7"/>
        <v>0</v>
      </c>
      <c r="V17" s="87">
        <f t="shared" si="8"/>
        <v>0</v>
      </c>
      <c r="Y17" s="87">
        <f t="shared" si="9"/>
        <v>0</v>
      </c>
      <c r="AB17" s="87">
        <f t="shared" si="10"/>
        <v>0</v>
      </c>
      <c r="AE17" s="87">
        <v>0</v>
      </c>
      <c r="AH17" s="87">
        <v>0</v>
      </c>
      <c r="AI17" s="120">
        <f>22675000+425000</f>
        <v>23100000</v>
      </c>
      <c r="AJ17" s="121">
        <v>2.5399999999999999E-2</v>
      </c>
      <c r="AK17" s="87">
        <f t="shared" si="11"/>
        <v>1629.8333333333333</v>
      </c>
      <c r="AL17" s="120">
        <f t="shared" si="0"/>
        <v>35000000</v>
      </c>
      <c r="AM17" s="121">
        <v>2.7E-2</v>
      </c>
      <c r="AN17" s="87">
        <f t="shared" si="12"/>
        <v>2625</v>
      </c>
      <c r="AO17" s="120">
        <v>74275000</v>
      </c>
      <c r="AP17" s="121">
        <v>2.5399999999999999E-2</v>
      </c>
      <c r="AQ17" s="87">
        <f t="shared" si="13"/>
        <v>5240.5138888888887</v>
      </c>
      <c r="AR17" s="120">
        <f t="shared" si="1"/>
        <v>50000000</v>
      </c>
      <c r="AS17" s="121">
        <v>2.63E-2</v>
      </c>
      <c r="AT17" s="87">
        <f t="shared" si="14"/>
        <v>3652.7777777777778</v>
      </c>
      <c r="AW17" s="87">
        <f t="shared" si="15"/>
        <v>0</v>
      </c>
      <c r="AZ17" s="87">
        <f t="shared" si="16"/>
        <v>0</v>
      </c>
      <c r="BC17" s="87">
        <f t="shared" si="17"/>
        <v>0</v>
      </c>
      <c r="BF17" s="87">
        <f t="shared" si="18"/>
        <v>0</v>
      </c>
      <c r="BI17" s="87">
        <f t="shared" si="19"/>
        <v>0</v>
      </c>
      <c r="BL17" s="87">
        <f t="shared" si="20"/>
        <v>0</v>
      </c>
      <c r="BO17" s="87">
        <f t="shared" si="21"/>
        <v>0</v>
      </c>
      <c r="BR17" s="87">
        <f t="shared" si="22"/>
        <v>0</v>
      </c>
      <c r="BU17" s="87">
        <f t="shared" si="23"/>
        <v>0</v>
      </c>
      <c r="BX17" s="87">
        <f t="shared" si="24"/>
        <v>0</v>
      </c>
      <c r="CA17" s="87">
        <f t="shared" si="25"/>
        <v>0</v>
      </c>
      <c r="CD17" s="87">
        <f t="shared" si="26"/>
        <v>0</v>
      </c>
      <c r="CG17" s="87">
        <f t="shared" si="27"/>
        <v>0</v>
      </c>
      <c r="CJ17" s="87">
        <f t="shared" si="28"/>
        <v>0</v>
      </c>
      <c r="CM17" s="87">
        <f t="shared" si="29"/>
        <v>0</v>
      </c>
      <c r="CP17" s="87">
        <f t="shared" si="30"/>
        <v>0</v>
      </c>
      <c r="CS17" s="87">
        <f t="shared" si="31"/>
        <v>0</v>
      </c>
      <c r="CV17" s="87">
        <f t="shared" si="32"/>
        <v>0</v>
      </c>
      <c r="CY17" s="87">
        <f t="shared" si="33"/>
        <v>0</v>
      </c>
      <c r="DB17" s="87">
        <f t="shared" si="34"/>
        <v>0</v>
      </c>
      <c r="DE17" s="87">
        <f t="shared" si="35"/>
        <v>0</v>
      </c>
      <c r="DH17" s="87">
        <f t="shared" si="36"/>
        <v>0</v>
      </c>
      <c r="DK17" s="87">
        <f t="shared" si="37"/>
        <v>0</v>
      </c>
      <c r="DN17" s="87">
        <f t="shared" si="38"/>
        <v>0</v>
      </c>
      <c r="DQ17" s="87">
        <f t="shared" si="39"/>
        <v>0</v>
      </c>
      <c r="DT17" s="87">
        <f t="shared" si="40"/>
        <v>0</v>
      </c>
      <c r="DW17" s="87">
        <f t="shared" si="41"/>
        <v>0</v>
      </c>
      <c r="DZ17" s="87"/>
      <c r="EA17" s="87"/>
      <c r="EB17" s="122">
        <f t="shared" si="42"/>
        <v>182375000</v>
      </c>
      <c r="EC17" s="122">
        <f t="shared" si="43"/>
        <v>0</v>
      </c>
      <c r="ED17" s="87">
        <f t="shared" si="44"/>
        <v>13148.125</v>
      </c>
      <c r="EE17" s="88">
        <f t="shared" si="45"/>
        <v>2.5953803975325568E-2</v>
      </c>
      <c r="EG17" s="122">
        <f t="shared" si="46"/>
        <v>0</v>
      </c>
      <c r="EH17" s="87">
        <f t="shared" si="47"/>
        <v>0</v>
      </c>
      <c r="EI17" s="88">
        <f t="shared" si="48"/>
        <v>0</v>
      </c>
      <c r="EJ17" s="88"/>
      <c r="EK17" s="122">
        <f t="shared" si="49"/>
        <v>182375000</v>
      </c>
      <c r="EL17" s="122">
        <f t="shared" si="50"/>
        <v>0</v>
      </c>
      <c r="EM17" s="122">
        <f t="shared" si="51"/>
        <v>13148.125</v>
      </c>
      <c r="EN17" s="88">
        <f t="shared" si="52"/>
        <v>2.5953803975325568E-2</v>
      </c>
      <c r="EP17" s="87"/>
    </row>
    <row r="18" spans="1:146" x14ac:dyDescent="0.25">
      <c r="A18" s="35">
        <f t="shared" si="53"/>
        <v>43654</v>
      </c>
      <c r="D18" s="87">
        <f t="shared" si="2"/>
        <v>0</v>
      </c>
      <c r="G18" s="87">
        <f t="shared" si="3"/>
        <v>0</v>
      </c>
      <c r="J18" s="87">
        <f t="shared" si="4"/>
        <v>0</v>
      </c>
      <c r="M18" s="87">
        <f t="shared" si="5"/>
        <v>0</v>
      </c>
      <c r="P18" s="87">
        <f t="shared" si="6"/>
        <v>0</v>
      </c>
      <c r="S18" s="87">
        <f t="shared" si="7"/>
        <v>0</v>
      </c>
      <c r="V18" s="87">
        <f t="shared" si="8"/>
        <v>0</v>
      </c>
      <c r="Y18" s="87">
        <f t="shared" si="9"/>
        <v>0</v>
      </c>
      <c r="AB18" s="87">
        <f t="shared" si="10"/>
        <v>0</v>
      </c>
      <c r="AE18" s="87">
        <v>0</v>
      </c>
      <c r="AH18" s="87">
        <v>0</v>
      </c>
      <c r="AI18" s="120">
        <f>97150000</f>
        <v>97150000</v>
      </c>
      <c r="AJ18" s="121">
        <v>2.5399999999999999E-2</v>
      </c>
      <c r="AK18" s="87">
        <f t="shared" si="11"/>
        <v>6854.4722222222226</v>
      </c>
      <c r="AL18" s="120"/>
      <c r="AM18" s="121"/>
      <c r="AN18" s="87">
        <f t="shared" si="12"/>
        <v>0</v>
      </c>
      <c r="AO18" s="120"/>
      <c r="AP18" s="121"/>
      <c r="AQ18" s="87">
        <f t="shared" si="13"/>
        <v>0</v>
      </c>
      <c r="AR18" s="120">
        <f t="shared" ref="AR18:AR41" si="54">50000000+30000000</f>
        <v>80000000</v>
      </c>
      <c r="AS18" s="121">
        <v>2.63E-2</v>
      </c>
      <c r="AT18" s="87">
        <f t="shared" si="14"/>
        <v>5844.4444444444443</v>
      </c>
      <c r="AW18" s="87">
        <f t="shared" si="15"/>
        <v>0</v>
      </c>
      <c r="AZ18" s="87">
        <f t="shared" si="16"/>
        <v>0</v>
      </c>
      <c r="BC18" s="87">
        <f t="shared" si="17"/>
        <v>0</v>
      </c>
      <c r="BF18" s="87">
        <f t="shared" si="18"/>
        <v>0</v>
      </c>
      <c r="BI18" s="87">
        <f t="shared" si="19"/>
        <v>0</v>
      </c>
      <c r="BL18" s="87">
        <f t="shared" si="20"/>
        <v>0</v>
      </c>
      <c r="BO18" s="87">
        <f t="shared" si="21"/>
        <v>0</v>
      </c>
      <c r="BR18" s="87">
        <f t="shared" si="22"/>
        <v>0</v>
      </c>
      <c r="BU18" s="87">
        <f t="shared" si="23"/>
        <v>0</v>
      </c>
      <c r="BX18" s="87">
        <f t="shared" si="24"/>
        <v>0</v>
      </c>
      <c r="CA18" s="87">
        <f t="shared" si="25"/>
        <v>0</v>
      </c>
      <c r="CD18" s="87">
        <f t="shared" si="26"/>
        <v>0</v>
      </c>
      <c r="CG18" s="87">
        <f t="shared" si="27"/>
        <v>0</v>
      </c>
      <c r="CJ18" s="87">
        <f t="shared" si="28"/>
        <v>0</v>
      </c>
      <c r="CM18" s="87">
        <f t="shared" si="29"/>
        <v>0</v>
      </c>
      <c r="CP18" s="87">
        <f t="shared" si="30"/>
        <v>0</v>
      </c>
      <c r="CS18" s="87">
        <f t="shared" si="31"/>
        <v>0</v>
      </c>
      <c r="CV18" s="87">
        <f t="shared" si="32"/>
        <v>0</v>
      </c>
      <c r="CY18" s="87">
        <f t="shared" si="33"/>
        <v>0</v>
      </c>
      <c r="DB18" s="87">
        <f t="shared" si="34"/>
        <v>0</v>
      </c>
      <c r="DE18" s="87">
        <f t="shared" si="35"/>
        <v>0</v>
      </c>
      <c r="DH18" s="87">
        <f t="shared" si="36"/>
        <v>0</v>
      </c>
      <c r="DK18" s="87">
        <f t="shared" si="37"/>
        <v>0</v>
      </c>
      <c r="DN18" s="87">
        <f t="shared" si="38"/>
        <v>0</v>
      </c>
      <c r="DQ18" s="87">
        <f t="shared" si="39"/>
        <v>0</v>
      </c>
      <c r="DT18" s="87">
        <f t="shared" si="40"/>
        <v>0</v>
      </c>
      <c r="DW18" s="87">
        <f t="shared" si="41"/>
        <v>0</v>
      </c>
      <c r="DZ18" s="87"/>
      <c r="EA18" s="87"/>
      <c r="EB18" s="122">
        <f t="shared" si="42"/>
        <v>177150000</v>
      </c>
      <c r="EC18" s="122">
        <f t="shared" si="43"/>
        <v>0</v>
      </c>
      <c r="ED18" s="87">
        <f t="shared" si="44"/>
        <v>12698.916666666668</v>
      </c>
      <c r="EE18" s="88">
        <f t="shared" si="45"/>
        <v>2.5806435224386116E-2</v>
      </c>
      <c r="EG18" s="122">
        <f t="shared" si="46"/>
        <v>0</v>
      </c>
      <c r="EH18" s="87">
        <f t="shared" si="47"/>
        <v>0</v>
      </c>
      <c r="EI18" s="88">
        <f t="shared" si="48"/>
        <v>0</v>
      </c>
      <c r="EJ18" s="88"/>
      <c r="EK18" s="122">
        <f t="shared" si="49"/>
        <v>177150000</v>
      </c>
      <c r="EL18" s="122">
        <f t="shared" si="50"/>
        <v>0</v>
      </c>
      <c r="EM18" s="122">
        <f t="shared" si="51"/>
        <v>12698.916666666668</v>
      </c>
      <c r="EN18" s="88">
        <f t="shared" si="52"/>
        <v>2.5806435224386116E-2</v>
      </c>
      <c r="EP18" s="87"/>
    </row>
    <row r="19" spans="1:146" x14ac:dyDescent="0.25">
      <c r="A19" s="35">
        <f t="shared" si="53"/>
        <v>43655</v>
      </c>
      <c r="D19" s="87">
        <f t="shared" si="2"/>
        <v>0</v>
      </c>
      <c r="G19" s="87">
        <f t="shared" si="3"/>
        <v>0</v>
      </c>
      <c r="J19" s="87">
        <f t="shared" si="4"/>
        <v>0</v>
      </c>
      <c r="M19" s="87">
        <f t="shared" si="5"/>
        <v>0</v>
      </c>
      <c r="P19" s="87">
        <f t="shared" si="6"/>
        <v>0</v>
      </c>
      <c r="S19" s="87">
        <f t="shared" si="7"/>
        <v>0</v>
      </c>
      <c r="V19" s="87">
        <f t="shared" si="8"/>
        <v>0</v>
      </c>
      <c r="Y19" s="87">
        <f t="shared" si="9"/>
        <v>0</v>
      </c>
      <c r="AB19" s="87">
        <f t="shared" si="10"/>
        <v>0</v>
      </c>
      <c r="AE19" s="87">
        <v>0</v>
      </c>
      <c r="AH19" s="87">
        <v>0</v>
      </c>
      <c r="AI19" s="120">
        <f>81575000</f>
        <v>81575000</v>
      </c>
      <c r="AJ19" s="121">
        <v>2.5399999999999999E-2</v>
      </c>
      <c r="AK19" s="87">
        <f t="shared" si="11"/>
        <v>5755.5694444444443</v>
      </c>
      <c r="AL19" s="120"/>
      <c r="AM19" s="121"/>
      <c r="AN19" s="87">
        <f t="shared" si="12"/>
        <v>0</v>
      </c>
      <c r="AO19" s="120"/>
      <c r="AP19" s="121"/>
      <c r="AQ19" s="87">
        <f t="shared" si="13"/>
        <v>0</v>
      </c>
      <c r="AR19" s="120">
        <f t="shared" si="54"/>
        <v>80000000</v>
      </c>
      <c r="AS19" s="121">
        <v>2.63E-2</v>
      </c>
      <c r="AT19" s="87">
        <f t="shared" si="14"/>
        <v>5844.4444444444443</v>
      </c>
      <c r="AW19" s="87">
        <f t="shared" si="15"/>
        <v>0</v>
      </c>
      <c r="AZ19" s="87">
        <f t="shared" si="16"/>
        <v>0</v>
      </c>
      <c r="BC19" s="87">
        <f t="shared" si="17"/>
        <v>0</v>
      </c>
      <c r="BF19" s="87">
        <f t="shared" si="18"/>
        <v>0</v>
      </c>
      <c r="BI19" s="87">
        <f t="shared" si="19"/>
        <v>0</v>
      </c>
      <c r="BL19" s="87">
        <f t="shared" si="20"/>
        <v>0</v>
      </c>
      <c r="BO19" s="87">
        <f t="shared" si="21"/>
        <v>0</v>
      </c>
      <c r="BR19" s="87">
        <f t="shared" si="22"/>
        <v>0</v>
      </c>
      <c r="BU19" s="87">
        <f t="shared" si="23"/>
        <v>0</v>
      </c>
      <c r="BX19" s="87">
        <f t="shared" si="24"/>
        <v>0</v>
      </c>
      <c r="CA19" s="87">
        <f t="shared" si="25"/>
        <v>0</v>
      </c>
      <c r="CD19" s="87">
        <f t="shared" si="26"/>
        <v>0</v>
      </c>
      <c r="CG19" s="87">
        <f t="shared" si="27"/>
        <v>0</v>
      </c>
      <c r="CJ19" s="87">
        <f t="shared" si="28"/>
        <v>0</v>
      </c>
      <c r="CM19" s="87">
        <f t="shared" si="29"/>
        <v>0</v>
      </c>
      <c r="CP19" s="87">
        <f t="shared" si="30"/>
        <v>0</v>
      </c>
      <c r="CS19" s="87">
        <f t="shared" si="31"/>
        <v>0</v>
      </c>
      <c r="CV19" s="87">
        <f t="shared" si="32"/>
        <v>0</v>
      </c>
      <c r="CY19" s="87">
        <f t="shared" si="33"/>
        <v>0</v>
      </c>
      <c r="DB19" s="87">
        <f t="shared" si="34"/>
        <v>0</v>
      </c>
      <c r="DE19" s="87">
        <f t="shared" si="35"/>
        <v>0</v>
      </c>
      <c r="DH19" s="87">
        <f t="shared" si="36"/>
        <v>0</v>
      </c>
      <c r="DK19" s="87">
        <f t="shared" si="37"/>
        <v>0</v>
      </c>
      <c r="DN19" s="87">
        <f t="shared" si="38"/>
        <v>0</v>
      </c>
      <c r="DQ19" s="87">
        <f t="shared" si="39"/>
        <v>0</v>
      </c>
      <c r="DT19" s="87">
        <f t="shared" si="40"/>
        <v>0</v>
      </c>
      <c r="DW19" s="87">
        <f t="shared" si="41"/>
        <v>0</v>
      </c>
      <c r="DZ19" s="87"/>
      <c r="EA19" s="87"/>
      <c r="EB19" s="122">
        <f t="shared" si="42"/>
        <v>161575000</v>
      </c>
      <c r="EC19" s="122">
        <f t="shared" si="43"/>
        <v>0</v>
      </c>
      <c r="ED19" s="87">
        <f t="shared" si="44"/>
        <v>11600.013888888889</v>
      </c>
      <c r="EE19" s="88">
        <f t="shared" si="45"/>
        <v>2.5845613492186292E-2</v>
      </c>
      <c r="EG19" s="122">
        <f t="shared" si="46"/>
        <v>0</v>
      </c>
      <c r="EH19" s="87">
        <f t="shared" si="47"/>
        <v>0</v>
      </c>
      <c r="EI19" s="88">
        <f t="shared" si="48"/>
        <v>0</v>
      </c>
      <c r="EJ19" s="88"/>
      <c r="EK19" s="122">
        <f t="shared" si="49"/>
        <v>161575000</v>
      </c>
      <c r="EL19" s="122">
        <f t="shared" si="50"/>
        <v>0</v>
      </c>
      <c r="EM19" s="122">
        <f t="shared" si="51"/>
        <v>11600.013888888889</v>
      </c>
      <c r="EN19" s="88">
        <f t="shared" si="52"/>
        <v>2.5845613492186292E-2</v>
      </c>
      <c r="EP19" s="87"/>
    </row>
    <row r="20" spans="1:146" x14ac:dyDescent="0.25">
      <c r="A20" s="35">
        <f t="shared" si="53"/>
        <v>43656</v>
      </c>
      <c r="D20" s="87">
        <f t="shared" si="2"/>
        <v>0</v>
      </c>
      <c r="G20" s="87">
        <f t="shared" si="3"/>
        <v>0</v>
      </c>
      <c r="J20" s="87">
        <f t="shared" si="4"/>
        <v>0</v>
      </c>
      <c r="M20" s="87">
        <f t="shared" si="5"/>
        <v>0</v>
      </c>
      <c r="P20" s="87">
        <f t="shared" si="6"/>
        <v>0</v>
      </c>
      <c r="S20" s="87">
        <f t="shared" si="7"/>
        <v>0</v>
      </c>
      <c r="V20" s="87">
        <f t="shared" si="8"/>
        <v>0</v>
      </c>
      <c r="Y20" s="87">
        <f t="shared" si="9"/>
        <v>0</v>
      </c>
      <c r="AB20" s="87">
        <f t="shared" si="10"/>
        <v>0</v>
      </c>
      <c r="AE20" s="87">
        <v>0</v>
      </c>
      <c r="AH20" s="87">
        <v>0</v>
      </c>
      <c r="AI20" s="120">
        <f>74225000</f>
        <v>74225000</v>
      </c>
      <c r="AJ20" s="121">
        <v>2.5399999999999999E-2</v>
      </c>
      <c r="AK20" s="87">
        <f t="shared" si="11"/>
        <v>5236.9861111111113</v>
      </c>
      <c r="AL20" s="120"/>
      <c r="AM20" s="121"/>
      <c r="AN20" s="87">
        <f t="shared" si="12"/>
        <v>0</v>
      </c>
      <c r="AO20" s="120"/>
      <c r="AP20" s="121"/>
      <c r="AQ20" s="87">
        <f t="shared" si="13"/>
        <v>0</v>
      </c>
      <c r="AR20" s="120">
        <f t="shared" si="54"/>
        <v>80000000</v>
      </c>
      <c r="AS20" s="121">
        <v>2.63E-2</v>
      </c>
      <c r="AT20" s="87">
        <f t="shared" si="14"/>
        <v>5844.4444444444443</v>
      </c>
      <c r="AW20" s="87">
        <f t="shared" si="15"/>
        <v>0</v>
      </c>
      <c r="AZ20" s="87">
        <f t="shared" si="16"/>
        <v>0</v>
      </c>
      <c r="BC20" s="87">
        <f t="shared" si="17"/>
        <v>0</v>
      </c>
      <c r="BF20" s="87">
        <f t="shared" si="18"/>
        <v>0</v>
      </c>
      <c r="BI20" s="87">
        <f t="shared" si="19"/>
        <v>0</v>
      </c>
      <c r="BL20" s="87">
        <f t="shared" si="20"/>
        <v>0</v>
      </c>
      <c r="BO20" s="87">
        <f t="shared" si="21"/>
        <v>0</v>
      </c>
      <c r="BR20" s="87">
        <f t="shared" si="22"/>
        <v>0</v>
      </c>
      <c r="BU20" s="87">
        <f t="shared" si="23"/>
        <v>0</v>
      </c>
      <c r="BX20" s="87">
        <f t="shared" si="24"/>
        <v>0</v>
      </c>
      <c r="CA20" s="87">
        <f t="shared" si="25"/>
        <v>0</v>
      </c>
      <c r="CD20" s="87">
        <f t="shared" si="26"/>
        <v>0</v>
      </c>
      <c r="CG20" s="87">
        <f t="shared" si="27"/>
        <v>0</v>
      </c>
      <c r="CJ20" s="87">
        <f t="shared" si="28"/>
        <v>0</v>
      </c>
      <c r="CM20" s="87">
        <f t="shared" si="29"/>
        <v>0</v>
      </c>
      <c r="CP20" s="87">
        <f t="shared" si="30"/>
        <v>0</v>
      </c>
      <c r="CS20" s="87">
        <f t="shared" si="31"/>
        <v>0</v>
      </c>
      <c r="CV20" s="87">
        <f t="shared" si="32"/>
        <v>0</v>
      </c>
      <c r="CY20" s="87">
        <f t="shared" si="33"/>
        <v>0</v>
      </c>
      <c r="DB20" s="87">
        <f t="shared" si="34"/>
        <v>0</v>
      </c>
      <c r="DE20" s="87">
        <f t="shared" si="35"/>
        <v>0</v>
      </c>
      <c r="DH20" s="87">
        <f t="shared" si="36"/>
        <v>0</v>
      </c>
      <c r="DK20" s="87">
        <f t="shared" si="37"/>
        <v>0</v>
      </c>
      <c r="DN20" s="87">
        <f t="shared" si="38"/>
        <v>0</v>
      </c>
      <c r="DQ20" s="87">
        <f t="shared" si="39"/>
        <v>0</v>
      </c>
      <c r="DT20" s="87">
        <f t="shared" si="40"/>
        <v>0</v>
      </c>
      <c r="DW20" s="87">
        <f t="shared" si="41"/>
        <v>0</v>
      </c>
      <c r="DZ20" s="87"/>
      <c r="EA20" s="87"/>
      <c r="EB20" s="122">
        <f t="shared" si="42"/>
        <v>154225000</v>
      </c>
      <c r="EC20" s="122">
        <f t="shared" si="43"/>
        <v>0</v>
      </c>
      <c r="ED20" s="87">
        <f t="shared" si="44"/>
        <v>11081.430555555555</v>
      </c>
      <c r="EE20" s="88">
        <f t="shared" si="45"/>
        <v>2.5866850380936942E-2</v>
      </c>
      <c r="EG20" s="122">
        <f t="shared" si="46"/>
        <v>0</v>
      </c>
      <c r="EH20" s="87">
        <f t="shared" si="47"/>
        <v>0</v>
      </c>
      <c r="EI20" s="88">
        <f t="shared" si="48"/>
        <v>0</v>
      </c>
      <c r="EJ20" s="88"/>
      <c r="EK20" s="122">
        <f t="shared" si="49"/>
        <v>154225000</v>
      </c>
      <c r="EL20" s="122">
        <f t="shared" si="50"/>
        <v>0</v>
      </c>
      <c r="EM20" s="122">
        <f t="shared" si="51"/>
        <v>11081.430555555555</v>
      </c>
      <c r="EN20" s="88">
        <f t="shared" si="52"/>
        <v>2.5866850380936942E-2</v>
      </c>
      <c r="EP20" s="87"/>
    </row>
    <row r="21" spans="1:146" x14ac:dyDescent="0.25">
      <c r="A21" s="35">
        <f t="shared" si="53"/>
        <v>43657</v>
      </c>
      <c r="D21" s="87">
        <f t="shared" si="2"/>
        <v>0</v>
      </c>
      <c r="G21" s="87">
        <f t="shared" si="3"/>
        <v>0</v>
      </c>
      <c r="J21" s="87">
        <f t="shared" si="4"/>
        <v>0</v>
      </c>
      <c r="M21" s="87">
        <f t="shared" si="5"/>
        <v>0</v>
      </c>
      <c r="P21" s="87">
        <f t="shared" si="6"/>
        <v>0</v>
      </c>
      <c r="S21" s="87">
        <f t="shared" si="7"/>
        <v>0</v>
      </c>
      <c r="V21" s="87">
        <f t="shared" si="8"/>
        <v>0</v>
      </c>
      <c r="Y21" s="87">
        <f t="shared" si="9"/>
        <v>0</v>
      </c>
      <c r="AB21" s="87">
        <f t="shared" si="10"/>
        <v>0</v>
      </c>
      <c r="AE21" s="87">
        <v>0</v>
      </c>
      <c r="AH21" s="87">
        <v>0</v>
      </c>
      <c r="AI21" s="120">
        <f>65975000</f>
        <v>65975000</v>
      </c>
      <c r="AJ21" s="121">
        <v>2.5399999999999999E-2</v>
      </c>
      <c r="AK21" s="87">
        <f t="shared" si="11"/>
        <v>4654.9027777777774</v>
      </c>
      <c r="AL21" s="120"/>
      <c r="AM21" s="121"/>
      <c r="AN21" s="87">
        <f t="shared" si="12"/>
        <v>0</v>
      </c>
      <c r="AO21" s="120"/>
      <c r="AP21" s="121"/>
      <c r="AQ21" s="87">
        <f t="shared" si="13"/>
        <v>0</v>
      </c>
      <c r="AR21" s="120">
        <f t="shared" si="54"/>
        <v>80000000</v>
      </c>
      <c r="AS21" s="121">
        <v>2.63E-2</v>
      </c>
      <c r="AT21" s="87">
        <f t="shared" si="14"/>
        <v>5844.4444444444443</v>
      </c>
      <c r="AW21" s="87">
        <f t="shared" si="15"/>
        <v>0</v>
      </c>
      <c r="AZ21" s="87">
        <f t="shared" si="16"/>
        <v>0</v>
      </c>
      <c r="BC21" s="87">
        <f t="shared" si="17"/>
        <v>0</v>
      </c>
      <c r="BF21" s="87">
        <f t="shared" si="18"/>
        <v>0</v>
      </c>
      <c r="BI21" s="87">
        <f t="shared" si="19"/>
        <v>0</v>
      </c>
      <c r="BL21" s="87">
        <f t="shared" si="20"/>
        <v>0</v>
      </c>
      <c r="BO21" s="87">
        <f t="shared" si="21"/>
        <v>0</v>
      </c>
      <c r="BR21" s="87">
        <f t="shared" si="22"/>
        <v>0</v>
      </c>
      <c r="BU21" s="87">
        <f t="shared" si="23"/>
        <v>0</v>
      </c>
      <c r="BX21" s="87">
        <f t="shared" si="24"/>
        <v>0</v>
      </c>
      <c r="CA21" s="87">
        <f t="shared" si="25"/>
        <v>0</v>
      </c>
      <c r="CD21" s="87">
        <f t="shared" si="26"/>
        <v>0</v>
      </c>
      <c r="CG21" s="87">
        <f t="shared" si="27"/>
        <v>0</v>
      </c>
      <c r="CJ21" s="87">
        <f t="shared" si="28"/>
        <v>0</v>
      </c>
      <c r="CM21" s="87">
        <f t="shared" si="29"/>
        <v>0</v>
      </c>
      <c r="CP21" s="87">
        <f t="shared" si="30"/>
        <v>0</v>
      </c>
      <c r="CS21" s="87">
        <f t="shared" si="31"/>
        <v>0</v>
      </c>
      <c r="CV21" s="87">
        <f t="shared" si="32"/>
        <v>0</v>
      </c>
      <c r="CY21" s="87">
        <f t="shared" si="33"/>
        <v>0</v>
      </c>
      <c r="DB21" s="87">
        <f t="shared" si="34"/>
        <v>0</v>
      </c>
      <c r="DE21" s="87">
        <f t="shared" si="35"/>
        <v>0</v>
      </c>
      <c r="DH21" s="87">
        <f t="shared" si="36"/>
        <v>0</v>
      </c>
      <c r="DK21" s="87">
        <f t="shared" si="37"/>
        <v>0</v>
      </c>
      <c r="DN21" s="87">
        <f t="shared" si="38"/>
        <v>0</v>
      </c>
      <c r="DQ21" s="87">
        <f t="shared" si="39"/>
        <v>0</v>
      </c>
      <c r="DT21" s="87">
        <f t="shared" si="40"/>
        <v>0</v>
      </c>
      <c r="DW21" s="87">
        <f t="shared" si="41"/>
        <v>0</v>
      </c>
      <c r="DZ21" s="87"/>
      <c r="EA21" s="87"/>
      <c r="EB21" s="122">
        <f t="shared" si="42"/>
        <v>145975000</v>
      </c>
      <c r="EC21" s="122">
        <f t="shared" si="43"/>
        <v>0</v>
      </c>
      <c r="ED21" s="87">
        <f t="shared" si="44"/>
        <v>10499.347222222223</v>
      </c>
      <c r="EE21" s="88">
        <f t="shared" si="45"/>
        <v>2.5893235143003939E-2</v>
      </c>
      <c r="EG21" s="122">
        <f t="shared" si="46"/>
        <v>0</v>
      </c>
      <c r="EH21" s="87">
        <f t="shared" si="47"/>
        <v>0</v>
      </c>
      <c r="EI21" s="88">
        <f t="shared" si="48"/>
        <v>0</v>
      </c>
      <c r="EJ21" s="88"/>
      <c r="EK21" s="122">
        <f t="shared" si="49"/>
        <v>145975000</v>
      </c>
      <c r="EL21" s="122">
        <f t="shared" si="50"/>
        <v>0</v>
      </c>
      <c r="EM21" s="122">
        <f t="shared" si="51"/>
        <v>10499.347222222223</v>
      </c>
      <c r="EN21" s="88">
        <f t="shared" si="52"/>
        <v>2.5893235143003939E-2</v>
      </c>
      <c r="EP21" s="87"/>
    </row>
    <row r="22" spans="1:146" x14ac:dyDescent="0.25">
      <c r="A22" s="35">
        <f t="shared" si="53"/>
        <v>43658</v>
      </c>
      <c r="D22" s="87">
        <f t="shared" si="2"/>
        <v>0</v>
      </c>
      <c r="G22" s="87">
        <f t="shared" si="3"/>
        <v>0</v>
      </c>
      <c r="J22" s="87">
        <f t="shared" si="4"/>
        <v>0</v>
      </c>
      <c r="M22" s="87">
        <f t="shared" si="5"/>
        <v>0</v>
      </c>
      <c r="P22" s="87">
        <f t="shared" si="6"/>
        <v>0</v>
      </c>
      <c r="S22" s="87">
        <f t="shared" si="7"/>
        <v>0</v>
      </c>
      <c r="V22" s="87">
        <f t="shared" si="8"/>
        <v>0</v>
      </c>
      <c r="Y22" s="87">
        <f t="shared" si="9"/>
        <v>0</v>
      </c>
      <c r="AB22" s="87">
        <f t="shared" si="10"/>
        <v>0</v>
      </c>
      <c r="AE22" s="87">
        <v>0</v>
      </c>
      <c r="AH22" s="87">
        <v>0</v>
      </c>
      <c r="AI22" s="120">
        <f>77150000</f>
        <v>77150000</v>
      </c>
      <c r="AJ22" s="121">
        <v>2.5399999999999999E-2</v>
      </c>
      <c r="AK22" s="87">
        <f t="shared" si="11"/>
        <v>5443.3611111111113</v>
      </c>
      <c r="AL22" s="120"/>
      <c r="AM22" s="121"/>
      <c r="AN22" s="87">
        <f t="shared" si="12"/>
        <v>0</v>
      </c>
      <c r="AO22" s="120"/>
      <c r="AP22" s="121"/>
      <c r="AQ22" s="87">
        <f t="shared" si="13"/>
        <v>0</v>
      </c>
      <c r="AR22" s="120">
        <f t="shared" si="54"/>
        <v>80000000</v>
      </c>
      <c r="AS22" s="121">
        <v>2.63E-2</v>
      </c>
      <c r="AT22" s="87">
        <f t="shared" si="14"/>
        <v>5844.4444444444443</v>
      </c>
      <c r="AW22" s="87">
        <f t="shared" si="15"/>
        <v>0</v>
      </c>
      <c r="AZ22" s="87">
        <f t="shared" si="16"/>
        <v>0</v>
      </c>
      <c r="BC22" s="87">
        <f t="shared" si="17"/>
        <v>0</v>
      </c>
      <c r="BF22" s="87">
        <f t="shared" si="18"/>
        <v>0</v>
      </c>
      <c r="BI22" s="87">
        <f t="shared" si="19"/>
        <v>0</v>
      </c>
      <c r="BL22" s="87">
        <f t="shared" si="20"/>
        <v>0</v>
      </c>
      <c r="BO22" s="87">
        <f t="shared" si="21"/>
        <v>0</v>
      </c>
      <c r="BR22" s="87">
        <f t="shared" si="22"/>
        <v>0</v>
      </c>
      <c r="BU22" s="87">
        <f t="shared" si="23"/>
        <v>0</v>
      </c>
      <c r="BX22" s="87">
        <f t="shared" si="24"/>
        <v>0</v>
      </c>
      <c r="CA22" s="87">
        <f t="shared" si="25"/>
        <v>0</v>
      </c>
      <c r="CD22" s="87">
        <f t="shared" si="26"/>
        <v>0</v>
      </c>
      <c r="CG22" s="87">
        <f t="shared" si="27"/>
        <v>0</v>
      </c>
      <c r="CJ22" s="87">
        <f t="shared" si="28"/>
        <v>0</v>
      </c>
      <c r="CM22" s="87">
        <f t="shared" si="29"/>
        <v>0</v>
      </c>
      <c r="CP22" s="87">
        <f t="shared" si="30"/>
        <v>0</v>
      </c>
      <c r="CS22" s="87">
        <f t="shared" si="31"/>
        <v>0</v>
      </c>
      <c r="CV22" s="87">
        <f t="shared" si="32"/>
        <v>0</v>
      </c>
      <c r="CY22" s="87">
        <f t="shared" si="33"/>
        <v>0</v>
      </c>
      <c r="DB22" s="87">
        <f t="shared" si="34"/>
        <v>0</v>
      </c>
      <c r="DE22" s="87">
        <f t="shared" si="35"/>
        <v>0</v>
      </c>
      <c r="DH22" s="87">
        <f t="shared" si="36"/>
        <v>0</v>
      </c>
      <c r="DK22" s="87">
        <f t="shared" si="37"/>
        <v>0</v>
      </c>
      <c r="DN22" s="87">
        <f t="shared" si="38"/>
        <v>0</v>
      </c>
      <c r="DQ22" s="87">
        <f t="shared" si="39"/>
        <v>0</v>
      </c>
      <c r="DT22" s="87">
        <f t="shared" si="40"/>
        <v>0</v>
      </c>
      <c r="DW22" s="87">
        <f t="shared" si="41"/>
        <v>0</v>
      </c>
      <c r="DZ22" s="87"/>
      <c r="EA22" s="87"/>
      <c r="EB22" s="122">
        <f t="shared" si="42"/>
        <v>157150000</v>
      </c>
      <c r="EC22" s="122">
        <f t="shared" si="43"/>
        <v>0</v>
      </c>
      <c r="ED22" s="87">
        <f t="shared" si="44"/>
        <v>11287.805555555555</v>
      </c>
      <c r="EE22" s="88">
        <f t="shared" si="45"/>
        <v>2.5858160992682146E-2</v>
      </c>
      <c r="EG22" s="122">
        <f t="shared" si="46"/>
        <v>0</v>
      </c>
      <c r="EH22" s="87">
        <f t="shared" si="47"/>
        <v>0</v>
      </c>
      <c r="EI22" s="88">
        <f t="shared" si="48"/>
        <v>0</v>
      </c>
      <c r="EJ22" s="88"/>
      <c r="EK22" s="122">
        <f t="shared" si="49"/>
        <v>157150000</v>
      </c>
      <c r="EL22" s="122">
        <f t="shared" si="50"/>
        <v>0</v>
      </c>
      <c r="EM22" s="122">
        <f t="shared" si="51"/>
        <v>11287.805555555555</v>
      </c>
      <c r="EN22" s="88">
        <f t="shared" si="52"/>
        <v>2.5858160992682146E-2</v>
      </c>
      <c r="EP22" s="87"/>
    </row>
    <row r="23" spans="1:146" x14ac:dyDescent="0.25">
      <c r="A23" s="35">
        <f t="shared" si="53"/>
        <v>43659</v>
      </c>
      <c r="D23" s="87">
        <f t="shared" si="2"/>
        <v>0</v>
      </c>
      <c r="G23" s="87">
        <f t="shared" si="3"/>
        <v>0</v>
      </c>
      <c r="J23" s="87">
        <f t="shared" si="4"/>
        <v>0</v>
      </c>
      <c r="M23" s="87">
        <f t="shared" si="5"/>
        <v>0</v>
      </c>
      <c r="P23" s="87">
        <f t="shared" si="6"/>
        <v>0</v>
      </c>
      <c r="S23" s="87">
        <f t="shared" si="7"/>
        <v>0</v>
      </c>
      <c r="V23" s="87">
        <f t="shared" si="8"/>
        <v>0</v>
      </c>
      <c r="Y23" s="87">
        <f t="shared" si="9"/>
        <v>0</v>
      </c>
      <c r="AB23" s="87">
        <f t="shared" si="10"/>
        <v>0</v>
      </c>
      <c r="AE23" s="87">
        <v>0</v>
      </c>
      <c r="AH23" s="87">
        <v>0</v>
      </c>
      <c r="AI23" s="120">
        <f>77150000</f>
        <v>77150000</v>
      </c>
      <c r="AJ23" s="121">
        <v>2.5399999999999999E-2</v>
      </c>
      <c r="AK23" s="87">
        <f t="shared" si="11"/>
        <v>5443.3611111111113</v>
      </c>
      <c r="AL23" s="120"/>
      <c r="AM23" s="121"/>
      <c r="AN23" s="87">
        <f t="shared" si="12"/>
        <v>0</v>
      </c>
      <c r="AO23" s="120"/>
      <c r="AP23" s="121"/>
      <c r="AQ23" s="87">
        <f t="shared" si="13"/>
        <v>0</v>
      </c>
      <c r="AR23" s="120">
        <f t="shared" si="54"/>
        <v>80000000</v>
      </c>
      <c r="AS23" s="121">
        <v>2.63E-2</v>
      </c>
      <c r="AT23" s="87">
        <f t="shared" si="14"/>
        <v>5844.4444444444443</v>
      </c>
      <c r="AW23" s="87">
        <f t="shared" si="15"/>
        <v>0</v>
      </c>
      <c r="AZ23" s="87">
        <f t="shared" si="16"/>
        <v>0</v>
      </c>
      <c r="BC23" s="87">
        <f t="shared" si="17"/>
        <v>0</v>
      </c>
      <c r="BF23" s="87">
        <f t="shared" si="18"/>
        <v>0</v>
      </c>
      <c r="BI23" s="87">
        <f t="shared" si="19"/>
        <v>0</v>
      </c>
      <c r="BL23" s="87">
        <f t="shared" si="20"/>
        <v>0</v>
      </c>
      <c r="BO23" s="87">
        <f t="shared" si="21"/>
        <v>0</v>
      </c>
      <c r="BR23" s="87">
        <f t="shared" si="22"/>
        <v>0</v>
      </c>
      <c r="BU23" s="87">
        <f t="shared" si="23"/>
        <v>0</v>
      </c>
      <c r="BX23" s="87">
        <f t="shared" si="24"/>
        <v>0</v>
      </c>
      <c r="CA23" s="87">
        <f t="shared" si="25"/>
        <v>0</v>
      </c>
      <c r="CD23" s="87">
        <f t="shared" si="26"/>
        <v>0</v>
      </c>
      <c r="CG23" s="87">
        <f t="shared" si="27"/>
        <v>0</v>
      </c>
      <c r="CJ23" s="87">
        <f t="shared" si="28"/>
        <v>0</v>
      </c>
      <c r="CM23" s="87">
        <f t="shared" si="29"/>
        <v>0</v>
      </c>
      <c r="CP23" s="87">
        <f t="shared" si="30"/>
        <v>0</v>
      </c>
      <c r="CS23" s="87">
        <f t="shared" si="31"/>
        <v>0</v>
      </c>
      <c r="CV23" s="87">
        <f t="shared" si="32"/>
        <v>0</v>
      </c>
      <c r="CY23" s="87">
        <f t="shared" si="33"/>
        <v>0</v>
      </c>
      <c r="DB23" s="87">
        <f t="shared" si="34"/>
        <v>0</v>
      </c>
      <c r="DE23" s="87">
        <f t="shared" si="35"/>
        <v>0</v>
      </c>
      <c r="DH23" s="87">
        <f t="shared" si="36"/>
        <v>0</v>
      </c>
      <c r="DK23" s="87">
        <f t="shared" si="37"/>
        <v>0</v>
      </c>
      <c r="DN23" s="87">
        <f t="shared" si="38"/>
        <v>0</v>
      </c>
      <c r="DQ23" s="87">
        <f t="shared" si="39"/>
        <v>0</v>
      </c>
      <c r="DT23" s="87">
        <f t="shared" si="40"/>
        <v>0</v>
      </c>
      <c r="DW23" s="87">
        <f t="shared" si="41"/>
        <v>0</v>
      </c>
      <c r="DZ23" s="87"/>
      <c r="EA23" s="87"/>
      <c r="EB23" s="122">
        <f t="shared" si="42"/>
        <v>157150000</v>
      </c>
      <c r="EC23" s="122">
        <f t="shared" si="43"/>
        <v>0</v>
      </c>
      <c r="ED23" s="87">
        <f t="shared" si="44"/>
        <v>11287.805555555555</v>
      </c>
      <c r="EE23" s="88">
        <f t="shared" si="45"/>
        <v>2.5858160992682146E-2</v>
      </c>
      <c r="EG23" s="122">
        <f t="shared" si="46"/>
        <v>0</v>
      </c>
      <c r="EH23" s="87">
        <f t="shared" si="47"/>
        <v>0</v>
      </c>
      <c r="EI23" s="88">
        <f t="shared" si="48"/>
        <v>0</v>
      </c>
      <c r="EJ23" s="88"/>
      <c r="EK23" s="122">
        <f t="shared" si="49"/>
        <v>157150000</v>
      </c>
      <c r="EL23" s="122">
        <f t="shared" si="50"/>
        <v>0</v>
      </c>
      <c r="EM23" s="122">
        <f t="shared" si="51"/>
        <v>11287.805555555555</v>
      </c>
      <c r="EN23" s="88">
        <f t="shared" si="52"/>
        <v>2.5858160992682146E-2</v>
      </c>
      <c r="EP23" s="87"/>
    </row>
    <row r="24" spans="1:146" x14ac:dyDescent="0.25">
      <c r="A24" s="35">
        <f t="shared" si="53"/>
        <v>43660</v>
      </c>
      <c r="D24" s="87">
        <f t="shared" si="2"/>
        <v>0</v>
      </c>
      <c r="G24" s="87">
        <f t="shared" si="3"/>
        <v>0</v>
      </c>
      <c r="J24" s="87">
        <f t="shared" si="4"/>
        <v>0</v>
      </c>
      <c r="M24" s="87">
        <f t="shared" si="5"/>
        <v>0</v>
      </c>
      <c r="P24" s="87">
        <f t="shared" si="6"/>
        <v>0</v>
      </c>
      <c r="S24" s="87">
        <f t="shared" si="7"/>
        <v>0</v>
      </c>
      <c r="V24" s="87">
        <f t="shared" si="8"/>
        <v>0</v>
      </c>
      <c r="Y24" s="87">
        <f t="shared" si="9"/>
        <v>0</v>
      </c>
      <c r="AB24" s="87">
        <f t="shared" si="10"/>
        <v>0</v>
      </c>
      <c r="AE24" s="87">
        <v>0</v>
      </c>
      <c r="AH24" s="87">
        <v>0</v>
      </c>
      <c r="AI24" s="120">
        <f>77150000</f>
        <v>77150000</v>
      </c>
      <c r="AJ24" s="121">
        <v>2.5399999999999999E-2</v>
      </c>
      <c r="AK24" s="87">
        <f t="shared" si="11"/>
        <v>5443.3611111111113</v>
      </c>
      <c r="AL24" s="120"/>
      <c r="AM24" s="121"/>
      <c r="AN24" s="87">
        <f t="shared" si="12"/>
        <v>0</v>
      </c>
      <c r="AO24" s="120"/>
      <c r="AP24" s="121"/>
      <c r="AQ24" s="87">
        <f t="shared" si="13"/>
        <v>0</v>
      </c>
      <c r="AR24" s="120">
        <f t="shared" si="54"/>
        <v>80000000</v>
      </c>
      <c r="AS24" s="121">
        <v>2.63E-2</v>
      </c>
      <c r="AT24" s="87">
        <f t="shared" si="14"/>
        <v>5844.4444444444443</v>
      </c>
      <c r="AW24" s="87">
        <f t="shared" si="15"/>
        <v>0</v>
      </c>
      <c r="AZ24" s="87">
        <f t="shared" si="16"/>
        <v>0</v>
      </c>
      <c r="BC24" s="87">
        <f t="shared" si="17"/>
        <v>0</v>
      </c>
      <c r="BF24" s="87">
        <f t="shared" si="18"/>
        <v>0</v>
      </c>
      <c r="BI24" s="87">
        <f t="shared" si="19"/>
        <v>0</v>
      </c>
      <c r="BL24" s="87">
        <f t="shared" si="20"/>
        <v>0</v>
      </c>
      <c r="BO24" s="87">
        <f t="shared" si="21"/>
        <v>0</v>
      </c>
      <c r="BR24" s="87">
        <f t="shared" si="22"/>
        <v>0</v>
      </c>
      <c r="BU24" s="87">
        <f t="shared" si="23"/>
        <v>0</v>
      </c>
      <c r="BX24" s="87">
        <f t="shared" si="24"/>
        <v>0</v>
      </c>
      <c r="CA24" s="87">
        <f t="shared" si="25"/>
        <v>0</v>
      </c>
      <c r="CD24" s="87">
        <f t="shared" si="26"/>
        <v>0</v>
      </c>
      <c r="CG24" s="87">
        <f t="shared" si="27"/>
        <v>0</v>
      </c>
      <c r="CJ24" s="87">
        <f t="shared" si="28"/>
        <v>0</v>
      </c>
      <c r="CM24" s="87">
        <f t="shared" si="29"/>
        <v>0</v>
      </c>
      <c r="CP24" s="87">
        <f t="shared" si="30"/>
        <v>0</v>
      </c>
      <c r="CS24" s="87">
        <f t="shared" si="31"/>
        <v>0</v>
      </c>
      <c r="CV24" s="87">
        <f t="shared" si="32"/>
        <v>0</v>
      </c>
      <c r="CY24" s="87">
        <f t="shared" si="33"/>
        <v>0</v>
      </c>
      <c r="DB24" s="87">
        <f t="shared" si="34"/>
        <v>0</v>
      </c>
      <c r="DE24" s="87">
        <f t="shared" si="35"/>
        <v>0</v>
      </c>
      <c r="DH24" s="87">
        <f t="shared" si="36"/>
        <v>0</v>
      </c>
      <c r="DK24" s="87">
        <f t="shared" si="37"/>
        <v>0</v>
      </c>
      <c r="DN24" s="87">
        <f t="shared" si="38"/>
        <v>0</v>
      </c>
      <c r="DQ24" s="87">
        <f t="shared" si="39"/>
        <v>0</v>
      </c>
      <c r="DT24" s="87">
        <f t="shared" si="40"/>
        <v>0</v>
      </c>
      <c r="DW24" s="87">
        <f t="shared" si="41"/>
        <v>0</v>
      </c>
      <c r="DZ24" s="87"/>
      <c r="EA24" s="87"/>
      <c r="EB24" s="122">
        <f t="shared" si="42"/>
        <v>157150000</v>
      </c>
      <c r="EC24" s="122">
        <f t="shared" si="43"/>
        <v>0</v>
      </c>
      <c r="ED24" s="87">
        <f t="shared" si="44"/>
        <v>11287.805555555555</v>
      </c>
      <c r="EE24" s="88">
        <f t="shared" si="45"/>
        <v>2.5858160992682146E-2</v>
      </c>
      <c r="EG24" s="122">
        <f t="shared" si="46"/>
        <v>0</v>
      </c>
      <c r="EH24" s="87">
        <f t="shared" si="47"/>
        <v>0</v>
      </c>
      <c r="EI24" s="88">
        <f t="shared" si="48"/>
        <v>0</v>
      </c>
      <c r="EJ24" s="88"/>
      <c r="EK24" s="122">
        <f t="shared" si="49"/>
        <v>157150000</v>
      </c>
      <c r="EL24" s="122">
        <f t="shared" si="50"/>
        <v>0</v>
      </c>
      <c r="EM24" s="122">
        <f t="shared" si="51"/>
        <v>11287.805555555555</v>
      </c>
      <c r="EN24" s="88">
        <f t="shared" si="52"/>
        <v>2.5858160992682146E-2</v>
      </c>
      <c r="EP24" s="87"/>
    </row>
    <row r="25" spans="1:146" x14ac:dyDescent="0.25">
      <c r="A25" s="35">
        <f t="shared" si="53"/>
        <v>43661</v>
      </c>
      <c r="D25" s="87">
        <f t="shared" si="2"/>
        <v>0</v>
      </c>
      <c r="G25" s="87">
        <f t="shared" si="3"/>
        <v>0</v>
      </c>
      <c r="J25" s="87">
        <f t="shared" si="4"/>
        <v>0</v>
      </c>
      <c r="M25" s="87">
        <f t="shared" si="5"/>
        <v>0</v>
      </c>
      <c r="P25" s="87">
        <f t="shared" si="6"/>
        <v>0</v>
      </c>
      <c r="S25" s="87">
        <f t="shared" si="7"/>
        <v>0</v>
      </c>
      <c r="V25" s="87">
        <f t="shared" si="8"/>
        <v>0</v>
      </c>
      <c r="Y25" s="87">
        <f t="shared" si="9"/>
        <v>0</v>
      </c>
      <c r="AB25" s="87">
        <f t="shared" si="10"/>
        <v>0</v>
      </c>
      <c r="AE25" s="87">
        <v>0</v>
      </c>
      <c r="AH25" s="87">
        <v>0</v>
      </c>
      <c r="AI25" s="120">
        <f>80375000</f>
        <v>80375000</v>
      </c>
      <c r="AJ25" s="121">
        <v>2.5399999999999999E-2</v>
      </c>
      <c r="AK25" s="87">
        <f t="shared" si="11"/>
        <v>5670.9027777777774</v>
      </c>
      <c r="AL25" s="120"/>
      <c r="AM25" s="121"/>
      <c r="AN25" s="87">
        <f t="shared" si="12"/>
        <v>0</v>
      </c>
      <c r="AO25" s="120"/>
      <c r="AP25" s="121"/>
      <c r="AQ25" s="87">
        <f t="shared" si="13"/>
        <v>0</v>
      </c>
      <c r="AR25" s="120">
        <f t="shared" si="54"/>
        <v>80000000</v>
      </c>
      <c r="AS25" s="121">
        <v>2.63E-2</v>
      </c>
      <c r="AT25" s="87">
        <f t="shared" si="14"/>
        <v>5844.4444444444443</v>
      </c>
      <c r="AW25" s="87">
        <f t="shared" si="15"/>
        <v>0</v>
      </c>
      <c r="AZ25" s="87">
        <f t="shared" si="16"/>
        <v>0</v>
      </c>
      <c r="BC25" s="87">
        <f t="shared" si="17"/>
        <v>0</v>
      </c>
      <c r="BF25" s="87">
        <f t="shared" si="18"/>
        <v>0</v>
      </c>
      <c r="BI25" s="87">
        <f t="shared" si="19"/>
        <v>0</v>
      </c>
      <c r="BL25" s="87">
        <f t="shared" si="20"/>
        <v>0</v>
      </c>
      <c r="BO25" s="87">
        <f t="shared" si="21"/>
        <v>0</v>
      </c>
      <c r="BR25" s="87">
        <f t="shared" si="22"/>
        <v>0</v>
      </c>
      <c r="BU25" s="87">
        <f t="shared" si="23"/>
        <v>0</v>
      </c>
      <c r="BX25" s="87">
        <f t="shared" si="24"/>
        <v>0</v>
      </c>
      <c r="CA25" s="87">
        <f t="shared" si="25"/>
        <v>0</v>
      </c>
      <c r="CD25" s="87">
        <f t="shared" si="26"/>
        <v>0</v>
      </c>
      <c r="CG25" s="87">
        <f t="shared" si="27"/>
        <v>0</v>
      </c>
      <c r="CJ25" s="87">
        <f t="shared" si="28"/>
        <v>0</v>
      </c>
      <c r="CM25" s="87">
        <f t="shared" si="29"/>
        <v>0</v>
      </c>
      <c r="CP25" s="87">
        <f t="shared" si="30"/>
        <v>0</v>
      </c>
      <c r="CS25" s="87">
        <f t="shared" si="31"/>
        <v>0</v>
      </c>
      <c r="CV25" s="87">
        <f t="shared" si="32"/>
        <v>0</v>
      </c>
      <c r="CY25" s="87">
        <f t="shared" si="33"/>
        <v>0</v>
      </c>
      <c r="DB25" s="87">
        <f t="shared" si="34"/>
        <v>0</v>
      </c>
      <c r="DE25" s="87">
        <f t="shared" si="35"/>
        <v>0</v>
      </c>
      <c r="DH25" s="87">
        <f t="shared" si="36"/>
        <v>0</v>
      </c>
      <c r="DK25" s="87">
        <f t="shared" si="37"/>
        <v>0</v>
      </c>
      <c r="DN25" s="87">
        <f t="shared" si="38"/>
        <v>0</v>
      </c>
      <c r="DQ25" s="87">
        <f t="shared" si="39"/>
        <v>0</v>
      </c>
      <c r="DT25" s="87">
        <f t="shared" si="40"/>
        <v>0</v>
      </c>
      <c r="DW25" s="87">
        <f t="shared" si="41"/>
        <v>0</v>
      </c>
      <c r="DZ25" s="87"/>
      <c r="EA25" s="87"/>
      <c r="EB25" s="122">
        <f t="shared" si="42"/>
        <v>160375000</v>
      </c>
      <c r="EC25" s="122">
        <f t="shared" si="43"/>
        <v>0</v>
      </c>
      <c r="ED25" s="87">
        <f t="shared" si="44"/>
        <v>11515.347222222223</v>
      </c>
      <c r="EE25" s="88">
        <f t="shared" si="45"/>
        <v>2.5848947778643803E-2</v>
      </c>
      <c r="EG25" s="122">
        <f t="shared" si="46"/>
        <v>0</v>
      </c>
      <c r="EH25" s="87">
        <f t="shared" si="47"/>
        <v>0</v>
      </c>
      <c r="EI25" s="88">
        <f t="shared" si="48"/>
        <v>0</v>
      </c>
      <c r="EJ25" s="88"/>
      <c r="EK25" s="122">
        <f t="shared" si="49"/>
        <v>160375000</v>
      </c>
      <c r="EL25" s="122">
        <f t="shared" si="50"/>
        <v>0</v>
      </c>
      <c r="EM25" s="122">
        <f t="shared" si="51"/>
        <v>11515.347222222223</v>
      </c>
      <c r="EN25" s="88">
        <f t="shared" si="52"/>
        <v>2.5848947778643803E-2</v>
      </c>
      <c r="EP25" s="87"/>
    </row>
    <row r="26" spans="1:146" x14ac:dyDescent="0.25">
      <c r="A26" s="35">
        <f t="shared" si="53"/>
        <v>43662</v>
      </c>
      <c r="D26" s="87">
        <f t="shared" si="2"/>
        <v>0</v>
      </c>
      <c r="G26" s="87">
        <f t="shared" si="3"/>
        <v>0</v>
      </c>
      <c r="J26" s="87">
        <f t="shared" si="4"/>
        <v>0</v>
      </c>
      <c r="M26" s="87">
        <f t="shared" si="5"/>
        <v>0</v>
      </c>
      <c r="P26" s="87">
        <f t="shared" si="6"/>
        <v>0</v>
      </c>
      <c r="S26" s="87">
        <f t="shared" si="7"/>
        <v>0</v>
      </c>
      <c r="V26" s="87">
        <f t="shared" si="8"/>
        <v>0</v>
      </c>
      <c r="Y26" s="87">
        <f t="shared" si="9"/>
        <v>0</v>
      </c>
      <c r="AB26" s="87">
        <f t="shared" si="10"/>
        <v>0</v>
      </c>
      <c r="AE26" s="87">
        <v>0</v>
      </c>
      <c r="AH26" s="87">
        <v>0</v>
      </c>
      <c r="AI26" s="120">
        <f>67450000</f>
        <v>67450000</v>
      </c>
      <c r="AJ26" s="121">
        <v>2.5399999999999999E-2</v>
      </c>
      <c r="AK26" s="87">
        <f t="shared" si="11"/>
        <v>4758.9722222222226</v>
      </c>
      <c r="AL26" s="120"/>
      <c r="AM26" s="121"/>
      <c r="AN26" s="87">
        <f t="shared" si="12"/>
        <v>0</v>
      </c>
      <c r="AO26" s="120"/>
      <c r="AP26" s="121"/>
      <c r="AQ26" s="87">
        <f t="shared" si="13"/>
        <v>0</v>
      </c>
      <c r="AR26" s="120">
        <f t="shared" si="54"/>
        <v>80000000</v>
      </c>
      <c r="AS26" s="121">
        <v>2.63E-2</v>
      </c>
      <c r="AT26" s="87">
        <f t="shared" si="14"/>
        <v>5844.4444444444443</v>
      </c>
      <c r="AW26" s="87">
        <f t="shared" si="15"/>
        <v>0</v>
      </c>
      <c r="AZ26" s="87">
        <f t="shared" si="16"/>
        <v>0</v>
      </c>
      <c r="BC26" s="87">
        <f t="shared" si="17"/>
        <v>0</v>
      </c>
      <c r="BF26" s="87">
        <f t="shared" si="18"/>
        <v>0</v>
      </c>
      <c r="BI26" s="87">
        <f t="shared" si="19"/>
        <v>0</v>
      </c>
      <c r="BL26" s="87">
        <f t="shared" si="20"/>
        <v>0</v>
      </c>
      <c r="BO26" s="87">
        <f t="shared" si="21"/>
        <v>0</v>
      </c>
      <c r="BR26" s="87">
        <f t="shared" si="22"/>
        <v>0</v>
      </c>
      <c r="BU26" s="87">
        <f t="shared" si="23"/>
        <v>0</v>
      </c>
      <c r="BX26" s="87">
        <f t="shared" si="24"/>
        <v>0</v>
      </c>
      <c r="CA26" s="87">
        <f t="shared" si="25"/>
        <v>0</v>
      </c>
      <c r="CD26" s="87">
        <f t="shared" si="26"/>
        <v>0</v>
      </c>
      <c r="CG26" s="87">
        <f t="shared" si="27"/>
        <v>0</v>
      </c>
      <c r="CJ26" s="87">
        <f t="shared" si="28"/>
        <v>0</v>
      </c>
      <c r="CM26" s="87">
        <f t="shared" si="29"/>
        <v>0</v>
      </c>
      <c r="CP26" s="87">
        <f t="shared" si="30"/>
        <v>0</v>
      </c>
      <c r="CS26" s="87">
        <f t="shared" si="31"/>
        <v>0</v>
      </c>
      <c r="CV26" s="87">
        <f t="shared" si="32"/>
        <v>0</v>
      </c>
      <c r="CY26" s="87">
        <f t="shared" si="33"/>
        <v>0</v>
      </c>
      <c r="DB26" s="87">
        <f t="shared" si="34"/>
        <v>0</v>
      </c>
      <c r="DE26" s="87">
        <f t="shared" si="35"/>
        <v>0</v>
      </c>
      <c r="DH26" s="87">
        <f t="shared" si="36"/>
        <v>0</v>
      </c>
      <c r="DK26" s="87">
        <f t="shared" si="37"/>
        <v>0</v>
      </c>
      <c r="DN26" s="87">
        <f t="shared" si="38"/>
        <v>0</v>
      </c>
      <c r="DQ26" s="87">
        <f t="shared" si="39"/>
        <v>0</v>
      </c>
      <c r="DT26" s="87">
        <f t="shared" si="40"/>
        <v>0</v>
      </c>
      <c r="DW26" s="87">
        <f t="shared" si="41"/>
        <v>0</v>
      </c>
      <c r="DZ26" s="87"/>
      <c r="EA26" s="87"/>
      <c r="EB26" s="122">
        <f t="shared" si="42"/>
        <v>147450000</v>
      </c>
      <c r="EC26" s="122">
        <f t="shared" si="43"/>
        <v>0</v>
      </c>
      <c r="ED26" s="87">
        <f t="shared" si="44"/>
        <v>10603.416666666668</v>
      </c>
      <c r="EE26" s="88">
        <f t="shared" si="45"/>
        <v>2.5888301119023401E-2</v>
      </c>
      <c r="EG26" s="122">
        <f t="shared" si="46"/>
        <v>0</v>
      </c>
      <c r="EH26" s="87">
        <f t="shared" si="47"/>
        <v>0</v>
      </c>
      <c r="EI26" s="88">
        <f t="shared" si="48"/>
        <v>0</v>
      </c>
      <c r="EJ26" s="88"/>
      <c r="EK26" s="122">
        <f t="shared" si="49"/>
        <v>147450000</v>
      </c>
      <c r="EL26" s="122">
        <f t="shared" si="50"/>
        <v>0</v>
      </c>
      <c r="EM26" s="122">
        <f t="shared" si="51"/>
        <v>10603.416666666668</v>
      </c>
      <c r="EN26" s="88">
        <f t="shared" si="52"/>
        <v>2.5888301119023401E-2</v>
      </c>
      <c r="EP26" s="87"/>
    </row>
    <row r="27" spans="1:146" x14ac:dyDescent="0.25">
      <c r="A27" s="35">
        <f t="shared" si="53"/>
        <v>43663</v>
      </c>
      <c r="D27" s="87">
        <f t="shared" si="2"/>
        <v>0</v>
      </c>
      <c r="G27" s="87">
        <f t="shared" si="3"/>
        <v>0</v>
      </c>
      <c r="J27" s="87">
        <f t="shared" si="4"/>
        <v>0</v>
      </c>
      <c r="M27" s="87">
        <f t="shared" si="5"/>
        <v>0</v>
      </c>
      <c r="P27" s="87">
        <f t="shared" si="6"/>
        <v>0</v>
      </c>
      <c r="S27" s="87">
        <f t="shared" si="7"/>
        <v>0</v>
      </c>
      <c r="V27" s="87">
        <f t="shared" si="8"/>
        <v>0</v>
      </c>
      <c r="Y27" s="87">
        <f t="shared" si="9"/>
        <v>0</v>
      </c>
      <c r="AB27" s="87">
        <f t="shared" si="10"/>
        <v>0</v>
      </c>
      <c r="AE27" s="87">
        <v>0</v>
      </c>
      <c r="AH27" s="87">
        <v>0</v>
      </c>
      <c r="AI27" s="120">
        <f>69425000</f>
        <v>69425000</v>
      </c>
      <c r="AJ27" s="121">
        <v>2.5399999999999999E-2</v>
      </c>
      <c r="AK27" s="87">
        <f t="shared" si="11"/>
        <v>4898.3194444444443</v>
      </c>
      <c r="AL27" s="120"/>
      <c r="AM27" s="121"/>
      <c r="AN27" s="87">
        <f t="shared" si="12"/>
        <v>0</v>
      </c>
      <c r="AO27" s="120"/>
      <c r="AP27" s="121"/>
      <c r="AQ27" s="87">
        <f t="shared" si="13"/>
        <v>0</v>
      </c>
      <c r="AR27" s="120">
        <f t="shared" si="54"/>
        <v>80000000</v>
      </c>
      <c r="AS27" s="121">
        <v>2.63E-2</v>
      </c>
      <c r="AT27" s="87">
        <f t="shared" si="14"/>
        <v>5844.4444444444443</v>
      </c>
      <c r="AW27" s="87">
        <f t="shared" si="15"/>
        <v>0</v>
      </c>
      <c r="AZ27" s="87">
        <f t="shared" si="16"/>
        <v>0</v>
      </c>
      <c r="BC27" s="87">
        <f t="shared" si="17"/>
        <v>0</v>
      </c>
      <c r="BF27" s="87">
        <f t="shared" si="18"/>
        <v>0</v>
      </c>
      <c r="BI27" s="87">
        <f t="shared" si="19"/>
        <v>0</v>
      </c>
      <c r="BL27" s="87">
        <f t="shared" si="20"/>
        <v>0</v>
      </c>
      <c r="BO27" s="87">
        <f t="shared" si="21"/>
        <v>0</v>
      </c>
      <c r="BR27" s="87">
        <f t="shared" si="22"/>
        <v>0</v>
      </c>
      <c r="BU27" s="87">
        <f t="shared" si="23"/>
        <v>0</v>
      </c>
      <c r="BX27" s="87">
        <f t="shared" si="24"/>
        <v>0</v>
      </c>
      <c r="CA27" s="87">
        <f t="shared" si="25"/>
        <v>0</v>
      </c>
      <c r="CD27" s="87">
        <f t="shared" si="26"/>
        <v>0</v>
      </c>
      <c r="CG27" s="87">
        <f t="shared" si="27"/>
        <v>0</v>
      </c>
      <c r="CJ27" s="87">
        <f t="shared" si="28"/>
        <v>0</v>
      </c>
      <c r="CM27" s="87">
        <f t="shared" si="29"/>
        <v>0</v>
      </c>
      <c r="CP27" s="87">
        <f t="shared" si="30"/>
        <v>0</v>
      </c>
      <c r="CS27" s="87">
        <f t="shared" si="31"/>
        <v>0</v>
      </c>
      <c r="CV27" s="87">
        <f t="shared" si="32"/>
        <v>0</v>
      </c>
      <c r="CY27" s="87">
        <f t="shared" si="33"/>
        <v>0</v>
      </c>
      <c r="DB27" s="87">
        <f t="shared" si="34"/>
        <v>0</v>
      </c>
      <c r="DE27" s="87">
        <f t="shared" si="35"/>
        <v>0</v>
      </c>
      <c r="DH27" s="87">
        <f t="shared" si="36"/>
        <v>0</v>
      </c>
      <c r="DK27" s="87">
        <f t="shared" si="37"/>
        <v>0</v>
      </c>
      <c r="DN27" s="87">
        <f t="shared" si="38"/>
        <v>0</v>
      </c>
      <c r="DQ27" s="87">
        <f t="shared" si="39"/>
        <v>0</v>
      </c>
      <c r="DT27" s="87">
        <f t="shared" si="40"/>
        <v>0</v>
      </c>
      <c r="DW27" s="87">
        <f t="shared" si="41"/>
        <v>0</v>
      </c>
      <c r="DZ27" s="87"/>
      <c r="EA27" s="87"/>
      <c r="EB27" s="122">
        <f t="shared" si="42"/>
        <v>149425000</v>
      </c>
      <c r="EC27" s="122">
        <f t="shared" si="43"/>
        <v>0</v>
      </c>
      <c r="ED27" s="87">
        <f t="shared" si="44"/>
        <v>10742.763888888889</v>
      </c>
      <c r="EE27" s="88">
        <f t="shared" si="45"/>
        <v>2.5881847080475157E-2</v>
      </c>
      <c r="EG27" s="122">
        <f t="shared" si="46"/>
        <v>0</v>
      </c>
      <c r="EH27" s="87">
        <f t="shared" si="47"/>
        <v>0</v>
      </c>
      <c r="EI27" s="88">
        <f t="shared" si="48"/>
        <v>0</v>
      </c>
      <c r="EJ27" s="88"/>
      <c r="EK27" s="122">
        <f t="shared" si="49"/>
        <v>149425000</v>
      </c>
      <c r="EL27" s="122">
        <f t="shared" si="50"/>
        <v>0</v>
      </c>
      <c r="EM27" s="122">
        <f t="shared" si="51"/>
        <v>10742.763888888889</v>
      </c>
      <c r="EN27" s="88">
        <f t="shared" si="52"/>
        <v>2.5881847080475157E-2</v>
      </c>
      <c r="EP27" s="87"/>
    </row>
    <row r="28" spans="1:146" x14ac:dyDescent="0.25">
      <c r="A28" s="35">
        <f t="shared" si="53"/>
        <v>43664</v>
      </c>
      <c r="D28" s="87">
        <f t="shared" si="2"/>
        <v>0</v>
      </c>
      <c r="G28" s="87">
        <f t="shared" si="3"/>
        <v>0</v>
      </c>
      <c r="J28" s="87">
        <f t="shared" si="4"/>
        <v>0</v>
      </c>
      <c r="M28" s="87">
        <f t="shared" si="5"/>
        <v>0</v>
      </c>
      <c r="P28" s="87">
        <f t="shared" si="6"/>
        <v>0</v>
      </c>
      <c r="S28" s="87">
        <f t="shared" si="7"/>
        <v>0</v>
      </c>
      <c r="V28" s="87">
        <f t="shared" si="8"/>
        <v>0</v>
      </c>
      <c r="Y28" s="87">
        <f t="shared" si="9"/>
        <v>0</v>
      </c>
      <c r="AB28" s="87">
        <f t="shared" si="10"/>
        <v>0</v>
      </c>
      <c r="AE28" s="87">
        <v>0</v>
      </c>
      <c r="AH28" s="87">
        <v>0</v>
      </c>
      <c r="AI28" s="120">
        <f>61950000</f>
        <v>61950000</v>
      </c>
      <c r="AJ28" s="121">
        <v>2.5399999999999999E-2</v>
      </c>
      <c r="AK28" s="87">
        <f t="shared" si="11"/>
        <v>4370.916666666667</v>
      </c>
      <c r="AL28" s="120"/>
      <c r="AM28" s="121"/>
      <c r="AN28" s="87">
        <f t="shared" si="12"/>
        <v>0</v>
      </c>
      <c r="AO28" s="120"/>
      <c r="AP28" s="121"/>
      <c r="AQ28" s="87">
        <f t="shared" si="13"/>
        <v>0</v>
      </c>
      <c r="AR28" s="120">
        <f t="shared" si="54"/>
        <v>80000000</v>
      </c>
      <c r="AS28" s="121">
        <v>2.63E-2</v>
      </c>
      <c r="AT28" s="87">
        <f t="shared" si="14"/>
        <v>5844.4444444444443</v>
      </c>
      <c r="AW28" s="87">
        <f t="shared" si="15"/>
        <v>0</v>
      </c>
      <c r="AZ28" s="87">
        <f t="shared" si="16"/>
        <v>0</v>
      </c>
      <c r="BC28" s="87">
        <f t="shared" si="17"/>
        <v>0</v>
      </c>
      <c r="BF28" s="87">
        <f t="shared" si="18"/>
        <v>0</v>
      </c>
      <c r="BI28" s="87">
        <f t="shared" si="19"/>
        <v>0</v>
      </c>
      <c r="BL28" s="87">
        <f t="shared" si="20"/>
        <v>0</v>
      </c>
      <c r="BO28" s="87">
        <f t="shared" si="21"/>
        <v>0</v>
      </c>
      <c r="BR28" s="87">
        <f t="shared" si="22"/>
        <v>0</v>
      </c>
      <c r="BU28" s="87">
        <f t="shared" si="23"/>
        <v>0</v>
      </c>
      <c r="BX28" s="87">
        <f t="shared" si="24"/>
        <v>0</v>
      </c>
      <c r="CA28" s="87">
        <f t="shared" si="25"/>
        <v>0</v>
      </c>
      <c r="CD28" s="87">
        <f t="shared" si="26"/>
        <v>0</v>
      </c>
      <c r="CG28" s="87">
        <f t="shared" si="27"/>
        <v>0</v>
      </c>
      <c r="CJ28" s="87">
        <f t="shared" si="28"/>
        <v>0</v>
      </c>
      <c r="CM28" s="87">
        <f t="shared" si="29"/>
        <v>0</v>
      </c>
      <c r="CP28" s="87">
        <f t="shared" si="30"/>
        <v>0</v>
      </c>
      <c r="CS28" s="87">
        <f t="shared" si="31"/>
        <v>0</v>
      </c>
      <c r="CV28" s="87">
        <f t="shared" si="32"/>
        <v>0</v>
      </c>
      <c r="CY28" s="87">
        <f t="shared" si="33"/>
        <v>0</v>
      </c>
      <c r="DB28" s="87">
        <f t="shared" si="34"/>
        <v>0</v>
      </c>
      <c r="DE28" s="87">
        <f t="shared" si="35"/>
        <v>0</v>
      </c>
      <c r="DH28" s="87">
        <f t="shared" si="36"/>
        <v>0</v>
      </c>
      <c r="DK28" s="87">
        <f t="shared" si="37"/>
        <v>0</v>
      </c>
      <c r="DN28" s="87">
        <f t="shared" si="38"/>
        <v>0</v>
      </c>
      <c r="DQ28" s="87">
        <f t="shared" si="39"/>
        <v>0</v>
      </c>
      <c r="DT28" s="87">
        <f t="shared" si="40"/>
        <v>0</v>
      </c>
      <c r="DW28" s="87">
        <f t="shared" si="41"/>
        <v>0</v>
      </c>
      <c r="DZ28" s="87"/>
      <c r="EA28" s="87"/>
      <c r="EB28" s="122">
        <f t="shared" si="42"/>
        <v>141950000</v>
      </c>
      <c r="EC28" s="122">
        <f t="shared" si="43"/>
        <v>0</v>
      </c>
      <c r="ED28" s="87">
        <f t="shared" si="44"/>
        <v>10215.361111111111</v>
      </c>
      <c r="EE28" s="88">
        <f t="shared" si="45"/>
        <v>2.5907220852412823E-2</v>
      </c>
      <c r="EG28" s="122">
        <f t="shared" si="46"/>
        <v>0</v>
      </c>
      <c r="EH28" s="87">
        <f t="shared" si="47"/>
        <v>0</v>
      </c>
      <c r="EI28" s="88">
        <f t="shared" si="48"/>
        <v>0</v>
      </c>
      <c r="EJ28" s="88"/>
      <c r="EK28" s="122">
        <f t="shared" si="49"/>
        <v>141950000</v>
      </c>
      <c r="EL28" s="122">
        <f t="shared" si="50"/>
        <v>0</v>
      </c>
      <c r="EM28" s="122">
        <f t="shared" si="51"/>
        <v>10215.361111111111</v>
      </c>
      <c r="EN28" s="88">
        <f t="shared" si="52"/>
        <v>2.5907220852412823E-2</v>
      </c>
      <c r="EP28" s="87"/>
    </row>
    <row r="29" spans="1:146" x14ac:dyDescent="0.25">
      <c r="A29" s="35">
        <f t="shared" si="53"/>
        <v>43665</v>
      </c>
      <c r="D29" s="87">
        <f t="shared" si="2"/>
        <v>0</v>
      </c>
      <c r="G29" s="87">
        <f t="shared" si="3"/>
        <v>0</v>
      </c>
      <c r="J29" s="87">
        <f t="shared" si="4"/>
        <v>0</v>
      </c>
      <c r="M29" s="87">
        <f t="shared" si="5"/>
        <v>0</v>
      </c>
      <c r="P29" s="87">
        <f t="shared" si="6"/>
        <v>0</v>
      </c>
      <c r="S29" s="87">
        <f t="shared" si="7"/>
        <v>0</v>
      </c>
      <c r="V29" s="87">
        <f t="shared" si="8"/>
        <v>0</v>
      </c>
      <c r="Y29" s="87">
        <f t="shared" si="9"/>
        <v>0</v>
      </c>
      <c r="AB29" s="87">
        <f t="shared" si="10"/>
        <v>0</v>
      </c>
      <c r="AE29" s="87">
        <v>0</v>
      </c>
      <c r="AH29" s="87">
        <v>0</v>
      </c>
      <c r="AI29" s="120">
        <f>49600000+175000</f>
        <v>49775000</v>
      </c>
      <c r="AJ29" s="121">
        <v>2.5399999999999999E-2</v>
      </c>
      <c r="AK29" s="87">
        <f t="shared" si="11"/>
        <v>3511.9027777777778</v>
      </c>
      <c r="AL29" s="120"/>
      <c r="AM29" s="121"/>
      <c r="AN29" s="87">
        <f t="shared" si="12"/>
        <v>0</v>
      </c>
      <c r="AO29" s="120"/>
      <c r="AP29" s="121"/>
      <c r="AQ29" s="87">
        <f t="shared" si="13"/>
        <v>0</v>
      </c>
      <c r="AR29" s="120">
        <f t="shared" si="54"/>
        <v>80000000</v>
      </c>
      <c r="AS29" s="121">
        <v>2.63E-2</v>
      </c>
      <c r="AT29" s="87">
        <f t="shared" si="14"/>
        <v>5844.4444444444443</v>
      </c>
      <c r="AW29" s="87">
        <f t="shared" si="15"/>
        <v>0</v>
      </c>
      <c r="AZ29" s="87">
        <f t="shared" si="16"/>
        <v>0</v>
      </c>
      <c r="BC29" s="87">
        <f t="shared" si="17"/>
        <v>0</v>
      </c>
      <c r="BF29" s="87">
        <f t="shared" si="18"/>
        <v>0</v>
      </c>
      <c r="BI29" s="87">
        <f t="shared" si="19"/>
        <v>0</v>
      </c>
      <c r="BL29" s="87">
        <f t="shared" si="20"/>
        <v>0</v>
      </c>
      <c r="BO29" s="87">
        <f t="shared" si="21"/>
        <v>0</v>
      </c>
      <c r="BR29" s="87">
        <f t="shared" si="22"/>
        <v>0</v>
      </c>
      <c r="BU29" s="87">
        <f t="shared" si="23"/>
        <v>0</v>
      </c>
      <c r="BX29" s="87">
        <f t="shared" si="24"/>
        <v>0</v>
      </c>
      <c r="CA29" s="87">
        <f t="shared" si="25"/>
        <v>0</v>
      </c>
      <c r="CD29" s="87">
        <f t="shared" si="26"/>
        <v>0</v>
      </c>
      <c r="CG29" s="87">
        <f t="shared" si="27"/>
        <v>0</v>
      </c>
      <c r="CJ29" s="87">
        <f t="shared" si="28"/>
        <v>0</v>
      </c>
      <c r="CM29" s="87">
        <f t="shared" si="29"/>
        <v>0</v>
      </c>
      <c r="CP29" s="87">
        <f t="shared" si="30"/>
        <v>0</v>
      </c>
      <c r="CS29" s="87">
        <f t="shared" si="31"/>
        <v>0</v>
      </c>
      <c r="CV29" s="87">
        <f t="shared" si="32"/>
        <v>0</v>
      </c>
      <c r="CY29" s="87">
        <f t="shared" si="33"/>
        <v>0</v>
      </c>
      <c r="DB29" s="87">
        <f t="shared" si="34"/>
        <v>0</v>
      </c>
      <c r="DE29" s="87">
        <f t="shared" si="35"/>
        <v>0</v>
      </c>
      <c r="DH29" s="87">
        <f t="shared" si="36"/>
        <v>0</v>
      </c>
      <c r="DK29" s="87">
        <f t="shared" si="37"/>
        <v>0</v>
      </c>
      <c r="DN29" s="87">
        <f t="shared" si="38"/>
        <v>0</v>
      </c>
      <c r="DQ29" s="87">
        <f t="shared" si="39"/>
        <v>0</v>
      </c>
      <c r="DT29" s="87">
        <f t="shared" si="40"/>
        <v>0</v>
      </c>
      <c r="DW29" s="87">
        <f t="shared" si="41"/>
        <v>0</v>
      </c>
      <c r="DZ29" s="87"/>
      <c r="EA29" s="87"/>
      <c r="EB29" s="122">
        <f t="shared" si="42"/>
        <v>129775000</v>
      </c>
      <c r="EC29" s="122">
        <f t="shared" si="43"/>
        <v>0</v>
      </c>
      <c r="ED29" s="87">
        <f t="shared" si="44"/>
        <v>9356.3472222222226</v>
      </c>
      <c r="EE29" s="88">
        <f t="shared" si="45"/>
        <v>2.5954806395684839E-2</v>
      </c>
      <c r="EG29" s="122">
        <f t="shared" si="46"/>
        <v>0</v>
      </c>
      <c r="EH29" s="87">
        <f t="shared" si="47"/>
        <v>0</v>
      </c>
      <c r="EI29" s="88">
        <f t="shared" si="48"/>
        <v>0</v>
      </c>
      <c r="EJ29" s="88"/>
      <c r="EK29" s="122">
        <f t="shared" si="49"/>
        <v>129775000</v>
      </c>
      <c r="EL29" s="122">
        <f t="shared" si="50"/>
        <v>0</v>
      </c>
      <c r="EM29" s="122">
        <f t="shared" si="51"/>
        <v>9356.3472222222226</v>
      </c>
      <c r="EN29" s="88">
        <f t="shared" si="52"/>
        <v>2.5954806395684839E-2</v>
      </c>
      <c r="EP29" s="87"/>
    </row>
    <row r="30" spans="1:146" x14ac:dyDescent="0.25">
      <c r="A30" s="35">
        <f t="shared" si="53"/>
        <v>43666</v>
      </c>
      <c r="D30" s="87">
        <f t="shared" si="2"/>
        <v>0</v>
      </c>
      <c r="G30" s="87">
        <f t="shared" si="3"/>
        <v>0</v>
      </c>
      <c r="J30" s="87">
        <f t="shared" si="4"/>
        <v>0</v>
      </c>
      <c r="M30" s="87">
        <f t="shared" si="5"/>
        <v>0</v>
      </c>
      <c r="P30" s="87">
        <f t="shared" si="6"/>
        <v>0</v>
      </c>
      <c r="S30" s="87">
        <f t="shared" si="7"/>
        <v>0</v>
      </c>
      <c r="V30" s="87">
        <f t="shared" si="8"/>
        <v>0</v>
      </c>
      <c r="Y30" s="87">
        <f t="shared" si="9"/>
        <v>0</v>
      </c>
      <c r="AB30" s="87">
        <f t="shared" si="10"/>
        <v>0</v>
      </c>
      <c r="AE30" s="87">
        <v>0</v>
      </c>
      <c r="AH30" s="87">
        <v>0</v>
      </c>
      <c r="AI30" s="120">
        <f>49600000+175000</f>
        <v>49775000</v>
      </c>
      <c r="AJ30" s="121">
        <v>2.5399999999999999E-2</v>
      </c>
      <c r="AK30" s="87">
        <f t="shared" si="11"/>
        <v>3511.9027777777778</v>
      </c>
      <c r="AL30" s="120"/>
      <c r="AM30" s="121"/>
      <c r="AN30" s="87">
        <f t="shared" si="12"/>
        <v>0</v>
      </c>
      <c r="AO30" s="120"/>
      <c r="AP30" s="121"/>
      <c r="AQ30" s="87">
        <f t="shared" si="13"/>
        <v>0</v>
      </c>
      <c r="AR30" s="120">
        <f t="shared" si="54"/>
        <v>80000000</v>
      </c>
      <c r="AS30" s="121">
        <v>2.63E-2</v>
      </c>
      <c r="AT30" s="87">
        <f t="shared" si="14"/>
        <v>5844.4444444444443</v>
      </c>
      <c r="AW30" s="87">
        <f t="shared" si="15"/>
        <v>0</v>
      </c>
      <c r="AZ30" s="87">
        <f t="shared" si="16"/>
        <v>0</v>
      </c>
      <c r="BC30" s="87">
        <f t="shared" si="17"/>
        <v>0</v>
      </c>
      <c r="BF30" s="87">
        <f t="shared" si="18"/>
        <v>0</v>
      </c>
      <c r="BI30" s="87">
        <f t="shared" si="19"/>
        <v>0</v>
      </c>
      <c r="BL30" s="87">
        <f t="shared" si="20"/>
        <v>0</v>
      </c>
      <c r="BO30" s="87">
        <f t="shared" si="21"/>
        <v>0</v>
      </c>
      <c r="BR30" s="87">
        <f t="shared" si="22"/>
        <v>0</v>
      </c>
      <c r="BU30" s="87">
        <f t="shared" si="23"/>
        <v>0</v>
      </c>
      <c r="BX30" s="87">
        <f t="shared" si="24"/>
        <v>0</v>
      </c>
      <c r="CA30" s="87">
        <f t="shared" si="25"/>
        <v>0</v>
      </c>
      <c r="CD30" s="87">
        <f t="shared" si="26"/>
        <v>0</v>
      </c>
      <c r="CG30" s="87">
        <f t="shared" si="27"/>
        <v>0</v>
      </c>
      <c r="CJ30" s="87">
        <f t="shared" si="28"/>
        <v>0</v>
      </c>
      <c r="CM30" s="87">
        <f t="shared" si="29"/>
        <v>0</v>
      </c>
      <c r="CP30" s="87">
        <f t="shared" si="30"/>
        <v>0</v>
      </c>
      <c r="CS30" s="87">
        <f t="shared" si="31"/>
        <v>0</v>
      </c>
      <c r="CV30" s="87">
        <f t="shared" si="32"/>
        <v>0</v>
      </c>
      <c r="CY30" s="87">
        <f t="shared" si="33"/>
        <v>0</v>
      </c>
      <c r="DB30" s="87">
        <f t="shared" si="34"/>
        <v>0</v>
      </c>
      <c r="DE30" s="87">
        <f t="shared" si="35"/>
        <v>0</v>
      </c>
      <c r="DH30" s="87">
        <f t="shared" si="36"/>
        <v>0</v>
      </c>
      <c r="DK30" s="87">
        <f t="shared" si="37"/>
        <v>0</v>
      </c>
      <c r="DN30" s="87">
        <f t="shared" si="38"/>
        <v>0</v>
      </c>
      <c r="DQ30" s="87">
        <f t="shared" si="39"/>
        <v>0</v>
      </c>
      <c r="DT30" s="87">
        <f t="shared" si="40"/>
        <v>0</v>
      </c>
      <c r="DW30" s="87">
        <f t="shared" si="41"/>
        <v>0</v>
      </c>
      <c r="DZ30" s="87"/>
      <c r="EA30" s="87"/>
      <c r="EB30" s="122">
        <f t="shared" si="42"/>
        <v>129775000</v>
      </c>
      <c r="EC30" s="122">
        <f t="shared" si="43"/>
        <v>0</v>
      </c>
      <c r="ED30" s="87">
        <f t="shared" si="44"/>
        <v>9356.3472222222226</v>
      </c>
      <c r="EE30" s="88">
        <f t="shared" si="45"/>
        <v>2.5954806395684839E-2</v>
      </c>
      <c r="EG30" s="122">
        <f t="shared" si="46"/>
        <v>0</v>
      </c>
      <c r="EH30" s="87">
        <f t="shared" si="47"/>
        <v>0</v>
      </c>
      <c r="EI30" s="88">
        <f t="shared" si="48"/>
        <v>0</v>
      </c>
      <c r="EJ30" s="88"/>
      <c r="EK30" s="122">
        <f t="shared" si="49"/>
        <v>129775000</v>
      </c>
      <c r="EL30" s="122">
        <f t="shared" si="50"/>
        <v>0</v>
      </c>
      <c r="EM30" s="122">
        <f t="shared" si="51"/>
        <v>9356.3472222222226</v>
      </c>
      <c r="EN30" s="88">
        <f t="shared" si="52"/>
        <v>2.5954806395684839E-2</v>
      </c>
      <c r="EP30" s="87"/>
    </row>
    <row r="31" spans="1:146" x14ac:dyDescent="0.25">
      <c r="A31" s="35">
        <f t="shared" si="53"/>
        <v>43667</v>
      </c>
      <c r="D31" s="87">
        <f t="shared" si="2"/>
        <v>0</v>
      </c>
      <c r="G31" s="87">
        <f t="shared" si="3"/>
        <v>0</v>
      </c>
      <c r="J31" s="87">
        <f t="shared" si="4"/>
        <v>0</v>
      </c>
      <c r="M31" s="87">
        <f t="shared" si="5"/>
        <v>0</v>
      </c>
      <c r="P31" s="87">
        <f t="shared" si="6"/>
        <v>0</v>
      </c>
      <c r="S31" s="87">
        <f t="shared" si="7"/>
        <v>0</v>
      </c>
      <c r="V31" s="87">
        <f t="shared" si="8"/>
        <v>0</v>
      </c>
      <c r="Y31" s="87">
        <f t="shared" si="9"/>
        <v>0</v>
      </c>
      <c r="AB31" s="87">
        <f t="shared" si="10"/>
        <v>0</v>
      </c>
      <c r="AE31" s="87">
        <v>0</v>
      </c>
      <c r="AH31" s="87">
        <v>0</v>
      </c>
      <c r="AI31" s="120">
        <f>49600000+175000</f>
        <v>49775000</v>
      </c>
      <c r="AJ31" s="121">
        <v>2.5399999999999999E-2</v>
      </c>
      <c r="AK31" s="87">
        <f t="shared" si="11"/>
        <v>3511.9027777777778</v>
      </c>
      <c r="AL31" s="120"/>
      <c r="AM31" s="121"/>
      <c r="AN31" s="87">
        <f t="shared" si="12"/>
        <v>0</v>
      </c>
      <c r="AO31" s="120"/>
      <c r="AP31" s="121"/>
      <c r="AQ31" s="87">
        <f t="shared" si="13"/>
        <v>0</v>
      </c>
      <c r="AR31" s="120">
        <f t="shared" si="54"/>
        <v>80000000</v>
      </c>
      <c r="AS31" s="121">
        <v>2.63E-2</v>
      </c>
      <c r="AT31" s="87">
        <f t="shared" si="14"/>
        <v>5844.4444444444443</v>
      </c>
      <c r="AW31" s="87">
        <f t="shared" si="15"/>
        <v>0</v>
      </c>
      <c r="AZ31" s="87">
        <f t="shared" si="16"/>
        <v>0</v>
      </c>
      <c r="BC31" s="87">
        <f t="shared" si="17"/>
        <v>0</v>
      </c>
      <c r="BF31" s="87">
        <f t="shared" si="18"/>
        <v>0</v>
      </c>
      <c r="BI31" s="87">
        <f t="shared" si="19"/>
        <v>0</v>
      </c>
      <c r="BL31" s="87">
        <f t="shared" si="20"/>
        <v>0</v>
      </c>
      <c r="BO31" s="87">
        <f t="shared" si="21"/>
        <v>0</v>
      </c>
      <c r="BR31" s="87">
        <f t="shared" si="22"/>
        <v>0</v>
      </c>
      <c r="BU31" s="87">
        <f t="shared" si="23"/>
        <v>0</v>
      </c>
      <c r="BX31" s="87">
        <f t="shared" si="24"/>
        <v>0</v>
      </c>
      <c r="CA31" s="87">
        <f t="shared" si="25"/>
        <v>0</v>
      </c>
      <c r="CD31" s="87">
        <f t="shared" si="26"/>
        <v>0</v>
      </c>
      <c r="CG31" s="87">
        <f t="shared" si="27"/>
        <v>0</v>
      </c>
      <c r="CJ31" s="87">
        <f t="shared" si="28"/>
        <v>0</v>
      </c>
      <c r="CM31" s="87">
        <f t="shared" si="29"/>
        <v>0</v>
      </c>
      <c r="CP31" s="87">
        <f t="shared" si="30"/>
        <v>0</v>
      </c>
      <c r="CS31" s="87">
        <f t="shared" si="31"/>
        <v>0</v>
      </c>
      <c r="CV31" s="87">
        <f t="shared" si="32"/>
        <v>0</v>
      </c>
      <c r="CY31" s="87">
        <f t="shared" si="33"/>
        <v>0</v>
      </c>
      <c r="DB31" s="87">
        <f t="shared" si="34"/>
        <v>0</v>
      </c>
      <c r="DE31" s="87">
        <f t="shared" si="35"/>
        <v>0</v>
      </c>
      <c r="DH31" s="87">
        <f t="shared" si="36"/>
        <v>0</v>
      </c>
      <c r="DK31" s="87">
        <f t="shared" si="37"/>
        <v>0</v>
      </c>
      <c r="DN31" s="87">
        <f t="shared" si="38"/>
        <v>0</v>
      </c>
      <c r="DQ31" s="87">
        <f t="shared" si="39"/>
        <v>0</v>
      </c>
      <c r="DT31" s="87">
        <f t="shared" si="40"/>
        <v>0</v>
      </c>
      <c r="DW31" s="87">
        <f t="shared" si="41"/>
        <v>0</v>
      </c>
      <c r="DZ31" s="87"/>
      <c r="EA31" s="87"/>
      <c r="EB31" s="122">
        <f t="shared" si="42"/>
        <v>129775000</v>
      </c>
      <c r="EC31" s="122">
        <f t="shared" si="43"/>
        <v>0</v>
      </c>
      <c r="ED31" s="87">
        <f t="shared" si="44"/>
        <v>9356.3472222222226</v>
      </c>
      <c r="EE31" s="88">
        <f t="shared" si="45"/>
        <v>2.5954806395684839E-2</v>
      </c>
      <c r="EG31" s="122">
        <f t="shared" si="46"/>
        <v>0</v>
      </c>
      <c r="EH31" s="87">
        <f t="shared" si="47"/>
        <v>0</v>
      </c>
      <c r="EI31" s="88">
        <f t="shared" si="48"/>
        <v>0</v>
      </c>
      <c r="EJ31" s="88"/>
      <c r="EK31" s="122">
        <f t="shared" si="49"/>
        <v>129775000</v>
      </c>
      <c r="EL31" s="122">
        <f t="shared" si="50"/>
        <v>0</v>
      </c>
      <c r="EM31" s="122">
        <f t="shared" si="51"/>
        <v>9356.3472222222226</v>
      </c>
      <c r="EN31" s="88">
        <f t="shared" si="52"/>
        <v>2.5954806395684839E-2</v>
      </c>
      <c r="EP31" s="87"/>
    </row>
    <row r="32" spans="1:146" x14ac:dyDescent="0.25">
      <c r="A32" s="35">
        <f t="shared" si="53"/>
        <v>43668</v>
      </c>
      <c r="D32" s="87">
        <f t="shared" si="2"/>
        <v>0</v>
      </c>
      <c r="G32" s="87">
        <f t="shared" si="3"/>
        <v>0</v>
      </c>
      <c r="J32" s="87">
        <f t="shared" si="4"/>
        <v>0</v>
      </c>
      <c r="M32" s="87">
        <f t="shared" si="5"/>
        <v>0</v>
      </c>
      <c r="P32" s="87">
        <f t="shared" si="6"/>
        <v>0</v>
      </c>
      <c r="S32" s="87">
        <f t="shared" si="7"/>
        <v>0</v>
      </c>
      <c r="V32" s="87">
        <f t="shared" si="8"/>
        <v>0</v>
      </c>
      <c r="Y32" s="87">
        <f t="shared" si="9"/>
        <v>0</v>
      </c>
      <c r="AB32" s="87">
        <f t="shared" si="10"/>
        <v>0</v>
      </c>
      <c r="AE32" s="87">
        <v>0</v>
      </c>
      <c r="AH32" s="87">
        <v>0</v>
      </c>
      <c r="AI32" s="120">
        <f>52725000</f>
        <v>52725000</v>
      </c>
      <c r="AJ32" s="121">
        <v>2.5399999999999999E-2</v>
      </c>
      <c r="AK32" s="87">
        <f t="shared" si="11"/>
        <v>3720.0416666666665</v>
      </c>
      <c r="AL32" s="120"/>
      <c r="AM32" s="121"/>
      <c r="AN32" s="87">
        <f t="shared" si="12"/>
        <v>0</v>
      </c>
      <c r="AO32" s="120"/>
      <c r="AP32" s="121"/>
      <c r="AQ32" s="87">
        <f t="shared" si="13"/>
        <v>0</v>
      </c>
      <c r="AR32" s="120">
        <f t="shared" si="54"/>
        <v>80000000</v>
      </c>
      <c r="AS32" s="121">
        <v>2.63E-2</v>
      </c>
      <c r="AT32" s="87">
        <f t="shared" si="14"/>
        <v>5844.4444444444443</v>
      </c>
      <c r="AW32" s="87">
        <f t="shared" si="15"/>
        <v>0</v>
      </c>
      <c r="AZ32" s="87">
        <f t="shared" si="16"/>
        <v>0</v>
      </c>
      <c r="BC32" s="87">
        <f t="shared" si="17"/>
        <v>0</v>
      </c>
      <c r="BF32" s="87">
        <f t="shared" si="18"/>
        <v>0</v>
      </c>
      <c r="BI32" s="87">
        <f t="shared" si="19"/>
        <v>0</v>
      </c>
      <c r="BL32" s="87">
        <f t="shared" si="20"/>
        <v>0</v>
      </c>
      <c r="BO32" s="87">
        <f t="shared" si="21"/>
        <v>0</v>
      </c>
      <c r="BR32" s="87">
        <f t="shared" si="22"/>
        <v>0</v>
      </c>
      <c r="BU32" s="87">
        <f t="shared" si="23"/>
        <v>0</v>
      </c>
      <c r="BX32" s="87">
        <f t="shared" si="24"/>
        <v>0</v>
      </c>
      <c r="CA32" s="87">
        <f t="shared" si="25"/>
        <v>0</v>
      </c>
      <c r="CD32" s="87">
        <f t="shared" si="26"/>
        <v>0</v>
      </c>
      <c r="CG32" s="87">
        <f t="shared" si="27"/>
        <v>0</v>
      </c>
      <c r="CJ32" s="87">
        <f t="shared" si="28"/>
        <v>0</v>
      </c>
      <c r="CM32" s="87">
        <f t="shared" si="29"/>
        <v>0</v>
      </c>
      <c r="CP32" s="87">
        <f t="shared" si="30"/>
        <v>0</v>
      </c>
      <c r="CS32" s="87">
        <f t="shared" si="31"/>
        <v>0</v>
      </c>
      <c r="CV32" s="87">
        <f t="shared" si="32"/>
        <v>0</v>
      </c>
      <c r="CY32" s="87">
        <f t="shared" si="33"/>
        <v>0</v>
      </c>
      <c r="DB32" s="87">
        <f t="shared" si="34"/>
        <v>0</v>
      </c>
      <c r="DE32" s="87">
        <f t="shared" si="35"/>
        <v>0</v>
      </c>
      <c r="DH32" s="87">
        <f t="shared" si="36"/>
        <v>0</v>
      </c>
      <c r="DK32" s="87">
        <f t="shared" si="37"/>
        <v>0</v>
      </c>
      <c r="DN32" s="87">
        <f t="shared" si="38"/>
        <v>0</v>
      </c>
      <c r="DQ32" s="87">
        <f t="shared" si="39"/>
        <v>0</v>
      </c>
      <c r="DT32" s="87">
        <f t="shared" si="40"/>
        <v>0</v>
      </c>
      <c r="DW32" s="87">
        <f t="shared" si="41"/>
        <v>0</v>
      </c>
      <c r="DZ32" s="87"/>
      <c r="EA32" s="87"/>
      <c r="EB32" s="122">
        <f t="shared" si="42"/>
        <v>132725000</v>
      </c>
      <c r="EC32" s="122">
        <f t="shared" si="43"/>
        <v>0</v>
      </c>
      <c r="ED32" s="87">
        <f t="shared" si="44"/>
        <v>9564.4861111111113</v>
      </c>
      <c r="EE32" s="88">
        <f t="shared" si="45"/>
        <v>2.5942475042380862E-2</v>
      </c>
      <c r="EG32" s="122">
        <f t="shared" si="46"/>
        <v>0</v>
      </c>
      <c r="EH32" s="87">
        <f t="shared" si="47"/>
        <v>0</v>
      </c>
      <c r="EI32" s="88">
        <f t="shared" si="48"/>
        <v>0</v>
      </c>
      <c r="EJ32" s="88"/>
      <c r="EK32" s="122">
        <f t="shared" si="49"/>
        <v>132725000</v>
      </c>
      <c r="EL32" s="122">
        <f t="shared" si="50"/>
        <v>0</v>
      </c>
      <c r="EM32" s="122">
        <f t="shared" si="51"/>
        <v>9564.4861111111113</v>
      </c>
      <c r="EN32" s="88">
        <f t="shared" si="52"/>
        <v>2.5942475042380862E-2</v>
      </c>
      <c r="EP32" s="87"/>
    </row>
    <row r="33" spans="1:146" x14ac:dyDescent="0.25">
      <c r="A33" s="35">
        <f t="shared" si="53"/>
        <v>43669</v>
      </c>
      <c r="D33" s="87">
        <f t="shared" si="2"/>
        <v>0</v>
      </c>
      <c r="G33" s="87">
        <f t="shared" si="3"/>
        <v>0</v>
      </c>
      <c r="J33" s="87">
        <f t="shared" si="4"/>
        <v>0</v>
      </c>
      <c r="M33" s="87">
        <f t="shared" si="5"/>
        <v>0</v>
      </c>
      <c r="P33" s="87">
        <f t="shared" si="6"/>
        <v>0</v>
      </c>
      <c r="S33" s="87">
        <f t="shared" si="7"/>
        <v>0</v>
      </c>
      <c r="V33" s="87">
        <f t="shared" si="8"/>
        <v>0</v>
      </c>
      <c r="Y33" s="87">
        <f t="shared" si="9"/>
        <v>0</v>
      </c>
      <c r="AB33" s="87">
        <f t="shared" si="10"/>
        <v>0</v>
      </c>
      <c r="AE33" s="87">
        <v>0</v>
      </c>
      <c r="AH33" s="87">
        <v>0</v>
      </c>
      <c r="AI33" s="120">
        <f>43775000</f>
        <v>43775000</v>
      </c>
      <c r="AJ33" s="121">
        <v>2.5399999999999999E-2</v>
      </c>
      <c r="AK33" s="87">
        <f t="shared" si="11"/>
        <v>3088.5694444444443</v>
      </c>
      <c r="AL33" s="120"/>
      <c r="AM33" s="121"/>
      <c r="AN33" s="87">
        <f t="shared" si="12"/>
        <v>0</v>
      </c>
      <c r="AO33" s="120"/>
      <c r="AP33" s="121"/>
      <c r="AQ33" s="87">
        <f t="shared" si="13"/>
        <v>0</v>
      </c>
      <c r="AR33" s="120">
        <f t="shared" si="54"/>
        <v>80000000</v>
      </c>
      <c r="AS33" s="121">
        <v>2.63E-2</v>
      </c>
      <c r="AT33" s="87">
        <f t="shared" si="14"/>
        <v>5844.4444444444443</v>
      </c>
      <c r="AW33" s="87">
        <f t="shared" si="15"/>
        <v>0</v>
      </c>
      <c r="AZ33" s="87">
        <f t="shared" si="16"/>
        <v>0</v>
      </c>
      <c r="BC33" s="87">
        <f t="shared" si="17"/>
        <v>0</v>
      </c>
      <c r="BF33" s="87">
        <f t="shared" si="18"/>
        <v>0</v>
      </c>
      <c r="BI33" s="87">
        <f t="shared" si="19"/>
        <v>0</v>
      </c>
      <c r="BL33" s="87">
        <f t="shared" si="20"/>
        <v>0</v>
      </c>
      <c r="BO33" s="87">
        <f t="shared" si="21"/>
        <v>0</v>
      </c>
      <c r="BR33" s="87">
        <f t="shared" si="22"/>
        <v>0</v>
      </c>
      <c r="BU33" s="87">
        <f t="shared" si="23"/>
        <v>0</v>
      </c>
      <c r="BX33" s="87">
        <f t="shared" si="24"/>
        <v>0</v>
      </c>
      <c r="CA33" s="87">
        <f t="shared" si="25"/>
        <v>0</v>
      </c>
      <c r="CD33" s="87">
        <f t="shared" si="26"/>
        <v>0</v>
      </c>
      <c r="CG33" s="87">
        <f t="shared" si="27"/>
        <v>0</v>
      </c>
      <c r="CJ33" s="87">
        <f t="shared" si="28"/>
        <v>0</v>
      </c>
      <c r="CM33" s="87">
        <f t="shared" si="29"/>
        <v>0</v>
      </c>
      <c r="CP33" s="87">
        <f t="shared" si="30"/>
        <v>0</v>
      </c>
      <c r="CS33" s="87">
        <f t="shared" si="31"/>
        <v>0</v>
      </c>
      <c r="CV33" s="87">
        <f t="shared" si="32"/>
        <v>0</v>
      </c>
      <c r="CY33" s="87">
        <f t="shared" si="33"/>
        <v>0</v>
      </c>
      <c r="DB33" s="87">
        <f t="shared" si="34"/>
        <v>0</v>
      </c>
      <c r="DE33" s="87">
        <f t="shared" si="35"/>
        <v>0</v>
      </c>
      <c r="DH33" s="87">
        <f t="shared" si="36"/>
        <v>0</v>
      </c>
      <c r="DK33" s="87">
        <f t="shared" si="37"/>
        <v>0</v>
      </c>
      <c r="DN33" s="87">
        <f t="shared" si="38"/>
        <v>0</v>
      </c>
      <c r="DQ33" s="87">
        <f t="shared" si="39"/>
        <v>0</v>
      </c>
      <c r="DT33" s="87">
        <f t="shared" si="40"/>
        <v>0</v>
      </c>
      <c r="DW33" s="87">
        <f t="shared" si="41"/>
        <v>0</v>
      </c>
      <c r="DZ33" s="87"/>
      <c r="EA33" s="87"/>
      <c r="EB33" s="122">
        <f t="shared" si="42"/>
        <v>123775000</v>
      </c>
      <c r="EC33" s="122">
        <f t="shared" si="43"/>
        <v>0</v>
      </c>
      <c r="ED33" s="87">
        <f t="shared" si="44"/>
        <v>8933.0138888888887</v>
      </c>
      <c r="EE33" s="88">
        <f t="shared" si="45"/>
        <v>2.5981700666532014E-2</v>
      </c>
      <c r="EG33" s="122">
        <f t="shared" si="46"/>
        <v>0</v>
      </c>
      <c r="EH33" s="87">
        <f t="shared" si="47"/>
        <v>0</v>
      </c>
      <c r="EI33" s="88">
        <f t="shared" si="48"/>
        <v>0</v>
      </c>
      <c r="EJ33" s="88"/>
      <c r="EK33" s="122">
        <f t="shared" si="49"/>
        <v>123775000</v>
      </c>
      <c r="EL33" s="122">
        <f t="shared" si="50"/>
        <v>0</v>
      </c>
      <c r="EM33" s="122">
        <f t="shared" si="51"/>
        <v>8933.0138888888887</v>
      </c>
      <c r="EN33" s="88">
        <f t="shared" si="52"/>
        <v>2.5981700666532014E-2</v>
      </c>
      <c r="EP33" s="87"/>
    </row>
    <row r="34" spans="1:146" x14ac:dyDescent="0.25">
      <c r="A34" s="35">
        <f t="shared" si="53"/>
        <v>43670</v>
      </c>
      <c r="D34" s="87">
        <f t="shared" si="2"/>
        <v>0</v>
      </c>
      <c r="G34" s="87">
        <f t="shared" si="3"/>
        <v>0</v>
      </c>
      <c r="J34" s="87">
        <f t="shared" si="4"/>
        <v>0</v>
      </c>
      <c r="M34" s="87">
        <f t="shared" si="5"/>
        <v>0</v>
      </c>
      <c r="P34" s="87">
        <f t="shared" si="6"/>
        <v>0</v>
      </c>
      <c r="S34" s="87">
        <f t="shared" si="7"/>
        <v>0</v>
      </c>
      <c r="V34" s="87">
        <f t="shared" si="8"/>
        <v>0</v>
      </c>
      <c r="Y34" s="87">
        <f t="shared" si="9"/>
        <v>0</v>
      </c>
      <c r="AB34" s="87">
        <f t="shared" si="10"/>
        <v>0</v>
      </c>
      <c r="AE34" s="87">
        <v>0</v>
      </c>
      <c r="AH34" s="87">
        <v>0</v>
      </c>
      <c r="AI34" s="120">
        <f>26925000</f>
        <v>26925000</v>
      </c>
      <c r="AJ34" s="121">
        <v>2.5399999999999999E-2</v>
      </c>
      <c r="AK34" s="87">
        <f t="shared" si="11"/>
        <v>1899.7083333333333</v>
      </c>
      <c r="AL34" s="120"/>
      <c r="AM34" s="121"/>
      <c r="AN34" s="87">
        <f t="shared" si="12"/>
        <v>0</v>
      </c>
      <c r="AO34" s="120"/>
      <c r="AP34" s="121"/>
      <c r="AQ34" s="87">
        <f t="shared" si="13"/>
        <v>0</v>
      </c>
      <c r="AR34" s="120">
        <f t="shared" si="54"/>
        <v>80000000</v>
      </c>
      <c r="AS34" s="121">
        <v>2.63E-2</v>
      </c>
      <c r="AT34" s="87">
        <f t="shared" si="14"/>
        <v>5844.4444444444443</v>
      </c>
      <c r="AW34" s="87">
        <f t="shared" si="15"/>
        <v>0</v>
      </c>
      <c r="AZ34" s="87">
        <f t="shared" si="16"/>
        <v>0</v>
      </c>
      <c r="BC34" s="87">
        <f t="shared" si="17"/>
        <v>0</v>
      </c>
      <c r="BF34" s="87">
        <f t="shared" si="18"/>
        <v>0</v>
      </c>
      <c r="BI34" s="87">
        <f t="shared" si="19"/>
        <v>0</v>
      </c>
      <c r="BL34" s="87">
        <f t="shared" si="20"/>
        <v>0</v>
      </c>
      <c r="BO34" s="87">
        <f t="shared" si="21"/>
        <v>0</v>
      </c>
      <c r="BR34" s="87">
        <f t="shared" si="22"/>
        <v>0</v>
      </c>
      <c r="BU34" s="87">
        <f t="shared" si="23"/>
        <v>0</v>
      </c>
      <c r="BX34" s="87">
        <f t="shared" si="24"/>
        <v>0</v>
      </c>
      <c r="CA34" s="87">
        <f t="shared" si="25"/>
        <v>0</v>
      </c>
      <c r="CD34" s="87">
        <f t="shared" si="26"/>
        <v>0</v>
      </c>
      <c r="CG34" s="87">
        <f t="shared" si="27"/>
        <v>0</v>
      </c>
      <c r="CJ34" s="87">
        <f t="shared" si="28"/>
        <v>0</v>
      </c>
      <c r="CM34" s="87">
        <f t="shared" si="29"/>
        <v>0</v>
      </c>
      <c r="CP34" s="87">
        <f t="shared" si="30"/>
        <v>0</v>
      </c>
      <c r="CS34" s="87">
        <f t="shared" si="31"/>
        <v>0</v>
      </c>
      <c r="CV34" s="87">
        <f t="shared" si="32"/>
        <v>0</v>
      </c>
      <c r="CY34" s="87">
        <f t="shared" si="33"/>
        <v>0</v>
      </c>
      <c r="DB34" s="87">
        <f t="shared" si="34"/>
        <v>0</v>
      </c>
      <c r="DE34" s="87">
        <f t="shared" si="35"/>
        <v>0</v>
      </c>
      <c r="DH34" s="87">
        <f t="shared" si="36"/>
        <v>0</v>
      </c>
      <c r="DK34" s="87">
        <f t="shared" si="37"/>
        <v>0</v>
      </c>
      <c r="DN34" s="87">
        <f t="shared" si="38"/>
        <v>0</v>
      </c>
      <c r="DQ34" s="87">
        <f t="shared" si="39"/>
        <v>0</v>
      </c>
      <c r="DT34" s="87">
        <f t="shared" si="40"/>
        <v>0</v>
      </c>
      <c r="DW34" s="87">
        <f t="shared" si="41"/>
        <v>0</v>
      </c>
      <c r="DZ34" s="87"/>
      <c r="EA34" s="87"/>
      <c r="EB34" s="122">
        <f t="shared" si="42"/>
        <v>106925000</v>
      </c>
      <c r="EC34" s="122">
        <f t="shared" si="43"/>
        <v>0</v>
      </c>
      <c r="ED34" s="87">
        <f t="shared" si="44"/>
        <v>7744.1527777777774</v>
      </c>
      <c r="EE34" s="88">
        <f t="shared" si="45"/>
        <v>2.6073369184007482E-2</v>
      </c>
      <c r="EG34" s="122">
        <f t="shared" si="46"/>
        <v>0</v>
      </c>
      <c r="EH34" s="87">
        <f t="shared" si="47"/>
        <v>0</v>
      </c>
      <c r="EI34" s="88">
        <f t="shared" si="48"/>
        <v>0</v>
      </c>
      <c r="EJ34" s="88"/>
      <c r="EK34" s="122">
        <f t="shared" si="49"/>
        <v>106925000</v>
      </c>
      <c r="EL34" s="122">
        <f t="shared" si="50"/>
        <v>0</v>
      </c>
      <c r="EM34" s="122">
        <f t="shared" si="51"/>
        <v>7744.1527777777774</v>
      </c>
      <c r="EN34" s="88">
        <f t="shared" si="52"/>
        <v>2.6073369184007482E-2</v>
      </c>
      <c r="EP34" s="87"/>
    </row>
    <row r="35" spans="1:146" x14ac:dyDescent="0.25">
      <c r="A35" s="35">
        <f t="shared" si="53"/>
        <v>43671</v>
      </c>
      <c r="D35" s="87">
        <f t="shared" si="2"/>
        <v>0</v>
      </c>
      <c r="G35" s="87">
        <f t="shared" si="3"/>
        <v>0</v>
      </c>
      <c r="J35" s="87">
        <f t="shared" si="4"/>
        <v>0</v>
      </c>
      <c r="M35" s="87">
        <f t="shared" si="5"/>
        <v>0</v>
      </c>
      <c r="P35" s="87">
        <f t="shared" si="6"/>
        <v>0</v>
      </c>
      <c r="S35" s="87">
        <f t="shared" si="7"/>
        <v>0</v>
      </c>
      <c r="V35" s="87">
        <f t="shared" si="8"/>
        <v>0</v>
      </c>
      <c r="Y35" s="87">
        <f t="shared" si="9"/>
        <v>0</v>
      </c>
      <c r="AB35" s="87">
        <f t="shared" si="10"/>
        <v>0</v>
      </c>
      <c r="AE35" s="87">
        <v>0</v>
      </c>
      <c r="AH35" s="87">
        <v>0</v>
      </c>
      <c r="AI35" s="120">
        <f>22175000</f>
        <v>22175000</v>
      </c>
      <c r="AJ35" s="121">
        <v>2.5399999999999999E-2</v>
      </c>
      <c r="AK35" s="87">
        <f t="shared" si="11"/>
        <v>1564.5694444444443</v>
      </c>
      <c r="AL35" s="120"/>
      <c r="AM35" s="121"/>
      <c r="AN35" s="87">
        <f t="shared" si="12"/>
        <v>0</v>
      </c>
      <c r="AO35" s="120"/>
      <c r="AP35" s="121"/>
      <c r="AQ35" s="87">
        <f t="shared" si="13"/>
        <v>0</v>
      </c>
      <c r="AR35" s="120">
        <f t="shared" si="54"/>
        <v>80000000</v>
      </c>
      <c r="AS35" s="121">
        <v>2.63E-2</v>
      </c>
      <c r="AT35" s="87">
        <f t="shared" si="14"/>
        <v>5844.4444444444443</v>
      </c>
      <c r="AW35" s="87">
        <f t="shared" si="15"/>
        <v>0</v>
      </c>
      <c r="AZ35" s="87">
        <f t="shared" si="16"/>
        <v>0</v>
      </c>
      <c r="BC35" s="87">
        <f t="shared" si="17"/>
        <v>0</v>
      </c>
      <c r="BF35" s="87">
        <f t="shared" si="18"/>
        <v>0</v>
      </c>
      <c r="BI35" s="87">
        <f t="shared" si="19"/>
        <v>0</v>
      </c>
      <c r="BL35" s="87">
        <f t="shared" si="20"/>
        <v>0</v>
      </c>
      <c r="BO35" s="87">
        <f t="shared" si="21"/>
        <v>0</v>
      </c>
      <c r="BR35" s="87">
        <f t="shared" si="22"/>
        <v>0</v>
      </c>
      <c r="BU35" s="87">
        <f t="shared" si="23"/>
        <v>0</v>
      </c>
      <c r="BX35" s="87">
        <f t="shared" si="24"/>
        <v>0</v>
      </c>
      <c r="CA35" s="87">
        <f t="shared" si="25"/>
        <v>0</v>
      </c>
      <c r="CD35" s="87">
        <f t="shared" si="26"/>
        <v>0</v>
      </c>
      <c r="CG35" s="87">
        <f t="shared" si="27"/>
        <v>0</v>
      </c>
      <c r="CJ35" s="87">
        <f t="shared" si="28"/>
        <v>0</v>
      </c>
      <c r="CM35" s="87">
        <f t="shared" si="29"/>
        <v>0</v>
      </c>
      <c r="CP35" s="87">
        <f t="shared" si="30"/>
        <v>0</v>
      </c>
      <c r="CS35" s="87">
        <f t="shared" si="31"/>
        <v>0</v>
      </c>
      <c r="CV35" s="87">
        <f t="shared" si="32"/>
        <v>0</v>
      </c>
      <c r="CY35" s="87">
        <f t="shared" si="33"/>
        <v>0</v>
      </c>
      <c r="DB35" s="87">
        <f t="shared" si="34"/>
        <v>0</v>
      </c>
      <c r="DE35" s="87">
        <f t="shared" si="35"/>
        <v>0</v>
      </c>
      <c r="DH35" s="87">
        <f t="shared" si="36"/>
        <v>0</v>
      </c>
      <c r="DK35" s="87">
        <f t="shared" si="37"/>
        <v>0</v>
      </c>
      <c r="DN35" s="87">
        <f t="shared" si="38"/>
        <v>0</v>
      </c>
      <c r="DQ35" s="87">
        <f t="shared" si="39"/>
        <v>0</v>
      </c>
      <c r="DT35" s="87">
        <f t="shared" si="40"/>
        <v>0</v>
      </c>
      <c r="DW35" s="87">
        <f t="shared" si="41"/>
        <v>0</v>
      </c>
      <c r="DZ35" s="87"/>
      <c r="EA35" s="87"/>
      <c r="EB35" s="122">
        <f t="shared" si="42"/>
        <v>102175000</v>
      </c>
      <c r="EC35" s="122">
        <f t="shared" si="43"/>
        <v>0</v>
      </c>
      <c r="ED35" s="87">
        <f t="shared" si="44"/>
        <v>7409.0138888888887</v>
      </c>
      <c r="EE35" s="88">
        <f t="shared" si="45"/>
        <v>2.6104673354538782E-2</v>
      </c>
      <c r="EG35" s="122">
        <f t="shared" si="46"/>
        <v>0</v>
      </c>
      <c r="EH35" s="87">
        <f t="shared" si="47"/>
        <v>0</v>
      </c>
      <c r="EI35" s="88">
        <f t="shared" si="48"/>
        <v>0</v>
      </c>
      <c r="EJ35" s="88"/>
      <c r="EK35" s="122">
        <f t="shared" si="49"/>
        <v>102175000</v>
      </c>
      <c r="EL35" s="122">
        <f t="shared" si="50"/>
        <v>0</v>
      </c>
      <c r="EM35" s="122">
        <f t="shared" si="51"/>
        <v>7409.0138888888887</v>
      </c>
      <c r="EN35" s="88">
        <f t="shared" si="52"/>
        <v>2.6104673354538782E-2</v>
      </c>
      <c r="EP35" s="87"/>
    </row>
    <row r="36" spans="1:146" x14ac:dyDescent="0.25">
      <c r="A36" s="35">
        <f t="shared" si="53"/>
        <v>43672</v>
      </c>
      <c r="D36" s="87">
        <f t="shared" si="2"/>
        <v>0</v>
      </c>
      <c r="G36" s="87">
        <f t="shared" si="3"/>
        <v>0</v>
      </c>
      <c r="J36" s="87">
        <f t="shared" si="4"/>
        <v>0</v>
      </c>
      <c r="M36" s="87">
        <f t="shared" si="5"/>
        <v>0</v>
      </c>
      <c r="P36" s="87">
        <f t="shared" si="6"/>
        <v>0</v>
      </c>
      <c r="S36" s="87">
        <f t="shared" si="7"/>
        <v>0</v>
      </c>
      <c r="V36" s="87">
        <f t="shared" si="8"/>
        <v>0</v>
      </c>
      <c r="Y36" s="87">
        <f t="shared" si="9"/>
        <v>0</v>
      </c>
      <c r="AB36" s="87">
        <f t="shared" si="10"/>
        <v>0</v>
      </c>
      <c r="AE36" s="87">
        <v>0</v>
      </c>
      <c r="AH36" s="87">
        <v>0</v>
      </c>
      <c r="AI36" s="120">
        <f>31825000</f>
        <v>31825000</v>
      </c>
      <c r="AJ36" s="121">
        <v>2.5399999999999999E-2</v>
      </c>
      <c r="AK36" s="87">
        <f t="shared" si="11"/>
        <v>2245.4305555555557</v>
      </c>
      <c r="AL36" s="120"/>
      <c r="AM36" s="121"/>
      <c r="AN36" s="87">
        <f t="shared" si="12"/>
        <v>0</v>
      </c>
      <c r="AO36" s="120"/>
      <c r="AP36" s="121"/>
      <c r="AQ36" s="87">
        <f t="shared" si="13"/>
        <v>0</v>
      </c>
      <c r="AR36" s="120">
        <f t="shared" si="54"/>
        <v>80000000</v>
      </c>
      <c r="AS36" s="121">
        <v>2.63E-2</v>
      </c>
      <c r="AT36" s="87">
        <f t="shared" si="14"/>
        <v>5844.4444444444443</v>
      </c>
      <c r="AW36" s="87">
        <f t="shared" si="15"/>
        <v>0</v>
      </c>
      <c r="AZ36" s="87">
        <f t="shared" si="16"/>
        <v>0</v>
      </c>
      <c r="BC36" s="87">
        <f t="shared" si="17"/>
        <v>0</v>
      </c>
      <c r="BF36" s="87">
        <f t="shared" si="18"/>
        <v>0</v>
      </c>
      <c r="BI36" s="87">
        <f t="shared" si="19"/>
        <v>0</v>
      </c>
      <c r="BL36" s="87">
        <f t="shared" si="20"/>
        <v>0</v>
      </c>
      <c r="BO36" s="87">
        <f t="shared" si="21"/>
        <v>0</v>
      </c>
      <c r="BR36" s="87">
        <f t="shared" si="22"/>
        <v>0</v>
      </c>
      <c r="BU36" s="87">
        <f t="shared" si="23"/>
        <v>0</v>
      </c>
      <c r="BX36" s="87">
        <f t="shared" si="24"/>
        <v>0</v>
      </c>
      <c r="CA36" s="87">
        <f t="shared" si="25"/>
        <v>0</v>
      </c>
      <c r="CD36" s="87">
        <f t="shared" si="26"/>
        <v>0</v>
      </c>
      <c r="CG36" s="87">
        <f t="shared" si="27"/>
        <v>0</v>
      </c>
      <c r="CJ36" s="87">
        <f t="shared" si="28"/>
        <v>0</v>
      </c>
      <c r="CM36" s="87">
        <f t="shared" si="29"/>
        <v>0</v>
      </c>
      <c r="CP36" s="87">
        <f t="shared" si="30"/>
        <v>0</v>
      </c>
      <c r="CS36" s="87">
        <f t="shared" si="31"/>
        <v>0</v>
      </c>
      <c r="CV36" s="87">
        <f t="shared" si="32"/>
        <v>0</v>
      </c>
      <c r="CY36" s="87">
        <f t="shared" si="33"/>
        <v>0</v>
      </c>
      <c r="DB36" s="87">
        <f t="shared" si="34"/>
        <v>0</v>
      </c>
      <c r="DE36" s="87">
        <f t="shared" si="35"/>
        <v>0</v>
      </c>
      <c r="DH36" s="87">
        <f t="shared" si="36"/>
        <v>0</v>
      </c>
      <c r="DK36" s="87">
        <f t="shared" si="37"/>
        <v>0</v>
      </c>
      <c r="DN36" s="87">
        <f t="shared" si="38"/>
        <v>0</v>
      </c>
      <c r="DQ36" s="87">
        <f t="shared" si="39"/>
        <v>0</v>
      </c>
      <c r="DT36" s="87">
        <f t="shared" si="40"/>
        <v>0</v>
      </c>
      <c r="DW36" s="87">
        <f t="shared" si="41"/>
        <v>0</v>
      </c>
      <c r="DZ36" s="87"/>
      <c r="EA36" s="87"/>
      <c r="EB36" s="122">
        <f t="shared" si="42"/>
        <v>111825000</v>
      </c>
      <c r="EC36" s="122">
        <f t="shared" si="43"/>
        <v>0</v>
      </c>
      <c r="ED36" s="87">
        <f t="shared" si="44"/>
        <v>8089.875</v>
      </c>
      <c r="EE36" s="88">
        <f t="shared" si="45"/>
        <v>2.6043863179074443E-2</v>
      </c>
      <c r="EG36" s="122">
        <f t="shared" si="46"/>
        <v>0</v>
      </c>
      <c r="EH36" s="87">
        <f t="shared" si="47"/>
        <v>0</v>
      </c>
      <c r="EI36" s="88">
        <f t="shared" si="48"/>
        <v>0</v>
      </c>
      <c r="EJ36" s="88"/>
      <c r="EK36" s="122">
        <f t="shared" si="49"/>
        <v>111825000</v>
      </c>
      <c r="EL36" s="122">
        <f t="shared" si="50"/>
        <v>0</v>
      </c>
      <c r="EM36" s="122">
        <f t="shared" si="51"/>
        <v>8089.875</v>
      </c>
      <c r="EN36" s="88">
        <f t="shared" si="52"/>
        <v>2.6043863179074443E-2</v>
      </c>
      <c r="EP36" s="87"/>
    </row>
    <row r="37" spans="1:146" x14ac:dyDescent="0.25">
      <c r="A37" s="35">
        <f t="shared" si="53"/>
        <v>43673</v>
      </c>
      <c r="D37" s="87">
        <f t="shared" si="2"/>
        <v>0</v>
      </c>
      <c r="G37" s="87">
        <f t="shared" si="3"/>
        <v>0</v>
      </c>
      <c r="J37" s="87">
        <f t="shared" si="4"/>
        <v>0</v>
      </c>
      <c r="M37" s="87">
        <f t="shared" si="5"/>
        <v>0</v>
      </c>
      <c r="P37" s="87">
        <f t="shared" si="6"/>
        <v>0</v>
      </c>
      <c r="S37" s="87">
        <f t="shared" si="7"/>
        <v>0</v>
      </c>
      <c r="V37" s="87">
        <f t="shared" si="8"/>
        <v>0</v>
      </c>
      <c r="Y37" s="87">
        <f t="shared" si="9"/>
        <v>0</v>
      </c>
      <c r="AB37" s="87">
        <f t="shared" si="10"/>
        <v>0</v>
      </c>
      <c r="AE37" s="87">
        <v>0</v>
      </c>
      <c r="AH37" s="87">
        <v>0</v>
      </c>
      <c r="AI37" s="120">
        <f>31825000</f>
        <v>31825000</v>
      </c>
      <c r="AJ37" s="121">
        <v>2.5399999999999999E-2</v>
      </c>
      <c r="AK37" s="87">
        <f t="shared" si="11"/>
        <v>2245.4305555555557</v>
      </c>
      <c r="AL37" s="120"/>
      <c r="AM37" s="121"/>
      <c r="AN37" s="87">
        <f t="shared" si="12"/>
        <v>0</v>
      </c>
      <c r="AO37" s="120"/>
      <c r="AP37" s="121"/>
      <c r="AQ37" s="87">
        <f t="shared" si="13"/>
        <v>0</v>
      </c>
      <c r="AR37" s="120">
        <f t="shared" si="54"/>
        <v>80000000</v>
      </c>
      <c r="AS37" s="121">
        <v>2.63E-2</v>
      </c>
      <c r="AT37" s="87">
        <f t="shared" si="14"/>
        <v>5844.4444444444443</v>
      </c>
      <c r="AW37" s="87">
        <f t="shared" si="15"/>
        <v>0</v>
      </c>
      <c r="AZ37" s="87">
        <f t="shared" si="16"/>
        <v>0</v>
      </c>
      <c r="BC37" s="87">
        <f t="shared" si="17"/>
        <v>0</v>
      </c>
      <c r="BF37" s="87">
        <f t="shared" si="18"/>
        <v>0</v>
      </c>
      <c r="BI37" s="87">
        <f t="shared" si="19"/>
        <v>0</v>
      </c>
      <c r="BL37" s="87">
        <f t="shared" si="20"/>
        <v>0</v>
      </c>
      <c r="BO37" s="87">
        <f t="shared" si="21"/>
        <v>0</v>
      </c>
      <c r="BR37" s="87">
        <f t="shared" si="22"/>
        <v>0</v>
      </c>
      <c r="BU37" s="87">
        <f t="shared" si="23"/>
        <v>0</v>
      </c>
      <c r="BX37" s="87">
        <f t="shared" si="24"/>
        <v>0</v>
      </c>
      <c r="CA37" s="87">
        <f t="shared" si="25"/>
        <v>0</v>
      </c>
      <c r="CD37" s="87">
        <f t="shared" si="26"/>
        <v>0</v>
      </c>
      <c r="CG37" s="87">
        <f t="shared" si="27"/>
        <v>0</v>
      </c>
      <c r="CJ37" s="87">
        <f t="shared" si="28"/>
        <v>0</v>
      </c>
      <c r="CM37" s="87">
        <f t="shared" si="29"/>
        <v>0</v>
      </c>
      <c r="CP37" s="87">
        <f t="shared" si="30"/>
        <v>0</v>
      </c>
      <c r="CS37" s="87">
        <f t="shared" si="31"/>
        <v>0</v>
      </c>
      <c r="CV37" s="87">
        <f t="shared" si="32"/>
        <v>0</v>
      </c>
      <c r="CY37" s="87">
        <f t="shared" si="33"/>
        <v>0</v>
      </c>
      <c r="DB37" s="87">
        <f t="shared" si="34"/>
        <v>0</v>
      </c>
      <c r="DE37" s="87">
        <f t="shared" si="35"/>
        <v>0</v>
      </c>
      <c r="DH37" s="87">
        <f t="shared" si="36"/>
        <v>0</v>
      </c>
      <c r="DK37" s="87">
        <f t="shared" si="37"/>
        <v>0</v>
      </c>
      <c r="DN37" s="87">
        <f t="shared" si="38"/>
        <v>0</v>
      </c>
      <c r="DQ37" s="87">
        <f t="shared" si="39"/>
        <v>0</v>
      </c>
      <c r="DT37" s="87">
        <f t="shared" si="40"/>
        <v>0</v>
      </c>
      <c r="DW37" s="87">
        <f t="shared" si="41"/>
        <v>0</v>
      </c>
      <c r="DZ37" s="87"/>
      <c r="EA37" s="87"/>
      <c r="EB37" s="122">
        <f t="shared" si="42"/>
        <v>111825000</v>
      </c>
      <c r="EC37" s="122">
        <f t="shared" si="43"/>
        <v>0</v>
      </c>
      <c r="ED37" s="87">
        <f t="shared" si="44"/>
        <v>8089.875</v>
      </c>
      <c r="EE37" s="88">
        <f t="shared" si="45"/>
        <v>2.6043863179074443E-2</v>
      </c>
      <c r="EG37" s="122">
        <f t="shared" si="46"/>
        <v>0</v>
      </c>
      <c r="EH37" s="87">
        <f t="shared" si="47"/>
        <v>0</v>
      </c>
      <c r="EI37" s="88">
        <f t="shared" si="48"/>
        <v>0</v>
      </c>
      <c r="EJ37" s="88"/>
      <c r="EK37" s="122">
        <f t="shared" si="49"/>
        <v>111825000</v>
      </c>
      <c r="EL37" s="122">
        <f t="shared" si="50"/>
        <v>0</v>
      </c>
      <c r="EM37" s="122">
        <f t="shared" si="51"/>
        <v>8089.875</v>
      </c>
      <c r="EN37" s="88">
        <f t="shared" si="52"/>
        <v>2.6043863179074443E-2</v>
      </c>
      <c r="EP37" s="87"/>
    </row>
    <row r="38" spans="1:146" x14ac:dyDescent="0.25">
      <c r="A38" s="35">
        <f t="shared" si="53"/>
        <v>43674</v>
      </c>
      <c r="D38" s="87">
        <f t="shared" si="2"/>
        <v>0</v>
      </c>
      <c r="G38" s="87">
        <f t="shared" si="3"/>
        <v>0</v>
      </c>
      <c r="J38" s="87">
        <f t="shared" si="4"/>
        <v>0</v>
      </c>
      <c r="M38" s="87">
        <f t="shared" si="5"/>
        <v>0</v>
      </c>
      <c r="P38" s="87">
        <f t="shared" si="6"/>
        <v>0</v>
      </c>
      <c r="S38" s="87">
        <f t="shared" si="7"/>
        <v>0</v>
      </c>
      <c r="V38" s="87">
        <f t="shared" si="8"/>
        <v>0</v>
      </c>
      <c r="Y38" s="87">
        <f t="shared" si="9"/>
        <v>0</v>
      </c>
      <c r="AB38" s="87">
        <f t="shared" si="10"/>
        <v>0</v>
      </c>
      <c r="AE38" s="87">
        <v>0</v>
      </c>
      <c r="AH38" s="87">
        <v>0</v>
      </c>
      <c r="AI38" s="120">
        <f>31825000</f>
        <v>31825000</v>
      </c>
      <c r="AJ38" s="121">
        <v>2.5399999999999999E-2</v>
      </c>
      <c r="AK38" s="87">
        <f t="shared" si="11"/>
        <v>2245.4305555555557</v>
      </c>
      <c r="AL38" s="120"/>
      <c r="AM38" s="121"/>
      <c r="AN38" s="87">
        <f t="shared" si="12"/>
        <v>0</v>
      </c>
      <c r="AO38" s="120"/>
      <c r="AP38" s="121"/>
      <c r="AQ38" s="87">
        <f t="shared" si="13"/>
        <v>0</v>
      </c>
      <c r="AR38" s="120">
        <f t="shared" si="54"/>
        <v>80000000</v>
      </c>
      <c r="AS38" s="121">
        <v>2.63E-2</v>
      </c>
      <c r="AT38" s="87">
        <f t="shared" si="14"/>
        <v>5844.4444444444443</v>
      </c>
      <c r="AW38" s="87">
        <f t="shared" si="15"/>
        <v>0</v>
      </c>
      <c r="AZ38" s="87">
        <f t="shared" si="16"/>
        <v>0</v>
      </c>
      <c r="BC38" s="87">
        <f t="shared" si="17"/>
        <v>0</v>
      </c>
      <c r="BF38" s="87">
        <f t="shared" si="18"/>
        <v>0</v>
      </c>
      <c r="BI38" s="87">
        <f t="shared" si="19"/>
        <v>0</v>
      </c>
      <c r="BL38" s="87">
        <f t="shared" si="20"/>
        <v>0</v>
      </c>
      <c r="BO38" s="87">
        <f t="shared" si="21"/>
        <v>0</v>
      </c>
      <c r="BR38" s="87">
        <f t="shared" si="22"/>
        <v>0</v>
      </c>
      <c r="BU38" s="87">
        <f t="shared" si="23"/>
        <v>0</v>
      </c>
      <c r="BX38" s="87">
        <f t="shared" si="24"/>
        <v>0</v>
      </c>
      <c r="CA38" s="87">
        <f t="shared" si="25"/>
        <v>0</v>
      </c>
      <c r="CD38" s="87">
        <f t="shared" si="26"/>
        <v>0</v>
      </c>
      <c r="CG38" s="87">
        <f t="shared" si="27"/>
        <v>0</v>
      </c>
      <c r="CJ38" s="87">
        <f t="shared" si="28"/>
        <v>0</v>
      </c>
      <c r="CM38" s="87">
        <f t="shared" si="29"/>
        <v>0</v>
      </c>
      <c r="CP38" s="87">
        <f t="shared" si="30"/>
        <v>0</v>
      </c>
      <c r="CS38" s="87">
        <f t="shared" si="31"/>
        <v>0</v>
      </c>
      <c r="CV38" s="87">
        <f t="shared" si="32"/>
        <v>0</v>
      </c>
      <c r="CY38" s="87">
        <f t="shared" si="33"/>
        <v>0</v>
      </c>
      <c r="DB38" s="87">
        <f t="shared" si="34"/>
        <v>0</v>
      </c>
      <c r="DE38" s="87">
        <f t="shared" si="35"/>
        <v>0</v>
      </c>
      <c r="DH38" s="87">
        <f t="shared" si="36"/>
        <v>0</v>
      </c>
      <c r="DK38" s="87">
        <f t="shared" si="37"/>
        <v>0</v>
      </c>
      <c r="DN38" s="87">
        <f t="shared" si="38"/>
        <v>0</v>
      </c>
      <c r="DQ38" s="87">
        <f t="shared" si="39"/>
        <v>0</v>
      </c>
      <c r="DT38" s="87">
        <f t="shared" si="40"/>
        <v>0</v>
      </c>
      <c r="DW38" s="87">
        <f t="shared" si="41"/>
        <v>0</v>
      </c>
      <c r="DZ38" s="87"/>
      <c r="EA38" s="87"/>
      <c r="EB38" s="122">
        <f t="shared" si="42"/>
        <v>111825000</v>
      </c>
      <c r="EC38" s="122">
        <f t="shared" si="43"/>
        <v>0</v>
      </c>
      <c r="ED38" s="87">
        <f t="shared" si="44"/>
        <v>8089.875</v>
      </c>
      <c r="EE38" s="88">
        <f t="shared" si="45"/>
        <v>2.6043863179074443E-2</v>
      </c>
      <c r="EG38" s="122">
        <f t="shared" si="46"/>
        <v>0</v>
      </c>
      <c r="EH38" s="87">
        <f t="shared" si="47"/>
        <v>0</v>
      </c>
      <c r="EI38" s="88">
        <f t="shared" si="48"/>
        <v>0</v>
      </c>
      <c r="EJ38" s="88"/>
      <c r="EK38" s="122">
        <f t="shared" si="49"/>
        <v>111825000</v>
      </c>
      <c r="EL38" s="122">
        <f t="shared" si="50"/>
        <v>0</v>
      </c>
      <c r="EM38" s="122">
        <f t="shared" si="51"/>
        <v>8089.875</v>
      </c>
      <c r="EN38" s="88">
        <f t="shared" si="52"/>
        <v>2.6043863179074443E-2</v>
      </c>
      <c r="EP38" s="87"/>
    </row>
    <row r="39" spans="1:146" x14ac:dyDescent="0.25">
      <c r="A39" s="35">
        <f t="shared" si="53"/>
        <v>43675</v>
      </c>
      <c r="D39" s="87">
        <f t="shared" si="2"/>
        <v>0</v>
      </c>
      <c r="G39" s="87">
        <f t="shared" si="3"/>
        <v>0</v>
      </c>
      <c r="J39" s="87">
        <f t="shared" si="4"/>
        <v>0</v>
      </c>
      <c r="M39" s="87">
        <f t="shared" si="5"/>
        <v>0</v>
      </c>
      <c r="P39" s="87">
        <f t="shared" si="6"/>
        <v>0</v>
      </c>
      <c r="S39" s="87">
        <f t="shared" si="7"/>
        <v>0</v>
      </c>
      <c r="V39" s="87">
        <f t="shared" si="8"/>
        <v>0</v>
      </c>
      <c r="Y39" s="87">
        <f t="shared" si="9"/>
        <v>0</v>
      </c>
      <c r="AB39" s="87">
        <f t="shared" si="10"/>
        <v>0</v>
      </c>
      <c r="AE39" s="87">
        <v>0</v>
      </c>
      <c r="AH39" s="87">
        <v>0</v>
      </c>
      <c r="AI39" s="120">
        <f>41450000</f>
        <v>41450000</v>
      </c>
      <c r="AJ39" s="121">
        <v>2.5399999999999999E-2</v>
      </c>
      <c r="AK39" s="87">
        <f t="shared" si="11"/>
        <v>2924.5277777777778</v>
      </c>
      <c r="AL39" s="120"/>
      <c r="AM39" s="121"/>
      <c r="AN39" s="87">
        <f t="shared" si="12"/>
        <v>0</v>
      </c>
      <c r="AO39" s="120"/>
      <c r="AP39" s="121"/>
      <c r="AQ39" s="87">
        <f t="shared" si="13"/>
        <v>0</v>
      </c>
      <c r="AR39" s="120">
        <f t="shared" si="54"/>
        <v>80000000</v>
      </c>
      <c r="AS39" s="121">
        <v>2.63E-2</v>
      </c>
      <c r="AT39" s="87">
        <f t="shared" si="14"/>
        <v>5844.4444444444443</v>
      </c>
      <c r="AW39" s="87">
        <f t="shared" si="15"/>
        <v>0</v>
      </c>
      <c r="AZ39" s="87">
        <f t="shared" si="16"/>
        <v>0</v>
      </c>
      <c r="BC39" s="87">
        <f t="shared" si="17"/>
        <v>0</v>
      </c>
      <c r="BF39" s="87">
        <f t="shared" si="18"/>
        <v>0</v>
      </c>
      <c r="BI39" s="87">
        <f t="shared" si="19"/>
        <v>0</v>
      </c>
      <c r="BL39" s="87">
        <f t="shared" si="20"/>
        <v>0</v>
      </c>
      <c r="BO39" s="87">
        <f t="shared" si="21"/>
        <v>0</v>
      </c>
      <c r="BR39" s="87">
        <f t="shared" si="22"/>
        <v>0</v>
      </c>
      <c r="BU39" s="87">
        <f t="shared" si="23"/>
        <v>0</v>
      </c>
      <c r="BX39" s="87">
        <f t="shared" si="24"/>
        <v>0</v>
      </c>
      <c r="CA39" s="87">
        <f t="shared" si="25"/>
        <v>0</v>
      </c>
      <c r="CD39" s="87">
        <f t="shared" si="26"/>
        <v>0</v>
      </c>
      <c r="CG39" s="87">
        <f t="shared" si="27"/>
        <v>0</v>
      </c>
      <c r="CJ39" s="87">
        <f t="shared" si="28"/>
        <v>0</v>
      </c>
      <c r="CM39" s="87">
        <f t="shared" si="29"/>
        <v>0</v>
      </c>
      <c r="CP39" s="87">
        <f t="shared" si="30"/>
        <v>0</v>
      </c>
      <c r="CS39" s="87">
        <f t="shared" si="31"/>
        <v>0</v>
      </c>
      <c r="CV39" s="87">
        <f t="shared" si="32"/>
        <v>0</v>
      </c>
      <c r="CY39" s="87">
        <f t="shared" si="33"/>
        <v>0</v>
      </c>
      <c r="DB39" s="87">
        <f t="shared" si="34"/>
        <v>0</v>
      </c>
      <c r="DE39" s="87">
        <f t="shared" si="35"/>
        <v>0</v>
      </c>
      <c r="DH39" s="87">
        <f t="shared" si="36"/>
        <v>0</v>
      </c>
      <c r="DK39" s="87">
        <f t="shared" si="37"/>
        <v>0</v>
      </c>
      <c r="DN39" s="87">
        <f t="shared" si="38"/>
        <v>0</v>
      </c>
      <c r="DQ39" s="87">
        <f t="shared" si="39"/>
        <v>0</v>
      </c>
      <c r="DT39" s="87">
        <f t="shared" si="40"/>
        <v>0</v>
      </c>
      <c r="DW39" s="87">
        <f t="shared" si="41"/>
        <v>0</v>
      </c>
      <c r="DZ39" s="87"/>
      <c r="EA39" s="87"/>
      <c r="EB39" s="122">
        <f t="shared" si="42"/>
        <v>121450000</v>
      </c>
      <c r="EC39" s="122">
        <f t="shared" si="43"/>
        <v>0</v>
      </c>
      <c r="ED39" s="87">
        <f t="shared" si="44"/>
        <v>8768.9722222222226</v>
      </c>
      <c r="EE39" s="88">
        <f t="shared" si="45"/>
        <v>2.5992836558254431E-2</v>
      </c>
      <c r="EG39" s="122">
        <f t="shared" si="46"/>
        <v>0</v>
      </c>
      <c r="EH39" s="87">
        <f t="shared" si="47"/>
        <v>0</v>
      </c>
      <c r="EI39" s="88">
        <f t="shared" si="48"/>
        <v>0</v>
      </c>
      <c r="EJ39" s="88"/>
      <c r="EK39" s="122">
        <f t="shared" si="49"/>
        <v>121450000</v>
      </c>
      <c r="EL39" s="122">
        <f t="shared" si="50"/>
        <v>0</v>
      </c>
      <c r="EM39" s="122">
        <f t="shared" si="51"/>
        <v>8768.9722222222226</v>
      </c>
      <c r="EN39" s="88">
        <f t="shared" si="52"/>
        <v>2.5992836558254431E-2</v>
      </c>
      <c r="EP39" s="87"/>
    </row>
    <row r="40" spans="1:146" x14ac:dyDescent="0.25">
      <c r="A40" s="35">
        <f t="shared" si="53"/>
        <v>43676</v>
      </c>
      <c r="D40" s="87">
        <f t="shared" si="2"/>
        <v>0</v>
      </c>
      <c r="G40" s="87">
        <f t="shared" si="3"/>
        <v>0</v>
      </c>
      <c r="J40" s="87">
        <f t="shared" si="4"/>
        <v>0</v>
      </c>
      <c r="M40" s="87">
        <f t="shared" si="5"/>
        <v>0</v>
      </c>
      <c r="P40" s="87">
        <f t="shared" si="6"/>
        <v>0</v>
      </c>
      <c r="S40" s="87">
        <f t="shared" si="7"/>
        <v>0</v>
      </c>
      <c r="V40" s="87">
        <f t="shared" si="8"/>
        <v>0</v>
      </c>
      <c r="Y40" s="87">
        <f t="shared" si="9"/>
        <v>0</v>
      </c>
      <c r="AB40" s="87">
        <f t="shared" si="10"/>
        <v>0</v>
      </c>
      <c r="AE40" s="87">
        <v>0</v>
      </c>
      <c r="AH40" s="87">
        <v>0</v>
      </c>
      <c r="AI40" s="120">
        <f>35050000</f>
        <v>35050000</v>
      </c>
      <c r="AJ40" s="121">
        <v>2.5399999999999999E-2</v>
      </c>
      <c r="AK40" s="87">
        <f t="shared" si="11"/>
        <v>2472.9722222222222</v>
      </c>
      <c r="AL40" s="120"/>
      <c r="AM40" s="121"/>
      <c r="AN40" s="87">
        <f t="shared" si="12"/>
        <v>0</v>
      </c>
      <c r="AO40" s="120"/>
      <c r="AP40" s="121"/>
      <c r="AQ40" s="87">
        <f t="shared" si="13"/>
        <v>0</v>
      </c>
      <c r="AR40" s="120">
        <f t="shared" si="54"/>
        <v>80000000</v>
      </c>
      <c r="AS40" s="121">
        <v>2.63E-2</v>
      </c>
      <c r="AT40" s="87">
        <f t="shared" si="14"/>
        <v>5844.4444444444443</v>
      </c>
      <c r="AW40" s="87">
        <f t="shared" si="15"/>
        <v>0</v>
      </c>
      <c r="AZ40" s="87">
        <f t="shared" si="16"/>
        <v>0</v>
      </c>
      <c r="BC40" s="87">
        <f t="shared" si="17"/>
        <v>0</v>
      </c>
      <c r="BF40" s="87">
        <f t="shared" si="18"/>
        <v>0</v>
      </c>
      <c r="BI40" s="87">
        <f t="shared" si="19"/>
        <v>0</v>
      </c>
      <c r="BL40" s="87">
        <f t="shared" si="20"/>
        <v>0</v>
      </c>
      <c r="BO40" s="87">
        <f t="shared" si="21"/>
        <v>0</v>
      </c>
      <c r="BR40" s="87">
        <f t="shared" si="22"/>
        <v>0</v>
      </c>
      <c r="BU40" s="87">
        <f t="shared" si="23"/>
        <v>0</v>
      </c>
      <c r="BX40" s="87">
        <f t="shared" si="24"/>
        <v>0</v>
      </c>
      <c r="CA40" s="87">
        <f t="shared" si="25"/>
        <v>0</v>
      </c>
      <c r="CD40" s="87">
        <f t="shared" si="26"/>
        <v>0</v>
      </c>
      <c r="CG40" s="87">
        <f t="shared" si="27"/>
        <v>0</v>
      </c>
      <c r="CJ40" s="87">
        <f t="shared" si="28"/>
        <v>0</v>
      </c>
      <c r="CM40" s="87">
        <f t="shared" si="29"/>
        <v>0</v>
      </c>
      <c r="CP40" s="87">
        <f t="shared" si="30"/>
        <v>0</v>
      </c>
      <c r="CS40" s="87">
        <f t="shared" si="31"/>
        <v>0</v>
      </c>
      <c r="CV40" s="87">
        <f t="shared" si="32"/>
        <v>0</v>
      </c>
      <c r="CY40" s="87">
        <f t="shared" si="33"/>
        <v>0</v>
      </c>
      <c r="DB40" s="87">
        <f t="shared" si="34"/>
        <v>0</v>
      </c>
      <c r="DE40" s="87">
        <f t="shared" si="35"/>
        <v>0</v>
      </c>
      <c r="DH40" s="87">
        <f t="shared" si="36"/>
        <v>0</v>
      </c>
      <c r="DK40" s="87">
        <f t="shared" si="37"/>
        <v>0</v>
      </c>
      <c r="DN40" s="87">
        <f t="shared" si="38"/>
        <v>0</v>
      </c>
      <c r="DQ40" s="87">
        <f t="shared" si="39"/>
        <v>0</v>
      </c>
      <c r="DT40" s="87">
        <f t="shared" si="40"/>
        <v>0</v>
      </c>
      <c r="DW40" s="87">
        <f t="shared" si="41"/>
        <v>0</v>
      </c>
      <c r="DZ40" s="85"/>
      <c r="EA40" s="87"/>
      <c r="EB40" s="122">
        <f t="shared" si="42"/>
        <v>115050000</v>
      </c>
      <c r="EC40" s="122">
        <f t="shared" si="43"/>
        <v>0</v>
      </c>
      <c r="ED40" s="87">
        <f t="shared" si="44"/>
        <v>8317.4166666666661</v>
      </c>
      <c r="EE40" s="88">
        <f t="shared" si="45"/>
        <v>2.6025814863102997E-2</v>
      </c>
      <c r="EG40" s="122">
        <f t="shared" si="46"/>
        <v>0</v>
      </c>
      <c r="EH40" s="87">
        <f t="shared" si="47"/>
        <v>0</v>
      </c>
      <c r="EI40" s="88">
        <f t="shared" si="48"/>
        <v>0</v>
      </c>
      <c r="EJ40" s="88"/>
      <c r="EK40" s="122">
        <f t="shared" si="49"/>
        <v>115050000</v>
      </c>
      <c r="EL40" s="122">
        <f t="shared" si="50"/>
        <v>0</v>
      </c>
      <c r="EM40" s="122">
        <f t="shared" si="51"/>
        <v>8317.4166666666661</v>
      </c>
      <c r="EN40" s="88">
        <f t="shared" si="52"/>
        <v>2.6025814863102997E-2</v>
      </c>
      <c r="EP40" s="87"/>
    </row>
    <row r="41" spans="1:146" x14ac:dyDescent="0.25">
      <c r="A41" s="35">
        <f t="shared" si="53"/>
        <v>43677</v>
      </c>
      <c r="D41" s="87">
        <f t="shared" si="2"/>
        <v>0</v>
      </c>
      <c r="G41" s="87">
        <f t="shared" si="3"/>
        <v>0</v>
      </c>
      <c r="J41" s="87">
        <f t="shared" si="4"/>
        <v>0</v>
      </c>
      <c r="M41" s="87">
        <f t="shared" si="5"/>
        <v>0</v>
      </c>
      <c r="P41" s="87">
        <f t="shared" si="6"/>
        <v>0</v>
      </c>
      <c r="S41" s="87">
        <f t="shared" si="7"/>
        <v>0</v>
      </c>
      <c r="V41" s="87">
        <f t="shared" si="8"/>
        <v>0</v>
      </c>
      <c r="Y41" s="87">
        <f t="shared" si="9"/>
        <v>0</v>
      </c>
      <c r="AB41" s="87">
        <f t="shared" si="10"/>
        <v>0</v>
      </c>
      <c r="AE41" s="87">
        <v>0</v>
      </c>
      <c r="AH41" s="87">
        <v>0</v>
      </c>
      <c r="AI41" s="120">
        <f>36775000</f>
        <v>36775000</v>
      </c>
      <c r="AJ41" s="121">
        <v>2.5399999999999999E-2</v>
      </c>
      <c r="AK41" s="87">
        <f t="shared" si="11"/>
        <v>2594.6805555555557</v>
      </c>
      <c r="AL41" s="120"/>
      <c r="AM41" s="121"/>
      <c r="AN41" s="87">
        <f t="shared" si="12"/>
        <v>0</v>
      </c>
      <c r="AO41" s="120"/>
      <c r="AP41" s="121"/>
      <c r="AQ41" s="87">
        <f t="shared" si="13"/>
        <v>0</v>
      </c>
      <c r="AR41" s="120">
        <f t="shared" si="54"/>
        <v>80000000</v>
      </c>
      <c r="AS41" s="121">
        <v>2.63E-2</v>
      </c>
      <c r="AT41" s="87">
        <f t="shared" si="14"/>
        <v>5844.4444444444443</v>
      </c>
      <c r="AW41" s="87">
        <f t="shared" si="15"/>
        <v>0</v>
      </c>
      <c r="AZ41" s="87">
        <f t="shared" si="16"/>
        <v>0</v>
      </c>
      <c r="BC41" s="87">
        <f t="shared" si="17"/>
        <v>0</v>
      </c>
      <c r="BF41" s="87">
        <f t="shared" si="18"/>
        <v>0</v>
      </c>
      <c r="BI41" s="87">
        <f t="shared" si="19"/>
        <v>0</v>
      </c>
      <c r="BL41" s="87">
        <f t="shared" si="20"/>
        <v>0</v>
      </c>
      <c r="BO41" s="87">
        <f t="shared" si="21"/>
        <v>0</v>
      </c>
      <c r="BR41" s="87">
        <f t="shared" si="22"/>
        <v>0</v>
      </c>
      <c r="BU41" s="87">
        <f t="shared" si="23"/>
        <v>0</v>
      </c>
      <c r="BX41" s="87">
        <f t="shared" si="24"/>
        <v>0</v>
      </c>
      <c r="CA41" s="87">
        <f t="shared" si="25"/>
        <v>0</v>
      </c>
      <c r="CD41" s="87">
        <f t="shared" si="26"/>
        <v>0</v>
      </c>
      <c r="CG41" s="87">
        <f t="shared" si="27"/>
        <v>0</v>
      </c>
      <c r="CJ41" s="87">
        <f t="shared" si="28"/>
        <v>0</v>
      </c>
      <c r="CM41" s="87">
        <f t="shared" si="29"/>
        <v>0</v>
      </c>
      <c r="CP41" s="87">
        <f t="shared" si="30"/>
        <v>0</v>
      </c>
      <c r="CS41" s="87">
        <f t="shared" si="31"/>
        <v>0</v>
      </c>
      <c r="CV41" s="87">
        <f t="shared" si="32"/>
        <v>0</v>
      </c>
      <c r="CY41" s="87">
        <f t="shared" si="33"/>
        <v>0</v>
      </c>
      <c r="DB41" s="87">
        <f t="shared" si="34"/>
        <v>0</v>
      </c>
      <c r="DE41" s="87">
        <f t="shared" si="35"/>
        <v>0</v>
      </c>
      <c r="DH41" s="87">
        <f t="shared" si="36"/>
        <v>0</v>
      </c>
      <c r="DK41" s="87">
        <f t="shared" si="37"/>
        <v>0</v>
      </c>
      <c r="DN41" s="87">
        <f t="shared" si="38"/>
        <v>0</v>
      </c>
      <c r="DQ41" s="87">
        <f t="shared" si="39"/>
        <v>0</v>
      </c>
      <c r="DT41" s="87">
        <f t="shared" si="40"/>
        <v>0</v>
      </c>
      <c r="DW41" s="87">
        <f t="shared" si="41"/>
        <v>0</v>
      </c>
      <c r="DZ41" s="85"/>
      <c r="EA41" s="87"/>
      <c r="EB41" s="122">
        <f t="shared" si="42"/>
        <v>116775000</v>
      </c>
      <c r="EC41" s="122">
        <f t="shared" si="43"/>
        <v>0</v>
      </c>
      <c r="ED41" s="87">
        <f t="shared" si="44"/>
        <v>8439.125</v>
      </c>
      <c r="EE41" s="88">
        <f t="shared" si="45"/>
        <v>2.6016570327552987E-2</v>
      </c>
      <c r="EG41" s="122">
        <f t="shared" si="46"/>
        <v>0</v>
      </c>
      <c r="EH41" s="87">
        <f t="shared" si="47"/>
        <v>0</v>
      </c>
      <c r="EI41" s="88">
        <f t="shared" si="48"/>
        <v>0</v>
      </c>
      <c r="EJ41" s="88"/>
      <c r="EK41" s="122">
        <f t="shared" si="49"/>
        <v>116775000</v>
      </c>
      <c r="EL41" s="122">
        <f t="shared" si="50"/>
        <v>0</v>
      </c>
      <c r="EM41" s="122">
        <f t="shared" si="51"/>
        <v>8439.125</v>
      </c>
      <c r="EN41" s="88">
        <f t="shared" si="52"/>
        <v>2.6016570327552987E-2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116977.97222222223</v>
      </c>
      <c r="AN42" s="124">
        <f>SUM(AN11:AN41)</f>
        <v>18375</v>
      </c>
      <c r="AQ42" s="124">
        <f>SUM(AQ11:AQ41)</f>
        <v>28469.236111111109</v>
      </c>
      <c r="AT42" s="124">
        <f>SUM(AT11:AT41)</f>
        <v>165836.11111111101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329658.31944444444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329658.3194444445</v>
      </c>
      <c r="EN42" s="88"/>
    </row>
    <row r="44" spans="1:146" x14ac:dyDescent="0.25">
      <c r="EM44" s="125"/>
    </row>
    <row r="46" spans="1:146" x14ac:dyDescent="0.25">
      <c r="EM46" s="87"/>
    </row>
    <row r="48" spans="1:146" x14ac:dyDescent="0.25">
      <c r="EM48" s="8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zoomScaleNormal="100" workbookViewId="0">
      <selection activeCell="L19" sqref="L19"/>
    </sheetView>
  </sheetViews>
  <sheetFormatPr defaultRowHeight="15" x14ac:dyDescent="0.25"/>
  <cols>
    <col min="1" max="1" width="33.140625" customWidth="1"/>
    <col min="2" max="2" width="5.7109375" customWidth="1"/>
    <col min="3" max="3" width="16.85546875" bestFit="1" customWidth="1"/>
    <col min="4" max="4" width="5.7109375" customWidth="1"/>
    <col min="5" max="5" width="14.42578125" customWidth="1"/>
    <col min="6" max="6" width="5.7109375" customWidth="1"/>
    <col min="7" max="7" width="11.42578125" customWidth="1"/>
    <col min="8" max="8" width="5.7109375" customWidth="1"/>
    <col min="9" max="9" width="16.42578125" bestFit="1" customWidth="1"/>
    <col min="257" max="257" width="17.28515625" customWidth="1"/>
    <col min="258" max="258" width="5.7109375" customWidth="1"/>
    <col min="259" max="259" width="16.85546875" bestFit="1" customWidth="1"/>
    <col min="260" max="260" width="5.7109375" customWidth="1"/>
    <col min="261" max="261" width="14.42578125" customWidth="1"/>
    <col min="262" max="262" width="5.7109375" customWidth="1"/>
    <col min="263" max="263" width="11.42578125" customWidth="1"/>
    <col min="264" max="264" width="5.7109375" customWidth="1"/>
    <col min="265" max="265" width="14.5703125" bestFit="1" customWidth="1"/>
    <col min="513" max="513" width="17.28515625" customWidth="1"/>
    <col min="514" max="514" width="5.7109375" customWidth="1"/>
    <col min="515" max="515" width="16.85546875" bestFit="1" customWidth="1"/>
    <col min="516" max="516" width="5.7109375" customWidth="1"/>
    <col min="517" max="517" width="14.42578125" customWidth="1"/>
    <col min="518" max="518" width="5.7109375" customWidth="1"/>
    <col min="519" max="519" width="11.42578125" customWidth="1"/>
    <col min="520" max="520" width="5.7109375" customWidth="1"/>
    <col min="521" max="521" width="14.5703125" bestFit="1" customWidth="1"/>
    <col min="769" max="769" width="17.28515625" customWidth="1"/>
    <col min="770" max="770" width="5.7109375" customWidth="1"/>
    <col min="771" max="771" width="16.85546875" bestFit="1" customWidth="1"/>
    <col min="772" max="772" width="5.7109375" customWidth="1"/>
    <col min="773" max="773" width="14.42578125" customWidth="1"/>
    <col min="774" max="774" width="5.7109375" customWidth="1"/>
    <col min="775" max="775" width="11.42578125" customWidth="1"/>
    <col min="776" max="776" width="5.7109375" customWidth="1"/>
    <col min="777" max="777" width="14.5703125" bestFit="1" customWidth="1"/>
    <col min="1025" max="1025" width="17.28515625" customWidth="1"/>
    <col min="1026" max="1026" width="5.7109375" customWidth="1"/>
    <col min="1027" max="1027" width="16.85546875" bestFit="1" customWidth="1"/>
    <col min="1028" max="1028" width="5.7109375" customWidth="1"/>
    <col min="1029" max="1029" width="14.42578125" customWidth="1"/>
    <col min="1030" max="1030" width="5.7109375" customWidth="1"/>
    <col min="1031" max="1031" width="11.42578125" customWidth="1"/>
    <col min="1032" max="1032" width="5.7109375" customWidth="1"/>
    <col min="1033" max="1033" width="14.5703125" bestFit="1" customWidth="1"/>
    <col min="1281" max="1281" width="17.28515625" customWidth="1"/>
    <col min="1282" max="1282" width="5.7109375" customWidth="1"/>
    <col min="1283" max="1283" width="16.85546875" bestFit="1" customWidth="1"/>
    <col min="1284" max="1284" width="5.7109375" customWidth="1"/>
    <col min="1285" max="1285" width="14.42578125" customWidth="1"/>
    <col min="1286" max="1286" width="5.7109375" customWidth="1"/>
    <col min="1287" max="1287" width="11.42578125" customWidth="1"/>
    <col min="1288" max="1288" width="5.7109375" customWidth="1"/>
    <col min="1289" max="1289" width="14.5703125" bestFit="1" customWidth="1"/>
    <col min="1537" max="1537" width="17.28515625" customWidth="1"/>
    <col min="1538" max="1538" width="5.7109375" customWidth="1"/>
    <col min="1539" max="1539" width="16.85546875" bestFit="1" customWidth="1"/>
    <col min="1540" max="1540" width="5.7109375" customWidth="1"/>
    <col min="1541" max="1541" width="14.42578125" customWidth="1"/>
    <col min="1542" max="1542" width="5.7109375" customWidth="1"/>
    <col min="1543" max="1543" width="11.42578125" customWidth="1"/>
    <col min="1544" max="1544" width="5.7109375" customWidth="1"/>
    <col min="1545" max="1545" width="14.5703125" bestFit="1" customWidth="1"/>
    <col min="1793" max="1793" width="17.28515625" customWidth="1"/>
    <col min="1794" max="1794" width="5.7109375" customWidth="1"/>
    <col min="1795" max="1795" width="16.85546875" bestFit="1" customWidth="1"/>
    <col min="1796" max="1796" width="5.7109375" customWidth="1"/>
    <col min="1797" max="1797" width="14.42578125" customWidth="1"/>
    <col min="1798" max="1798" width="5.7109375" customWidth="1"/>
    <col min="1799" max="1799" width="11.42578125" customWidth="1"/>
    <col min="1800" max="1800" width="5.7109375" customWidth="1"/>
    <col min="1801" max="1801" width="14.5703125" bestFit="1" customWidth="1"/>
    <col min="2049" max="2049" width="17.28515625" customWidth="1"/>
    <col min="2050" max="2050" width="5.7109375" customWidth="1"/>
    <col min="2051" max="2051" width="16.85546875" bestFit="1" customWidth="1"/>
    <col min="2052" max="2052" width="5.7109375" customWidth="1"/>
    <col min="2053" max="2053" width="14.42578125" customWidth="1"/>
    <col min="2054" max="2054" width="5.7109375" customWidth="1"/>
    <col min="2055" max="2055" width="11.42578125" customWidth="1"/>
    <col min="2056" max="2056" width="5.7109375" customWidth="1"/>
    <col min="2057" max="2057" width="14.5703125" bestFit="1" customWidth="1"/>
    <col min="2305" max="2305" width="17.28515625" customWidth="1"/>
    <col min="2306" max="2306" width="5.7109375" customWidth="1"/>
    <col min="2307" max="2307" width="16.85546875" bestFit="1" customWidth="1"/>
    <col min="2308" max="2308" width="5.7109375" customWidth="1"/>
    <col min="2309" max="2309" width="14.42578125" customWidth="1"/>
    <col min="2310" max="2310" width="5.7109375" customWidth="1"/>
    <col min="2311" max="2311" width="11.42578125" customWidth="1"/>
    <col min="2312" max="2312" width="5.7109375" customWidth="1"/>
    <col min="2313" max="2313" width="14.5703125" bestFit="1" customWidth="1"/>
    <col min="2561" max="2561" width="17.28515625" customWidth="1"/>
    <col min="2562" max="2562" width="5.7109375" customWidth="1"/>
    <col min="2563" max="2563" width="16.85546875" bestFit="1" customWidth="1"/>
    <col min="2564" max="2564" width="5.7109375" customWidth="1"/>
    <col min="2565" max="2565" width="14.42578125" customWidth="1"/>
    <col min="2566" max="2566" width="5.7109375" customWidth="1"/>
    <col min="2567" max="2567" width="11.42578125" customWidth="1"/>
    <col min="2568" max="2568" width="5.7109375" customWidth="1"/>
    <col min="2569" max="2569" width="14.5703125" bestFit="1" customWidth="1"/>
    <col min="2817" max="2817" width="17.28515625" customWidth="1"/>
    <col min="2818" max="2818" width="5.7109375" customWidth="1"/>
    <col min="2819" max="2819" width="16.85546875" bestFit="1" customWidth="1"/>
    <col min="2820" max="2820" width="5.7109375" customWidth="1"/>
    <col min="2821" max="2821" width="14.42578125" customWidth="1"/>
    <col min="2822" max="2822" width="5.7109375" customWidth="1"/>
    <col min="2823" max="2823" width="11.42578125" customWidth="1"/>
    <col min="2824" max="2824" width="5.7109375" customWidth="1"/>
    <col min="2825" max="2825" width="14.5703125" bestFit="1" customWidth="1"/>
    <col min="3073" max="3073" width="17.28515625" customWidth="1"/>
    <col min="3074" max="3074" width="5.7109375" customWidth="1"/>
    <col min="3075" max="3075" width="16.85546875" bestFit="1" customWidth="1"/>
    <col min="3076" max="3076" width="5.7109375" customWidth="1"/>
    <col min="3077" max="3077" width="14.42578125" customWidth="1"/>
    <col min="3078" max="3078" width="5.7109375" customWidth="1"/>
    <col min="3079" max="3079" width="11.42578125" customWidth="1"/>
    <col min="3080" max="3080" width="5.7109375" customWidth="1"/>
    <col min="3081" max="3081" width="14.5703125" bestFit="1" customWidth="1"/>
    <col min="3329" max="3329" width="17.28515625" customWidth="1"/>
    <col min="3330" max="3330" width="5.7109375" customWidth="1"/>
    <col min="3331" max="3331" width="16.85546875" bestFit="1" customWidth="1"/>
    <col min="3332" max="3332" width="5.7109375" customWidth="1"/>
    <col min="3333" max="3333" width="14.42578125" customWidth="1"/>
    <col min="3334" max="3334" width="5.7109375" customWidth="1"/>
    <col min="3335" max="3335" width="11.42578125" customWidth="1"/>
    <col min="3336" max="3336" width="5.7109375" customWidth="1"/>
    <col min="3337" max="3337" width="14.5703125" bestFit="1" customWidth="1"/>
    <col min="3585" max="3585" width="17.28515625" customWidth="1"/>
    <col min="3586" max="3586" width="5.7109375" customWidth="1"/>
    <col min="3587" max="3587" width="16.85546875" bestFit="1" customWidth="1"/>
    <col min="3588" max="3588" width="5.7109375" customWidth="1"/>
    <col min="3589" max="3589" width="14.42578125" customWidth="1"/>
    <col min="3590" max="3590" width="5.7109375" customWidth="1"/>
    <col min="3591" max="3591" width="11.42578125" customWidth="1"/>
    <col min="3592" max="3592" width="5.7109375" customWidth="1"/>
    <col min="3593" max="3593" width="14.5703125" bestFit="1" customWidth="1"/>
    <col min="3841" max="3841" width="17.28515625" customWidth="1"/>
    <col min="3842" max="3842" width="5.7109375" customWidth="1"/>
    <col min="3843" max="3843" width="16.85546875" bestFit="1" customWidth="1"/>
    <col min="3844" max="3844" width="5.7109375" customWidth="1"/>
    <col min="3845" max="3845" width="14.42578125" customWidth="1"/>
    <col min="3846" max="3846" width="5.7109375" customWidth="1"/>
    <col min="3847" max="3847" width="11.42578125" customWidth="1"/>
    <col min="3848" max="3848" width="5.7109375" customWidth="1"/>
    <col min="3849" max="3849" width="14.5703125" bestFit="1" customWidth="1"/>
    <col min="4097" max="4097" width="17.28515625" customWidth="1"/>
    <col min="4098" max="4098" width="5.7109375" customWidth="1"/>
    <col min="4099" max="4099" width="16.85546875" bestFit="1" customWidth="1"/>
    <col min="4100" max="4100" width="5.7109375" customWidth="1"/>
    <col min="4101" max="4101" width="14.42578125" customWidth="1"/>
    <col min="4102" max="4102" width="5.7109375" customWidth="1"/>
    <col min="4103" max="4103" width="11.42578125" customWidth="1"/>
    <col min="4104" max="4104" width="5.7109375" customWidth="1"/>
    <col min="4105" max="4105" width="14.5703125" bestFit="1" customWidth="1"/>
    <col min="4353" max="4353" width="17.28515625" customWidth="1"/>
    <col min="4354" max="4354" width="5.7109375" customWidth="1"/>
    <col min="4355" max="4355" width="16.85546875" bestFit="1" customWidth="1"/>
    <col min="4356" max="4356" width="5.7109375" customWidth="1"/>
    <col min="4357" max="4357" width="14.42578125" customWidth="1"/>
    <col min="4358" max="4358" width="5.7109375" customWidth="1"/>
    <col min="4359" max="4359" width="11.42578125" customWidth="1"/>
    <col min="4360" max="4360" width="5.7109375" customWidth="1"/>
    <col min="4361" max="4361" width="14.5703125" bestFit="1" customWidth="1"/>
    <col min="4609" max="4609" width="17.28515625" customWidth="1"/>
    <col min="4610" max="4610" width="5.7109375" customWidth="1"/>
    <col min="4611" max="4611" width="16.85546875" bestFit="1" customWidth="1"/>
    <col min="4612" max="4612" width="5.7109375" customWidth="1"/>
    <col min="4613" max="4613" width="14.42578125" customWidth="1"/>
    <col min="4614" max="4614" width="5.7109375" customWidth="1"/>
    <col min="4615" max="4615" width="11.42578125" customWidth="1"/>
    <col min="4616" max="4616" width="5.7109375" customWidth="1"/>
    <col min="4617" max="4617" width="14.5703125" bestFit="1" customWidth="1"/>
    <col min="4865" max="4865" width="17.28515625" customWidth="1"/>
    <col min="4866" max="4866" width="5.7109375" customWidth="1"/>
    <col min="4867" max="4867" width="16.85546875" bestFit="1" customWidth="1"/>
    <col min="4868" max="4868" width="5.7109375" customWidth="1"/>
    <col min="4869" max="4869" width="14.42578125" customWidth="1"/>
    <col min="4870" max="4870" width="5.7109375" customWidth="1"/>
    <col min="4871" max="4871" width="11.42578125" customWidth="1"/>
    <col min="4872" max="4872" width="5.7109375" customWidth="1"/>
    <col min="4873" max="4873" width="14.5703125" bestFit="1" customWidth="1"/>
    <col min="5121" max="5121" width="17.28515625" customWidth="1"/>
    <col min="5122" max="5122" width="5.7109375" customWidth="1"/>
    <col min="5123" max="5123" width="16.85546875" bestFit="1" customWidth="1"/>
    <col min="5124" max="5124" width="5.7109375" customWidth="1"/>
    <col min="5125" max="5125" width="14.42578125" customWidth="1"/>
    <col min="5126" max="5126" width="5.7109375" customWidth="1"/>
    <col min="5127" max="5127" width="11.42578125" customWidth="1"/>
    <col min="5128" max="5128" width="5.7109375" customWidth="1"/>
    <col min="5129" max="5129" width="14.5703125" bestFit="1" customWidth="1"/>
    <col min="5377" max="5377" width="17.28515625" customWidth="1"/>
    <col min="5378" max="5378" width="5.7109375" customWidth="1"/>
    <col min="5379" max="5379" width="16.85546875" bestFit="1" customWidth="1"/>
    <col min="5380" max="5380" width="5.7109375" customWidth="1"/>
    <col min="5381" max="5381" width="14.42578125" customWidth="1"/>
    <col min="5382" max="5382" width="5.7109375" customWidth="1"/>
    <col min="5383" max="5383" width="11.42578125" customWidth="1"/>
    <col min="5384" max="5384" width="5.7109375" customWidth="1"/>
    <col min="5385" max="5385" width="14.5703125" bestFit="1" customWidth="1"/>
    <col min="5633" max="5633" width="17.28515625" customWidth="1"/>
    <col min="5634" max="5634" width="5.7109375" customWidth="1"/>
    <col min="5635" max="5635" width="16.85546875" bestFit="1" customWidth="1"/>
    <col min="5636" max="5636" width="5.7109375" customWidth="1"/>
    <col min="5637" max="5637" width="14.42578125" customWidth="1"/>
    <col min="5638" max="5638" width="5.7109375" customWidth="1"/>
    <col min="5639" max="5639" width="11.42578125" customWidth="1"/>
    <col min="5640" max="5640" width="5.7109375" customWidth="1"/>
    <col min="5641" max="5641" width="14.5703125" bestFit="1" customWidth="1"/>
    <col min="5889" max="5889" width="17.28515625" customWidth="1"/>
    <col min="5890" max="5890" width="5.7109375" customWidth="1"/>
    <col min="5891" max="5891" width="16.85546875" bestFit="1" customWidth="1"/>
    <col min="5892" max="5892" width="5.7109375" customWidth="1"/>
    <col min="5893" max="5893" width="14.42578125" customWidth="1"/>
    <col min="5894" max="5894" width="5.7109375" customWidth="1"/>
    <col min="5895" max="5895" width="11.42578125" customWidth="1"/>
    <col min="5896" max="5896" width="5.7109375" customWidth="1"/>
    <col min="5897" max="5897" width="14.5703125" bestFit="1" customWidth="1"/>
    <col min="6145" max="6145" width="17.28515625" customWidth="1"/>
    <col min="6146" max="6146" width="5.7109375" customWidth="1"/>
    <col min="6147" max="6147" width="16.85546875" bestFit="1" customWidth="1"/>
    <col min="6148" max="6148" width="5.7109375" customWidth="1"/>
    <col min="6149" max="6149" width="14.42578125" customWidth="1"/>
    <col min="6150" max="6150" width="5.7109375" customWidth="1"/>
    <col min="6151" max="6151" width="11.42578125" customWidth="1"/>
    <col min="6152" max="6152" width="5.7109375" customWidth="1"/>
    <col min="6153" max="6153" width="14.5703125" bestFit="1" customWidth="1"/>
    <col min="6401" max="6401" width="17.28515625" customWidth="1"/>
    <col min="6402" max="6402" width="5.7109375" customWidth="1"/>
    <col min="6403" max="6403" width="16.85546875" bestFit="1" customWidth="1"/>
    <col min="6404" max="6404" width="5.7109375" customWidth="1"/>
    <col min="6405" max="6405" width="14.42578125" customWidth="1"/>
    <col min="6406" max="6406" width="5.7109375" customWidth="1"/>
    <col min="6407" max="6407" width="11.42578125" customWidth="1"/>
    <col min="6408" max="6408" width="5.7109375" customWidth="1"/>
    <col min="6409" max="6409" width="14.5703125" bestFit="1" customWidth="1"/>
    <col min="6657" max="6657" width="17.28515625" customWidth="1"/>
    <col min="6658" max="6658" width="5.7109375" customWidth="1"/>
    <col min="6659" max="6659" width="16.85546875" bestFit="1" customWidth="1"/>
    <col min="6660" max="6660" width="5.7109375" customWidth="1"/>
    <col min="6661" max="6661" width="14.42578125" customWidth="1"/>
    <col min="6662" max="6662" width="5.7109375" customWidth="1"/>
    <col min="6663" max="6663" width="11.42578125" customWidth="1"/>
    <col min="6664" max="6664" width="5.7109375" customWidth="1"/>
    <col min="6665" max="6665" width="14.5703125" bestFit="1" customWidth="1"/>
    <col min="6913" max="6913" width="17.28515625" customWidth="1"/>
    <col min="6914" max="6914" width="5.7109375" customWidth="1"/>
    <col min="6915" max="6915" width="16.85546875" bestFit="1" customWidth="1"/>
    <col min="6916" max="6916" width="5.7109375" customWidth="1"/>
    <col min="6917" max="6917" width="14.42578125" customWidth="1"/>
    <col min="6918" max="6918" width="5.7109375" customWidth="1"/>
    <col min="6919" max="6919" width="11.42578125" customWidth="1"/>
    <col min="6920" max="6920" width="5.7109375" customWidth="1"/>
    <col min="6921" max="6921" width="14.5703125" bestFit="1" customWidth="1"/>
    <col min="7169" max="7169" width="17.28515625" customWidth="1"/>
    <col min="7170" max="7170" width="5.7109375" customWidth="1"/>
    <col min="7171" max="7171" width="16.85546875" bestFit="1" customWidth="1"/>
    <col min="7172" max="7172" width="5.7109375" customWidth="1"/>
    <col min="7173" max="7173" width="14.42578125" customWidth="1"/>
    <col min="7174" max="7174" width="5.7109375" customWidth="1"/>
    <col min="7175" max="7175" width="11.42578125" customWidth="1"/>
    <col min="7176" max="7176" width="5.7109375" customWidth="1"/>
    <col min="7177" max="7177" width="14.5703125" bestFit="1" customWidth="1"/>
    <col min="7425" max="7425" width="17.28515625" customWidth="1"/>
    <col min="7426" max="7426" width="5.7109375" customWidth="1"/>
    <col min="7427" max="7427" width="16.85546875" bestFit="1" customWidth="1"/>
    <col min="7428" max="7428" width="5.7109375" customWidth="1"/>
    <col min="7429" max="7429" width="14.42578125" customWidth="1"/>
    <col min="7430" max="7430" width="5.7109375" customWidth="1"/>
    <col min="7431" max="7431" width="11.42578125" customWidth="1"/>
    <col min="7432" max="7432" width="5.7109375" customWidth="1"/>
    <col min="7433" max="7433" width="14.5703125" bestFit="1" customWidth="1"/>
    <col min="7681" max="7681" width="17.28515625" customWidth="1"/>
    <col min="7682" max="7682" width="5.7109375" customWidth="1"/>
    <col min="7683" max="7683" width="16.85546875" bestFit="1" customWidth="1"/>
    <col min="7684" max="7684" width="5.7109375" customWidth="1"/>
    <col min="7685" max="7685" width="14.42578125" customWidth="1"/>
    <col min="7686" max="7686" width="5.7109375" customWidth="1"/>
    <col min="7687" max="7687" width="11.42578125" customWidth="1"/>
    <col min="7688" max="7688" width="5.7109375" customWidth="1"/>
    <col min="7689" max="7689" width="14.5703125" bestFit="1" customWidth="1"/>
    <col min="7937" max="7937" width="17.28515625" customWidth="1"/>
    <col min="7938" max="7938" width="5.7109375" customWidth="1"/>
    <col min="7939" max="7939" width="16.85546875" bestFit="1" customWidth="1"/>
    <col min="7940" max="7940" width="5.7109375" customWidth="1"/>
    <col min="7941" max="7941" width="14.42578125" customWidth="1"/>
    <col min="7942" max="7942" width="5.7109375" customWidth="1"/>
    <col min="7943" max="7943" width="11.42578125" customWidth="1"/>
    <col min="7944" max="7944" width="5.7109375" customWidth="1"/>
    <col min="7945" max="7945" width="14.5703125" bestFit="1" customWidth="1"/>
    <col min="8193" max="8193" width="17.28515625" customWidth="1"/>
    <col min="8194" max="8194" width="5.7109375" customWidth="1"/>
    <col min="8195" max="8195" width="16.85546875" bestFit="1" customWidth="1"/>
    <col min="8196" max="8196" width="5.7109375" customWidth="1"/>
    <col min="8197" max="8197" width="14.42578125" customWidth="1"/>
    <col min="8198" max="8198" width="5.7109375" customWidth="1"/>
    <col min="8199" max="8199" width="11.42578125" customWidth="1"/>
    <col min="8200" max="8200" width="5.7109375" customWidth="1"/>
    <col min="8201" max="8201" width="14.5703125" bestFit="1" customWidth="1"/>
    <col min="8449" max="8449" width="17.28515625" customWidth="1"/>
    <col min="8450" max="8450" width="5.7109375" customWidth="1"/>
    <col min="8451" max="8451" width="16.85546875" bestFit="1" customWidth="1"/>
    <col min="8452" max="8452" width="5.7109375" customWidth="1"/>
    <col min="8453" max="8453" width="14.42578125" customWidth="1"/>
    <col min="8454" max="8454" width="5.7109375" customWidth="1"/>
    <col min="8455" max="8455" width="11.42578125" customWidth="1"/>
    <col min="8456" max="8456" width="5.7109375" customWidth="1"/>
    <col min="8457" max="8457" width="14.5703125" bestFit="1" customWidth="1"/>
    <col min="8705" max="8705" width="17.28515625" customWidth="1"/>
    <col min="8706" max="8706" width="5.7109375" customWidth="1"/>
    <col min="8707" max="8707" width="16.85546875" bestFit="1" customWidth="1"/>
    <col min="8708" max="8708" width="5.7109375" customWidth="1"/>
    <col min="8709" max="8709" width="14.42578125" customWidth="1"/>
    <col min="8710" max="8710" width="5.7109375" customWidth="1"/>
    <col min="8711" max="8711" width="11.42578125" customWidth="1"/>
    <col min="8712" max="8712" width="5.7109375" customWidth="1"/>
    <col min="8713" max="8713" width="14.5703125" bestFit="1" customWidth="1"/>
    <col min="8961" max="8961" width="17.28515625" customWidth="1"/>
    <col min="8962" max="8962" width="5.7109375" customWidth="1"/>
    <col min="8963" max="8963" width="16.85546875" bestFit="1" customWidth="1"/>
    <col min="8964" max="8964" width="5.7109375" customWidth="1"/>
    <col min="8965" max="8965" width="14.42578125" customWidth="1"/>
    <col min="8966" max="8966" width="5.7109375" customWidth="1"/>
    <col min="8967" max="8967" width="11.42578125" customWidth="1"/>
    <col min="8968" max="8968" width="5.7109375" customWidth="1"/>
    <col min="8969" max="8969" width="14.5703125" bestFit="1" customWidth="1"/>
    <col min="9217" max="9217" width="17.28515625" customWidth="1"/>
    <col min="9218" max="9218" width="5.7109375" customWidth="1"/>
    <col min="9219" max="9219" width="16.85546875" bestFit="1" customWidth="1"/>
    <col min="9220" max="9220" width="5.7109375" customWidth="1"/>
    <col min="9221" max="9221" width="14.42578125" customWidth="1"/>
    <col min="9222" max="9222" width="5.7109375" customWidth="1"/>
    <col min="9223" max="9223" width="11.42578125" customWidth="1"/>
    <col min="9224" max="9224" width="5.7109375" customWidth="1"/>
    <col min="9225" max="9225" width="14.5703125" bestFit="1" customWidth="1"/>
    <col min="9473" max="9473" width="17.28515625" customWidth="1"/>
    <col min="9474" max="9474" width="5.7109375" customWidth="1"/>
    <col min="9475" max="9475" width="16.85546875" bestFit="1" customWidth="1"/>
    <col min="9476" max="9476" width="5.7109375" customWidth="1"/>
    <col min="9477" max="9477" width="14.42578125" customWidth="1"/>
    <col min="9478" max="9478" width="5.7109375" customWidth="1"/>
    <col min="9479" max="9479" width="11.42578125" customWidth="1"/>
    <col min="9480" max="9480" width="5.7109375" customWidth="1"/>
    <col min="9481" max="9481" width="14.5703125" bestFit="1" customWidth="1"/>
    <col min="9729" max="9729" width="17.28515625" customWidth="1"/>
    <col min="9730" max="9730" width="5.7109375" customWidth="1"/>
    <col min="9731" max="9731" width="16.85546875" bestFit="1" customWidth="1"/>
    <col min="9732" max="9732" width="5.7109375" customWidth="1"/>
    <col min="9733" max="9733" width="14.42578125" customWidth="1"/>
    <col min="9734" max="9734" width="5.7109375" customWidth="1"/>
    <col min="9735" max="9735" width="11.42578125" customWidth="1"/>
    <col min="9736" max="9736" width="5.7109375" customWidth="1"/>
    <col min="9737" max="9737" width="14.5703125" bestFit="1" customWidth="1"/>
    <col min="9985" max="9985" width="17.28515625" customWidth="1"/>
    <col min="9986" max="9986" width="5.7109375" customWidth="1"/>
    <col min="9987" max="9987" width="16.85546875" bestFit="1" customWidth="1"/>
    <col min="9988" max="9988" width="5.7109375" customWidth="1"/>
    <col min="9989" max="9989" width="14.42578125" customWidth="1"/>
    <col min="9990" max="9990" width="5.7109375" customWidth="1"/>
    <col min="9991" max="9991" width="11.42578125" customWidth="1"/>
    <col min="9992" max="9992" width="5.7109375" customWidth="1"/>
    <col min="9993" max="9993" width="14.5703125" bestFit="1" customWidth="1"/>
    <col min="10241" max="10241" width="17.28515625" customWidth="1"/>
    <col min="10242" max="10242" width="5.7109375" customWidth="1"/>
    <col min="10243" max="10243" width="16.85546875" bestFit="1" customWidth="1"/>
    <col min="10244" max="10244" width="5.7109375" customWidth="1"/>
    <col min="10245" max="10245" width="14.42578125" customWidth="1"/>
    <col min="10246" max="10246" width="5.7109375" customWidth="1"/>
    <col min="10247" max="10247" width="11.42578125" customWidth="1"/>
    <col min="10248" max="10248" width="5.7109375" customWidth="1"/>
    <col min="10249" max="10249" width="14.5703125" bestFit="1" customWidth="1"/>
    <col min="10497" max="10497" width="17.28515625" customWidth="1"/>
    <col min="10498" max="10498" width="5.7109375" customWidth="1"/>
    <col min="10499" max="10499" width="16.85546875" bestFit="1" customWidth="1"/>
    <col min="10500" max="10500" width="5.7109375" customWidth="1"/>
    <col min="10501" max="10501" width="14.42578125" customWidth="1"/>
    <col min="10502" max="10502" width="5.7109375" customWidth="1"/>
    <col min="10503" max="10503" width="11.42578125" customWidth="1"/>
    <col min="10504" max="10504" width="5.7109375" customWidth="1"/>
    <col min="10505" max="10505" width="14.5703125" bestFit="1" customWidth="1"/>
    <col min="10753" max="10753" width="17.28515625" customWidth="1"/>
    <col min="10754" max="10754" width="5.7109375" customWidth="1"/>
    <col min="10755" max="10755" width="16.85546875" bestFit="1" customWidth="1"/>
    <col min="10756" max="10756" width="5.7109375" customWidth="1"/>
    <col min="10757" max="10757" width="14.42578125" customWidth="1"/>
    <col min="10758" max="10758" width="5.7109375" customWidth="1"/>
    <col min="10759" max="10759" width="11.42578125" customWidth="1"/>
    <col min="10760" max="10760" width="5.7109375" customWidth="1"/>
    <col min="10761" max="10761" width="14.5703125" bestFit="1" customWidth="1"/>
    <col min="11009" max="11009" width="17.28515625" customWidth="1"/>
    <col min="11010" max="11010" width="5.7109375" customWidth="1"/>
    <col min="11011" max="11011" width="16.85546875" bestFit="1" customWidth="1"/>
    <col min="11012" max="11012" width="5.7109375" customWidth="1"/>
    <col min="11013" max="11013" width="14.42578125" customWidth="1"/>
    <col min="11014" max="11014" width="5.7109375" customWidth="1"/>
    <col min="11015" max="11015" width="11.42578125" customWidth="1"/>
    <col min="11016" max="11016" width="5.7109375" customWidth="1"/>
    <col min="11017" max="11017" width="14.5703125" bestFit="1" customWidth="1"/>
    <col min="11265" max="11265" width="17.28515625" customWidth="1"/>
    <col min="11266" max="11266" width="5.7109375" customWidth="1"/>
    <col min="11267" max="11267" width="16.85546875" bestFit="1" customWidth="1"/>
    <col min="11268" max="11268" width="5.7109375" customWidth="1"/>
    <col min="11269" max="11269" width="14.42578125" customWidth="1"/>
    <col min="11270" max="11270" width="5.7109375" customWidth="1"/>
    <col min="11271" max="11271" width="11.42578125" customWidth="1"/>
    <col min="11272" max="11272" width="5.7109375" customWidth="1"/>
    <col min="11273" max="11273" width="14.5703125" bestFit="1" customWidth="1"/>
    <col min="11521" max="11521" width="17.28515625" customWidth="1"/>
    <col min="11522" max="11522" width="5.7109375" customWidth="1"/>
    <col min="11523" max="11523" width="16.85546875" bestFit="1" customWidth="1"/>
    <col min="11524" max="11524" width="5.7109375" customWidth="1"/>
    <col min="11525" max="11525" width="14.42578125" customWidth="1"/>
    <col min="11526" max="11526" width="5.7109375" customWidth="1"/>
    <col min="11527" max="11527" width="11.42578125" customWidth="1"/>
    <col min="11528" max="11528" width="5.7109375" customWidth="1"/>
    <col min="11529" max="11529" width="14.5703125" bestFit="1" customWidth="1"/>
    <col min="11777" max="11777" width="17.28515625" customWidth="1"/>
    <col min="11778" max="11778" width="5.7109375" customWidth="1"/>
    <col min="11779" max="11779" width="16.85546875" bestFit="1" customWidth="1"/>
    <col min="11780" max="11780" width="5.7109375" customWidth="1"/>
    <col min="11781" max="11781" width="14.42578125" customWidth="1"/>
    <col min="11782" max="11782" width="5.7109375" customWidth="1"/>
    <col min="11783" max="11783" width="11.42578125" customWidth="1"/>
    <col min="11784" max="11784" width="5.7109375" customWidth="1"/>
    <col min="11785" max="11785" width="14.5703125" bestFit="1" customWidth="1"/>
    <col min="12033" max="12033" width="17.28515625" customWidth="1"/>
    <col min="12034" max="12034" width="5.7109375" customWidth="1"/>
    <col min="12035" max="12035" width="16.85546875" bestFit="1" customWidth="1"/>
    <col min="12036" max="12036" width="5.7109375" customWidth="1"/>
    <col min="12037" max="12037" width="14.42578125" customWidth="1"/>
    <col min="12038" max="12038" width="5.7109375" customWidth="1"/>
    <col min="12039" max="12039" width="11.42578125" customWidth="1"/>
    <col min="12040" max="12040" width="5.7109375" customWidth="1"/>
    <col min="12041" max="12041" width="14.5703125" bestFit="1" customWidth="1"/>
    <col min="12289" max="12289" width="17.28515625" customWidth="1"/>
    <col min="12290" max="12290" width="5.7109375" customWidth="1"/>
    <col min="12291" max="12291" width="16.85546875" bestFit="1" customWidth="1"/>
    <col min="12292" max="12292" width="5.7109375" customWidth="1"/>
    <col min="12293" max="12293" width="14.42578125" customWidth="1"/>
    <col min="12294" max="12294" width="5.7109375" customWidth="1"/>
    <col min="12295" max="12295" width="11.42578125" customWidth="1"/>
    <col min="12296" max="12296" width="5.7109375" customWidth="1"/>
    <col min="12297" max="12297" width="14.5703125" bestFit="1" customWidth="1"/>
    <col min="12545" max="12545" width="17.28515625" customWidth="1"/>
    <col min="12546" max="12546" width="5.7109375" customWidth="1"/>
    <col min="12547" max="12547" width="16.85546875" bestFit="1" customWidth="1"/>
    <col min="12548" max="12548" width="5.7109375" customWidth="1"/>
    <col min="12549" max="12549" width="14.42578125" customWidth="1"/>
    <col min="12550" max="12550" width="5.7109375" customWidth="1"/>
    <col min="12551" max="12551" width="11.42578125" customWidth="1"/>
    <col min="12552" max="12552" width="5.7109375" customWidth="1"/>
    <col min="12553" max="12553" width="14.5703125" bestFit="1" customWidth="1"/>
    <col min="12801" max="12801" width="17.28515625" customWidth="1"/>
    <col min="12802" max="12802" width="5.7109375" customWidth="1"/>
    <col min="12803" max="12803" width="16.85546875" bestFit="1" customWidth="1"/>
    <col min="12804" max="12804" width="5.7109375" customWidth="1"/>
    <col min="12805" max="12805" width="14.42578125" customWidth="1"/>
    <col min="12806" max="12806" width="5.7109375" customWidth="1"/>
    <col min="12807" max="12807" width="11.42578125" customWidth="1"/>
    <col min="12808" max="12808" width="5.7109375" customWidth="1"/>
    <col min="12809" max="12809" width="14.5703125" bestFit="1" customWidth="1"/>
    <col min="13057" max="13057" width="17.28515625" customWidth="1"/>
    <col min="13058" max="13058" width="5.7109375" customWidth="1"/>
    <col min="13059" max="13059" width="16.85546875" bestFit="1" customWidth="1"/>
    <col min="13060" max="13060" width="5.7109375" customWidth="1"/>
    <col min="13061" max="13061" width="14.42578125" customWidth="1"/>
    <col min="13062" max="13062" width="5.7109375" customWidth="1"/>
    <col min="13063" max="13063" width="11.42578125" customWidth="1"/>
    <col min="13064" max="13064" width="5.7109375" customWidth="1"/>
    <col min="13065" max="13065" width="14.5703125" bestFit="1" customWidth="1"/>
    <col min="13313" max="13313" width="17.28515625" customWidth="1"/>
    <col min="13314" max="13314" width="5.7109375" customWidth="1"/>
    <col min="13315" max="13315" width="16.85546875" bestFit="1" customWidth="1"/>
    <col min="13316" max="13316" width="5.7109375" customWidth="1"/>
    <col min="13317" max="13317" width="14.42578125" customWidth="1"/>
    <col min="13318" max="13318" width="5.7109375" customWidth="1"/>
    <col min="13319" max="13319" width="11.42578125" customWidth="1"/>
    <col min="13320" max="13320" width="5.7109375" customWidth="1"/>
    <col min="13321" max="13321" width="14.5703125" bestFit="1" customWidth="1"/>
    <col min="13569" max="13569" width="17.28515625" customWidth="1"/>
    <col min="13570" max="13570" width="5.7109375" customWidth="1"/>
    <col min="13571" max="13571" width="16.85546875" bestFit="1" customWidth="1"/>
    <col min="13572" max="13572" width="5.7109375" customWidth="1"/>
    <col min="13573" max="13573" width="14.42578125" customWidth="1"/>
    <col min="13574" max="13574" width="5.7109375" customWidth="1"/>
    <col min="13575" max="13575" width="11.42578125" customWidth="1"/>
    <col min="13576" max="13576" width="5.7109375" customWidth="1"/>
    <col min="13577" max="13577" width="14.5703125" bestFit="1" customWidth="1"/>
    <col min="13825" max="13825" width="17.28515625" customWidth="1"/>
    <col min="13826" max="13826" width="5.7109375" customWidth="1"/>
    <col min="13827" max="13827" width="16.85546875" bestFit="1" customWidth="1"/>
    <col min="13828" max="13828" width="5.7109375" customWidth="1"/>
    <col min="13829" max="13829" width="14.42578125" customWidth="1"/>
    <col min="13830" max="13830" width="5.7109375" customWidth="1"/>
    <col min="13831" max="13831" width="11.42578125" customWidth="1"/>
    <col min="13832" max="13832" width="5.7109375" customWidth="1"/>
    <col min="13833" max="13833" width="14.5703125" bestFit="1" customWidth="1"/>
    <col min="14081" max="14081" width="17.28515625" customWidth="1"/>
    <col min="14082" max="14082" width="5.7109375" customWidth="1"/>
    <col min="14083" max="14083" width="16.85546875" bestFit="1" customWidth="1"/>
    <col min="14084" max="14084" width="5.7109375" customWidth="1"/>
    <col min="14085" max="14085" width="14.42578125" customWidth="1"/>
    <col min="14086" max="14086" width="5.7109375" customWidth="1"/>
    <col min="14087" max="14087" width="11.42578125" customWidth="1"/>
    <col min="14088" max="14088" width="5.7109375" customWidth="1"/>
    <col min="14089" max="14089" width="14.5703125" bestFit="1" customWidth="1"/>
    <col min="14337" max="14337" width="17.28515625" customWidth="1"/>
    <col min="14338" max="14338" width="5.7109375" customWidth="1"/>
    <col min="14339" max="14339" width="16.85546875" bestFit="1" customWidth="1"/>
    <col min="14340" max="14340" width="5.7109375" customWidth="1"/>
    <col min="14341" max="14341" width="14.42578125" customWidth="1"/>
    <col min="14342" max="14342" width="5.7109375" customWidth="1"/>
    <col min="14343" max="14343" width="11.42578125" customWidth="1"/>
    <col min="14344" max="14344" width="5.7109375" customWidth="1"/>
    <col min="14345" max="14345" width="14.5703125" bestFit="1" customWidth="1"/>
    <col min="14593" max="14593" width="17.28515625" customWidth="1"/>
    <col min="14594" max="14594" width="5.7109375" customWidth="1"/>
    <col min="14595" max="14595" width="16.85546875" bestFit="1" customWidth="1"/>
    <col min="14596" max="14596" width="5.7109375" customWidth="1"/>
    <col min="14597" max="14597" width="14.42578125" customWidth="1"/>
    <col min="14598" max="14598" width="5.7109375" customWidth="1"/>
    <col min="14599" max="14599" width="11.42578125" customWidth="1"/>
    <col min="14600" max="14600" width="5.7109375" customWidth="1"/>
    <col min="14601" max="14601" width="14.5703125" bestFit="1" customWidth="1"/>
    <col min="14849" max="14849" width="17.28515625" customWidth="1"/>
    <col min="14850" max="14850" width="5.7109375" customWidth="1"/>
    <col min="14851" max="14851" width="16.85546875" bestFit="1" customWidth="1"/>
    <col min="14852" max="14852" width="5.7109375" customWidth="1"/>
    <col min="14853" max="14853" width="14.42578125" customWidth="1"/>
    <col min="14854" max="14854" width="5.7109375" customWidth="1"/>
    <col min="14855" max="14855" width="11.42578125" customWidth="1"/>
    <col min="14856" max="14856" width="5.7109375" customWidth="1"/>
    <col min="14857" max="14857" width="14.5703125" bestFit="1" customWidth="1"/>
    <col min="15105" max="15105" width="17.28515625" customWidth="1"/>
    <col min="15106" max="15106" width="5.7109375" customWidth="1"/>
    <col min="15107" max="15107" width="16.85546875" bestFit="1" customWidth="1"/>
    <col min="15108" max="15108" width="5.7109375" customWidth="1"/>
    <col min="15109" max="15109" width="14.42578125" customWidth="1"/>
    <col min="15110" max="15110" width="5.7109375" customWidth="1"/>
    <col min="15111" max="15111" width="11.42578125" customWidth="1"/>
    <col min="15112" max="15112" width="5.7109375" customWidth="1"/>
    <col min="15113" max="15113" width="14.5703125" bestFit="1" customWidth="1"/>
    <col min="15361" max="15361" width="17.28515625" customWidth="1"/>
    <col min="15362" max="15362" width="5.7109375" customWidth="1"/>
    <col min="15363" max="15363" width="16.85546875" bestFit="1" customWidth="1"/>
    <col min="15364" max="15364" width="5.7109375" customWidth="1"/>
    <col min="15365" max="15365" width="14.42578125" customWidth="1"/>
    <col min="15366" max="15366" width="5.7109375" customWidth="1"/>
    <col min="15367" max="15367" width="11.42578125" customWidth="1"/>
    <col min="15368" max="15368" width="5.7109375" customWidth="1"/>
    <col min="15369" max="15369" width="14.5703125" bestFit="1" customWidth="1"/>
    <col min="15617" max="15617" width="17.28515625" customWidth="1"/>
    <col min="15618" max="15618" width="5.7109375" customWidth="1"/>
    <col min="15619" max="15619" width="16.85546875" bestFit="1" customWidth="1"/>
    <col min="15620" max="15620" width="5.7109375" customWidth="1"/>
    <col min="15621" max="15621" width="14.42578125" customWidth="1"/>
    <col min="15622" max="15622" width="5.7109375" customWidth="1"/>
    <col min="15623" max="15623" width="11.42578125" customWidth="1"/>
    <col min="15624" max="15624" width="5.7109375" customWidth="1"/>
    <col min="15625" max="15625" width="14.5703125" bestFit="1" customWidth="1"/>
    <col min="15873" max="15873" width="17.28515625" customWidth="1"/>
    <col min="15874" max="15874" width="5.7109375" customWidth="1"/>
    <col min="15875" max="15875" width="16.85546875" bestFit="1" customWidth="1"/>
    <col min="15876" max="15876" width="5.7109375" customWidth="1"/>
    <col min="15877" max="15877" width="14.42578125" customWidth="1"/>
    <col min="15878" max="15878" width="5.7109375" customWidth="1"/>
    <col min="15879" max="15879" width="11.42578125" customWidth="1"/>
    <col min="15880" max="15880" width="5.7109375" customWidth="1"/>
    <col min="15881" max="15881" width="14.5703125" bestFit="1" customWidth="1"/>
    <col min="16129" max="16129" width="17.28515625" customWidth="1"/>
    <col min="16130" max="16130" width="5.7109375" customWidth="1"/>
    <col min="16131" max="16131" width="16.85546875" bestFit="1" customWidth="1"/>
    <col min="16132" max="16132" width="5.7109375" customWidth="1"/>
    <col min="16133" max="16133" width="14.42578125" customWidth="1"/>
    <col min="16134" max="16134" width="5.7109375" customWidth="1"/>
    <col min="16135" max="16135" width="11.42578125" customWidth="1"/>
    <col min="16136" max="16136" width="5.7109375" customWidth="1"/>
    <col min="16137" max="16137" width="14.5703125" bestFit="1" customWidth="1"/>
  </cols>
  <sheetData>
    <row r="1" spans="1:9" x14ac:dyDescent="0.25">
      <c r="A1" s="319" t="s">
        <v>252</v>
      </c>
      <c r="B1" s="315"/>
      <c r="C1" s="315"/>
      <c r="D1" s="315"/>
      <c r="E1" s="315"/>
      <c r="F1" s="315"/>
      <c r="G1" s="315"/>
      <c r="H1" s="315"/>
      <c r="I1" s="315"/>
    </row>
    <row r="2" spans="1:9" x14ac:dyDescent="0.25">
      <c r="A2" s="319" t="s">
        <v>251</v>
      </c>
      <c r="B2" s="315"/>
      <c r="C2" s="315"/>
      <c r="D2" s="315"/>
      <c r="E2" s="315"/>
      <c r="F2" s="315"/>
      <c r="G2" s="315"/>
      <c r="H2" s="315"/>
      <c r="I2" s="315"/>
    </row>
    <row r="3" spans="1:9" x14ac:dyDescent="0.25">
      <c r="A3" s="319" t="s">
        <v>250</v>
      </c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A4" s="318">
        <v>41729</v>
      </c>
      <c r="B4" s="315"/>
      <c r="C4" s="315"/>
      <c r="D4" s="315"/>
      <c r="E4" s="315"/>
      <c r="F4" s="315"/>
      <c r="G4" s="315"/>
      <c r="H4" s="315"/>
      <c r="I4" s="315"/>
    </row>
    <row r="5" spans="1:9" x14ac:dyDescent="0.25">
      <c r="A5" s="317" t="s">
        <v>249</v>
      </c>
      <c r="B5" s="315"/>
      <c r="C5" s="315"/>
      <c r="D5" s="315"/>
      <c r="E5" s="315"/>
      <c r="F5" s="315"/>
      <c r="G5" s="315"/>
      <c r="H5" s="315"/>
      <c r="I5" s="315"/>
    </row>
    <row r="6" spans="1:9" x14ac:dyDescent="0.25">
      <c r="A6" s="316"/>
      <c r="B6" s="315"/>
      <c r="C6" s="315"/>
      <c r="D6" s="315"/>
      <c r="E6" s="315"/>
      <c r="F6" s="315"/>
      <c r="G6" s="315"/>
      <c r="H6" s="315"/>
      <c r="I6" s="315"/>
    </row>
    <row r="7" spans="1:9" x14ac:dyDescent="0.25">
      <c r="A7" s="314" t="s">
        <v>248</v>
      </c>
      <c r="E7" s="99" t="s">
        <v>247</v>
      </c>
    </row>
    <row r="8" spans="1:9" x14ac:dyDescent="0.25">
      <c r="E8" s="99" t="s">
        <v>246</v>
      </c>
      <c r="G8" s="99" t="s">
        <v>245</v>
      </c>
    </row>
    <row r="9" spans="1:9" x14ac:dyDescent="0.25">
      <c r="A9" s="313" t="s">
        <v>244</v>
      </c>
      <c r="C9" s="313"/>
      <c r="E9" s="313" t="s">
        <v>243</v>
      </c>
      <c r="G9" s="313" t="s">
        <v>242</v>
      </c>
      <c r="I9" s="313" t="s">
        <v>241</v>
      </c>
    </row>
    <row r="12" spans="1:9" x14ac:dyDescent="0.25">
      <c r="A12" t="s">
        <v>240</v>
      </c>
      <c r="C12" s="312">
        <v>3614494332</v>
      </c>
      <c r="D12" s="180"/>
      <c r="E12" s="309">
        <f>C12/C20</f>
        <v>0.47175760841967423</v>
      </c>
      <c r="F12" s="180"/>
      <c r="G12" s="306">
        <v>4.2700000000000002E-2</v>
      </c>
      <c r="I12" s="296">
        <f>ROUND(E12*G12,5)</f>
        <v>2.0140000000000002E-2</v>
      </c>
    </row>
    <row r="13" spans="1:9" x14ac:dyDescent="0.25">
      <c r="C13" s="311"/>
      <c r="D13" s="180"/>
      <c r="E13" s="309"/>
      <c r="F13" s="180"/>
      <c r="G13" s="306"/>
      <c r="I13" s="296"/>
    </row>
    <row r="14" spans="1:9" x14ac:dyDescent="0.25">
      <c r="A14" t="s">
        <v>239</v>
      </c>
      <c r="C14" s="310">
        <v>0</v>
      </c>
      <c r="D14" s="180"/>
      <c r="E14" s="309">
        <f>C14/C20</f>
        <v>0</v>
      </c>
      <c r="F14" s="180"/>
      <c r="G14" s="306">
        <v>0</v>
      </c>
      <c r="I14" s="296">
        <f>ROUND(E14*G14,5)</f>
        <v>0</v>
      </c>
    </row>
    <row r="15" spans="1:9" x14ac:dyDescent="0.25">
      <c r="C15" s="294"/>
      <c r="D15" s="180"/>
      <c r="E15" s="309"/>
      <c r="F15" s="180"/>
      <c r="G15" s="298"/>
      <c r="I15" s="296"/>
    </row>
    <row r="16" spans="1:9" x14ac:dyDescent="0.25">
      <c r="A16" t="s">
        <v>238</v>
      </c>
      <c r="C16" s="310">
        <v>81827509</v>
      </c>
      <c r="D16" s="180"/>
      <c r="E16" s="309">
        <f>C16/C20</f>
        <v>1.0679986300440371E-2</v>
      </c>
      <c r="F16" s="180"/>
      <c r="G16" s="306">
        <v>4.1799999999999997E-2</v>
      </c>
      <c r="I16" s="296">
        <f>ROUND(E16*G16,5)</f>
        <v>4.4999999999999999E-4</v>
      </c>
    </row>
    <row r="17" spans="1:9" x14ac:dyDescent="0.25">
      <c r="C17" s="294"/>
      <c r="D17" s="180"/>
      <c r="E17" s="309"/>
      <c r="F17" s="180"/>
      <c r="G17" s="298"/>
      <c r="I17" s="296"/>
    </row>
    <row r="18" spans="1:9" x14ac:dyDescent="0.25">
      <c r="A18" t="s">
        <v>237</v>
      </c>
      <c r="C18" s="308">
        <v>3965439766</v>
      </c>
      <c r="D18" s="180"/>
      <c r="E18" s="307">
        <f>C18/C20</f>
        <v>0.5175624052798854</v>
      </c>
      <c r="F18" s="180"/>
      <c r="G18" s="306">
        <v>9.5299999999999996E-2</v>
      </c>
      <c r="I18" s="296">
        <f>ROUND(E18*G18,5)</f>
        <v>4.9320000000000003E-2</v>
      </c>
    </row>
    <row r="19" spans="1:9" x14ac:dyDescent="0.25">
      <c r="E19" s="296"/>
      <c r="G19" s="98"/>
      <c r="I19" s="296"/>
    </row>
    <row r="20" spans="1:9" ht="15.75" thickBot="1" x14ac:dyDescent="0.3">
      <c r="A20" t="s">
        <v>236</v>
      </c>
      <c r="C20" s="305">
        <f>SUM(C12:C18)</f>
        <v>7661761607</v>
      </c>
      <c r="E20" s="304">
        <f>SUM(E12:E18)</f>
        <v>1</v>
      </c>
      <c r="I20" s="304">
        <f>SUM(I12:I18)</f>
        <v>6.991E-2</v>
      </c>
    </row>
    <row r="21" spans="1:9" ht="15.75" thickTop="1" x14ac:dyDescent="0.25">
      <c r="C21" s="175"/>
    </row>
    <row r="22" spans="1:9" x14ac:dyDescent="0.25">
      <c r="C22" s="303"/>
    </row>
    <row r="23" spans="1:9" x14ac:dyDescent="0.25">
      <c r="A23" s="302" t="s">
        <v>235</v>
      </c>
    </row>
    <row r="25" spans="1:9" x14ac:dyDescent="0.25">
      <c r="A25" s="98" t="s">
        <v>234</v>
      </c>
      <c r="I25" s="301">
        <f>1/I35</f>
        <v>1.3130252100840336</v>
      </c>
    </row>
    <row r="26" spans="1:9" x14ac:dyDescent="0.25">
      <c r="A26" t="s">
        <v>233</v>
      </c>
      <c r="I26" s="300">
        <f>I16+I18</f>
        <v>4.9770000000000002E-2</v>
      </c>
    </row>
    <row r="27" spans="1:9" x14ac:dyDescent="0.25">
      <c r="A27" t="s">
        <v>232</v>
      </c>
      <c r="I27" s="299">
        <f>I25*I26</f>
        <v>6.5349264705882357E-2</v>
      </c>
    </row>
    <row r="28" spans="1:9" x14ac:dyDescent="0.25">
      <c r="A28" t="s">
        <v>231</v>
      </c>
      <c r="I28" s="298">
        <f>I12+I14</f>
        <v>2.0140000000000002E-2</v>
      </c>
    </row>
    <row r="29" spans="1:9" x14ac:dyDescent="0.25">
      <c r="I29" s="180"/>
    </row>
    <row r="30" spans="1:9" ht="15.75" thickBot="1" x14ac:dyDescent="0.3">
      <c r="A30" t="s">
        <v>230</v>
      </c>
      <c r="I30" s="321">
        <f>I27+I28</f>
        <v>8.5489264705882362E-2</v>
      </c>
    </row>
    <row r="31" spans="1:9" ht="15.75" thickTop="1" x14ac:dyDescent="0.25"/>
    <row r="33" spans="1:9" x14ac:dyDescent="0.25">
      <c r="A33" s="98" t="s">
        <v>229</v>
      </c>
      <c r="I33" s="320">
        <v>0.2384</v>
      </c>
    </row>
    <row r="34" spans="1:9" x14ac:dyDescent="0.25">
      <c r="A34" s="98"/>
      <c r="I34" s="297"/>
    </row>
    <row r="35" spans="1:9" x14ac:dyDescent="0.25">
      <c r="A35" s="98" t="s">
        <v>228</v>
      </c>
      <c r="I35" s="296">
        <f>1-I33</f>
        <v>0.76160000000000005</v>
      </c>
    </row>
    <row r="294" spans="15:15" x14ac:dyDescent="0.25">
      <c r="O294" s="18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5" zoomScaleNormal="85" workbookViewId="0">
      <selection activeCell="A21" sqref="A21"/>
    </sheetView>
  </sheetViews>
  <sheetFormatPr defaultColWidth="9.140625" defaultRowHeight="15" x14ac:dyDescent="0.25"/>
  <cols>
    <col min="1" max="1" width="64.85546875" style="180" customWidth="1"/>
    <col min="2" max="2" width="15.85546875" style="180" customWidth="1"/>
    <col min="3" max="3" width="14.5703125" style="180" customWidth="1"/>
    <col min="4" max="5" width="13.42578125" style="180" customWidth="1"/>
    <col min="6" max="6" width="13.7109375" style="180" customWidth="1"/>
    <col min="7" max="13" width="14.28515625" style="180" customWidth="1"/>
    <col min="14" max="16384" width="9.140625" style="180"/>
  </cols>
  <sheetData>
    <row r="1" spans="1:13" ht="15.75" x14ac:dyDescent="0.25">
      <c r="A1" s="322" t="s">
        <v>216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3" ht="15.75" customHeight="1" x14ac:dyDescent="0.25">
      <c r="A2" s="323" t="s">
        <v>253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15.75" customHeight="1" x14ac:dyDescent="0.25">
      <c r="A3" s="323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3" x14ac:dyDescent="0.25">
      <c r="A4" s="325" t="s">
        <v>254</v>
      </c>
      <c r="B4" s="326">
        <v>44074</v>
      </c>
      <c r="C4" s="326">
        <v>44104</v>
      </c>
      <c r="D4" s="326">
        <v>44135</v>
      </c>
      <c r="E4" s="326">
        <v>44165</v>
      </c>
      <c r="F4" s="326">
        <v>44196</v>
      </c>
      <c r="G4" s="326">
        <v>44227</v>
      </c>
      <c r="H4" s="326">
        <v>44255</v>
      </c>
      <c r="I4" s="326">
        <v>44286</v>
      </c>
      <c r="J4" s="326">
        <v>44316</v>
      </c>
      <c r="K4" s="326">
        <v>44347</v>
      </c>
      <c r="L4" s="326">
        <v>44377</v>
      </c>
      <c r="M4" s="326">
        <v>44408</v>
      </c>
    </row>
    <row r="5" spans="1:13" x14ac:dyDescent="0.25">
      <c r="A5" s="292" t="s">
        <v>217</v>
      </c>
      <c r="B5" s="291">
        <v>141527.32999999999</v>
      </c>
      <c r="C5" s="291">
        <v>182379.71</v>
      </c>
      <c r="D5" s="291">
        <v>184977.75</v>
      </c>
      <c r="E5" s="291">
        <v>187519.85</v>
      </c>
      <c r="F5" s="291">
        <v>615109112.00999999</v>
      </c>
      <c r="G5" s="291">
        <v>801569165.59000003</v>
      </c>
      <c r="H5" s="291">
        <v>816020439.35000002</v>
      </c>
      <c r="I5" s="291">
        <v>836572627.77999997</v>
      </c>
      <c r="J5" s="291">
        <v>847698600.75</v>
      </c>
      <c r="K5" s="291">
        <v>937568147.25</v>
      </c>
      <c r="L5" s="291">
        <v>1127850270.98</v>
      </c>
      <c r="M5" s="291">
        <v>1131988023.1600001</v>
      </c>
    </row>
    <row r="6" spans="1:13" x14ac:dyDescent="0.25">
      <c r="A6" s="292" t="s">
        <v>218</v>
      </c>
      <c r="B6" s="327">
        <v>0</v>
      </c>
      <c r="C6" s="327">
        <v>0</v>
      </c>
      <c r="D6" s="327">
        <v>0</v>
      </c>
      <c r="E6" s="327">
        <v>0</v>
      </c>
      <c r="F6" s="327">
        <v>0</v>
      </c>
      <c r="G6" s="327">
        <v>0</v>
      </c>
      <c r="H6" s="327">
        <v>0</v>
      </c>
      <c r="I6" s="327">
        <v>0</v>
      </c>
      <c r="J6" s="327">
        <v>0</v>
      </c>
      <c r="K6" s="327">
        <v>0</v>
      </c>
      <c r="L6" s="327">
        <v>0</v>
      </c>
      <c r="M6" s="327">
        <v>0</v>
      </c>
    </row>
    <row r="7" spans="1:13" x14ac:dyDescent="0.25">
      <c r="A7" s="180" t="s">
        <v>219</v>
      </c>
      <c r="B7" s="291">
        <f t="shared" ref="B7:J7" si="0">SUM(B5:B6)</f>
        <v>141527.32999999999</v>
      </c>
      <c r="C7" s="291">
        <f t="shared" si="0"/>
        <v>182379.71</v>
      </c>
      <c r="D7" s="291">
        <f t="shared" si="0"/>
        <v>184977.75</v>
      </c>
      <c r="E7" s="291">
        <f t="shared" si="0"/>
        <v>187519.85</v>
      </c>
      <c r="F7" s="291">
        <f t="shared" si="0"/>
        <v>615109112.00999999</v>
      </c>
      <c r="G7" s="291">
        <f t="shared" si="0"/>
        <v>801569165.59000003</v>
      </c>
      <c r="H7" s="291">
        <f t="shared" si="0"/>
        <v>816020439.35000002</v>
      </c>
      <c r="I7" s="291">
        <f t="shared" si="0"/>
        <v>836572627.77999997</v>
      </c>
      <c r="J7" s="291">
        <f t="shared" si="0"/>
        <v>847698600.75</v>
      </c>
      <c r="K7" s="291">
        <f t="shared" ref="K7:M7" si="1">SUM(K5:K6)</f>
        <v>937568147.25</v>
      </c>
      <c r="L7" s="291">
        <f t="shared" si="1"/>
        <v>1127850270.98</v>
      </c>
      <c r="M7" s="291">
        <f t="shared" si="1"/>
        <v>1131988023.1600001</v>
      </c>
    </row>
    <row r="8" spans="1:13" x14ac:dyDescent="0.25">
      <c r="A8" s="292" t="s">
        <v>220</v>
      </c>
      <c r="B8" s="291">
        <v>-45769.979999999996</v>
      </c>
      <c r="C8" s="291">
        <v>-85789.98</v>
      </c>
      <c r="D8" s="291">
        <v>-88388.01999999999</v>
      </c>
      <c r="E8" s="291">
        <v>-88388.01999999999</v>
      </c>
      <c r="F8" s="291">
        <v>-88388.01999999999</v>
      </c>
      <c r="G8" s="291">
        <v>-90907.859999999986</v>
      </c>
      <c r="H8" s="291">
        <v>-90907.859999999986</v>
      </c>
      <c r="I8" s="291">
        <v>-90907.859999999986</v>
      </c>
      <c r="J8" s="291">
        <v>-90907.859999999986</v>
      </c>
      <c r="K8" s="291">
        <v>-90907.859999999986</v>
      </c>
      <c r="L8" s="291">
        <v>-90907.859999999986</v>
      </c>
      <c r="M8" s="291">
        <v>-90907.859999999986</v>
      </c>
    </row>
    <row r="9" spans="1:13" x14ac:dyDescent="0.25">
      <c r="A9" s="292" t="s">
        <v>221</v>
      </c>
      <c r="B9" s="327">
        <v>0</v>
      </c>
      <c r="C9" s="327">
        <v>0</v>
      </c>
      <c r="D9" s="327">
        <v>0</v>
      </c>
      <c r="E9" s="327">
        <v>0</v>
      </c>
      <c r="F9" s="327">
        <v>0</v>
      </c>
      <c r="G9" s="327">
        <v>0</v>
      </c>
      <c r="H9" s="327">
        <v>0</v>
      </c>
      <c r="I9" s="327">
        <v>0</v>
      </c>
      <c r="J9" s="327">
        <v>0</v>
      </c>
      <c r="K9" s="327">
        <v>0</v>
      </c>
      <c r="L9" s="327">
        <v>0</v>
      </c>
      <c r="M9" s="327">
        <v>0</v>
      </c>
    </row>
    <row r="10" spans="1:13" x14ac:dyDescent="0.25">
      <c r="A10" s="180" t="s">
        <v>222</v>
      </c>
      <c r="B10" s="291">
        <f t="shared" ref="B10:M10" si="2">SUM(B7:B9)</f>
        <v>95757.349999999991</v>
      </c>
      <c r="C10" s="291">
        <f t="shared" si="2"/>
        <v>96589.73</v>
      </c>
      <c r="D10" s="291">
        <f t="shared" si="2"/>
        <v>96589.73000000001</v>
      </c>
      <c r="E10" s="291">
        <f t="shared" si="2"/>
        <v>99131.830000000016</v>
      </c>
      <c r="F10" s="291">
        <f t="shared" si="2"/>
        <v>615020723.99000001</v>
      </c>
      <c r="G10" s="291">
        <f t="shared" si="2"/>
        <v>801478257.73000002</v>
      </c>
      <c r="H10" s="291">
        <f t="shared" si="2"/>
        <v>815929531.49000001</v>
      </c>
      <c r="I10" s="291">
        <f t="shared" si="2"/>
        <v>836481719.91999996</v>
      </c>
      <c r="J10" s="291">
        <f t="shared" si="2"/>
        <v>847607692.88999999</v>
      </c>
      <c r="K10" s="291">
        <f t="shared" si="2"/>
        <v>937477239.38999999</v>
      </c>
      <c r="L10" s="291">
        <f t="shared" si="2"/>
        <v>1127759363.1200001</v>
      </c>
      <c r="M10" s="291">
        <f t="shared" si="2"/>
        <v>1131897115.3000002</v>
      </c>
    </row>
    <row r="11" spans="1:13" x14ac:dyDescent="0.25">
      <c r="A11" s="292" t="s">
        <v>255</v>
      </c>
      <c r="B11" s="291">
        <v>557.3900000000001</v>
      </c>
      <c r="C11" s="291">
        <v>854.72000000000014</v>
      </c>
      <c r="D11" s="291">
        <v>1153.3400000000001</v>
      </c>
      <c r="E11" s="291">
        <v>1455.88</v>
      </c>
      <c r="F11" s="291">
        <v>960662.25999999989</v>
      </c>
      <c r="G11" s="291">
        <v>3148956.0100000002</v>
      </c>
      <c r="H11" s="291">
        <v>5643874.9400000013</v>
      </c>
      <c r="I11" s="291">
        <v>8192886.2900000019</v>
      </c>
      <c r="J11" s="291">
        <v>10790852.160000002</v>
      </c>
      <c r="K11" s="291">
        <v>13549852.329496726</v>
      </c>
      <c r="L11" s="291">
        <v>16737577.999496728</v>
      </c>
      <c r="M11" s="291">
        <v>20225812.999496728</v>
      </c>
    </row>
    <row r="12" spans="1:13" x14ac:dyDescent="0.25">
      <c r="A12" s="292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</row>
    <row r="13" spans="1:13" x14ac:dyDescent="0.25">
      <c r="A13" s="325" t="s">
        <v>223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</row>
    <row r="14" spans="1:13" x14ac:dyDescent="0.25">
      <c r="A14" s="295" t="s">
        <v>224</v>
      </c>
      <c r="B14" s="291">
        <f t="shared" ref="B14:M14" si="3">+B7</f>
        <v>141527.32999999999</v>
      </c>
      <c r="C14" s="291">
        <f t="shared" si="3"/>
        <v>182379.71</v>
      </c>
      <c r="D14" s="291">
        <f t="shared" si="3"/>
        <v>184977.75</v>
      </c>
      <c r="E14" s="291">
        <f t="shared" si="3"/>
        <v>187519.85</v>
      </c>
      <c r="F14" s="291">
        <f t="shared" si="3"/>
        <v>615109112.00999999</v>
      </c>
      <c r="G14" s="291">
        <f t="shared" si="3"/>
        <v>801569165.59000003</v>
      </c>
      <c r="H14" s="291">
        <f t="shared" si="3"/>
        <v>816020439.35000002</v>
      </c>
      <c r="I14" s="291">
        <f t="shared" si="3"/>
        <v>836572627.77999997</v>
      </c>
      <c r="J14" s="291">
        <f t="shared" si="3"/>
        <v>847698600.75</v>
      </c>
      <c r="K14" s="291">
        <f t="shared" si="3"/>
        <v>937568147.25</v>
      </c>
      <c r="L14" s="291">
        <f t="shared" si="3"/>
        <v>1127850270.98</v>
      </c>
      <c r="M14" s="291">
        <f t="shared" si="3"/>
        <v>1131988023.1600001</v>
      </c>
    </row>
    <row r="15" spans="1:13" x14ac:dyDescent="0.25">
      <c r="A15" s="292" t="s">
        <v>225</v>
      </c>
      <c r="B15" s="291">
        <v>-1254.9000000000001</v>
      </c>
      <c r="C15" s="291">
        <v>-1990.76</v>
      </c>
      <c r="D15" s="291">
        <v>-2869.9700000000003</v>
      </c>
      <c r="E15" s="291">
        <v>-3761.75</v>
      </c>
      <c r="F15" s="291">
        <v>-964117.60000000009</v>
      </c>
      <c r="G15" s="291">
        <v>-3273811.23</v>
      </c>
      <c r="H15" s="291">
        <v>-5938999.6600000001</v>
      </c>
      <c r="I15" s="291">
        <v>-8614594.629999999</v>
      </c>
      <c r="J15" s="291">
        <v>-11339139.489999998</v>
      </c>
      <c r="K15" s="291">
        <v>-14221349.269999998</v>
      </c>
      <c r="L15" s="291">
        <v>-17555643.729999997</v>
      </c>
      <c r="M15" s="291">
        <v>-21190443.049999997</v>
      </c>
    </row>
    <row r="16" spans="1:13" x14ac:dyDescent="0.25">
      <c r="A16" s="292" t="s">
        <v>226</v>
      </c>
      <c r="B16" s="327"/>
      <c r="C16" s="327"/>
      <c r="D16" s="327"/>
      <c r="E16" s="327">
        <v>-1505</v>
      </c>
      <c r="F16" s="327">
        <v>-6513355</v>
      </c>
      <c r="G16" s="327">
        <v>-10418852</v>
      </c>
      <c r="H16" s="327">
        <v>-15111995</v>
      </c>
      <c r="I16" s="327">
        <v>-18930912</v>
      </c>
      <c r="J16" s="327">
        <v>-23250118</v>
      </c>
      <c r="K16" s="327">
        <v>-28655082</v>
      </c>
      <c r="L16" s="327">
        <v>-6083670</v>
      </c>
      <c r="M16" s="327">
        <v>-7481755</v>
      </c>
    </row>
    <row r="17" spans="1:13" x14ac:dyDescent="0.25">
      <c r="A17" s="180" t="s">
        <v>227</v>
      </c>
      <c r="B17" s="291">
        <f t="shared" ref="B17:M17" si="4">SUM(B14:B16)</f>
        <v>140272.43</v>
      </c>
      <c r="C17" s="291">
        <f t="shared" si="4"/>
        <v>180388.94999999998</v>
      </c>
      <c r="D17" s="291">
        <f t="shared" si="4"/>
        <v>182107.78</v>
      </c>
      <c r="E17" s="291">
        <f t="shared" si="4"/>
        <v>182253.1</v>
      </c>
      <c r="F17" s="291">
        <f t="shared" si="4"/>
        <v>607631639.40999997</v>
      </c>
      <c r="G17" s="291">
        <f t="shared" si="4"/>
        <v>787876502.36000001</v>
      </c>
      <c r="H17" s="291">
        <f t="shared" si="4"/>
        <v>794969444.69000006</v>
      </c>
      <c r="I17" s="291">
        <f t="shared" si="4"/>
        <v>809027121.14999998</v>
      </c>
      <c r="J17" s="291">
        <f t="shared" si="4"/>
        <v>813109343.25999999</v>
      </c>
      <c r="K17" s="291">
        <f t="shared" si="4"/>
        <v>894691715.98000002</v>
      </c>
      <c r="L17" s="291">
        <f t="shared" si="4"/>
        <v>1104210957.25</v>
      </c>
      <c r="M17" s="291">
        <f t="shared" si="4"/>
        <v>1103315825.1100001</v>
      </c>
    </row>
    <row r="18" spans="1:13" x14ac:dyDescent="0.25">
      <c r="G18" s="294"/>
      <c r="H18" s="294"/>
      <c r="I18" s="294"/>
      <c r="J18" s="294"/>
      <c r="K18" s="294"/>
      <c r="L18" s="294"/>
      <c r="M18" s="29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pane xSplit="1" ySplit="10" topLeftCell="B17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2.75" x14ac:dyDescent="0.2"/>
  <cols>
    <col min="1" max="1" width="14.5703125" style="195" bestFit="1" customWidth="1"/>
    <col min="2" max="2" width="15.5703125" style="193" bestFit="1" customWidth="1"/>
    <col min="3" max="3" width="15.42578125" style="194" bestFit="1" customWidth="1"/>
    <col min="4" max="4" width="15.42578125" style="195" bestFit="1" customWidth="1"/>
    <col min="5" max="5" width="15.5703125" style="193" bestFit="1" customWidth="1"/>
    <col min="6" max="6" width="12.28515625" style="194" bestFit="1" customWidth="1"/>
    <col min="7" max="7" width="15.42578125" style="195" bestFit="1" customWidth="1"/>
    <col min="8" max="8" width="15.42578125" style="193" hidden="1" customWidth="1"/>
    <col min="9" max="9" width="10.28515625" style="194" hidden="1" customWidth="1"/>
    <col min="10" max="10" width="13.42578125" style="195" hidden="1" customWidth="1"/>
    <col min="11" max="11" width="14.42578125" style="193" hidden="1" customWidth="1"/>
    <col min="12" max="12" width="10.28515625" style="194" hidden="1" customWidth="1"/>
    <col min="13" max="13" width="11.7109375" style="195" hidden="1" customWidth="1"/>
    <col min="14" max="14" width="14.42578125" style="193" hidden="1" customWidth="1"/>
    <col min="15" max="15" width="10.28515625" style="194" hidden="1" customWidth="1"/>
    <col min="16" max="16" width="11.7109375" style="195" hidden="1" customWidth="1"/>
    <col min="17" max="17" width="15.42578125" style="193" hidden="1" customWidth="1"/>
    <col min="18" max="18" width="10.28515625" style="194" hidden="1" customWidth="1"/>
    <col min="19" max="19" width="11.7109375" style="195" hidden="1" customWidth="1"/>
    <col min="20" max="20" width="15.42578125" style="193" hidden="1" customWidth="1"/>
    <col min="21" max="21" width="10.28515625" style="194" hidden="1" customWidth="1"/>
    <col min="22" max="22" width="11.7109375" style="195" hidden="1" customWidth="1"/>
    <col min="23" max="23" width="15.42578125" style="193" hidden="1" customWidth="1"/>
    <col min="24" max="24" width="10.28515625" style="194" hidden="1" customWidth="1"/>
    <col min="25" max="25" width="11.7109375" style="195" hidden="1" customWidth="1"/>
    <col min="26" max="26" width="15.42578125" style="193" hidden="1" customWidth="1"/>
    <col min="27" max="27" width="10.28515625" style="194" hidden="1" customWidth="1"/>
    <col min="28" max="28" width="11.7109375" style="195" hidden="1" customWidth="1"/>
    <col min="29" max="29" width="15.42578125" style="193" hidden="1" customWidth="1"/>
    <col min="30" max="30" width="10.28515625" style="194" hidden="1" customWidth="1"/>
    <col min="31" max="31" width="11.7109375" style="195" hidden="1" customWidth="1"/>
    <col min="32" max="32" width="14.42578125" style="193" hidden="1" customWidth="1"/>
    <col min="33" max="33" width="10.28515625" style="194" hidden="1" customWidth="1"/>
    <col min="34" max="34" width="10.7109375" style="195" hidden="1" customWidth="1"/>
    <col min="35" max="35" width="14.42578125" style="193" customWidth="1"/>
    <col min="36" max="36" width="10.28515625" style="194" customWidth="1"/>
    <col min="37" max="37" width="11.7109375" style="195" bestFit="1" customWidth="1"/>
    <col min="38" max="38" width="14.42578125" style="193" customWidth="1"/>
    <col min="39" max="39" width="10.28515625" style="194" customWidth="1"/>
    <col min="40" max="40" width="10.7109375" style="195" customWidth="1"/>
    <col min="41" max="41" width="15.42578125" style="193" bestFit="1" customWidth="1"/>
    <col min="42" max="42" width="12.28515625" style="194" bestFit="1" customWidth="1"/>
    <col min="43" max="43" width="11.7109375" style="195" bestFit="1" customWidth="1"/>
    <col min="44" max="44" width="15.42578125" style="193" bestFit="1" customWidth="1"/>
    <col min="45" max="45" width="10.28515625" style="194" bestFit="1" customWidth="1"/>
    <col min="46" max="46" width="11.7109375" style="195" bestFit="1" customWidth="1"/>
    <col min="47" max="47" width="14.42578125" style="193" customWidth="1"/>
    <col min="48" max="48" width="10.28515625" style="194" customWidth="1"/>
    <col min="49" max="49" width="10.7109375" style="195" customWidth="1"/>
    <col min="50" max="50" width="14.42578125" style="193" customWidth="1"/>
    <col min="51" max="51" width="10.28515625" style="194" customWidth="1"/>
    <col min="52" max="52" width="10.7109375" style="195" customWidth="1"/>
    <col min="53" max="53" width="14.42578125" style="193" customWidth="1"/>
    <col min="54" max="54" width="10.28515625" style="194" customWidth="1"/>
    <col min="55" max="55" width="10.7109375" style="195" customWidth="1"/>
    <col min="56" max="56" width="14.42578125" style="193" customWidth="1"/>
    <col min="57" max="57" width="10.28515625" style="194" customWidth="1"/>
    <col min="58" max="58" width="10.7109375" style="195" customWidth="1"/>
    <col min="59" max="59" width="14.42578125" style="193" customWidth="1"/>
    <col min="60" max="60" width="10.28515625" style="194" customWidth="1"/>
    <col min="61" max="61" width="10.7109375" style="195" customWidth="1"/>
    <col min="62" max="62" width="14.42578125" style="193" customWidth="1"/>
    <col min="63" max="63" width="10.28515625" style="194" customWidth="1"/>
    <col min="64" max="64" width="10.7109375" style="195" customWidth="1"/>
    <col min="65" max="65" width="14.42578125" style="193" hidden="1" customWidth="1"/>
    <col min="66" max="66" width="10.28515625" style="194" hidden="1" customWidth="1"/>
    <col min="67" max="67" width="10.7109375" style="195" hidden="1" customWidth="1"/>
    <col min="68" max="68" width="14.42578125" style="193" hidden="1" customWidth="1"/>
    <col min="69" max="69" width="10.28515625" style="194" hidden="1" customWidth="1"/>
    <col min="70" max="70" width="10.7109375" style="195" hidden="1" customWidth="1"/>
    <col min="71" max="71" width="14.42578125" style="193" hidden="1" customWidth="1"/>
    <col min="72" max="72" width="10.28515625" style="194" hidden="1" customWidth="1"/>
    <col min="73" max="73" width="10.7109375" style="195" hidden="1" customWidth="1"/>
    <col min="74" max="74" width="14.42578125" style="193" hidden="1" customWidth="1"/>
    <col min="75" max="75" width="10.28515625" style="194" hidden="1" customWidth="1"/>
    <col min="76" max="76" width="10.7109375" style="195" hidden="1" customWidth="1"/>
    <col min="77" max="77" width="14.42578125" style="193" hidden="1" customWidth="1"/>
    <col min="78" max="78" width="10.28515625" style="194" hidden="1" customWidth="1"/>
    <col min="79" max="79" width="10.7109375" style="195" hidden="1" customWidth="1"/>
    <col min="80" max="80" width="14.42578125" style="193" hidden="1" customWidth="1"/>
    <col min="81" max="81" width="10.28515625" style="194" hidden="1" customWidth="1"/>
    <col min="82" max="82" width="10.7109375" style="195" hidden="1" customWidth="1"/>
    <col min="83" max="83" width="14.42578125" style="193" hidden="1" customWidth="1"/>
    <col min="84" max="84" width="10.28515625" style="194" hidden="1" customWidth="1"/>
    <col min="85" max="85" width="10.7109375" style="195" hidden="1" customWidth="1"/>
    <col min="86" max="86" width="14.42578125" style="193" hidden="1" customWidth="1"/>
    <col min="87" max="87" width="10.28515625" style="194" hidden="1" customWidth="1"/>
    <col min="88" max="88" width="10.7109375" style="195" hidden="1" customWidth="1"/>
    <col min="89" max="89" width="14.42578125" style="193" hidden="1" customWidth="1"/>
    <col min="90" max="90" width="10.28515625" style="194" hidden="1" customWidth="1"/>
    <col min="91" max="91" width="10.7109375" style="195" hidden="1" customWidth="1"/>
    <col min="92" max="92" width="14.42578125" style="193" hidden="1" customWidth="1"/>
    <col min="93" max="93" width="10.28515625" style="194" hidden="1" customWidth="1"/>
    <col min="94" max="94" width="10.7109375" style="195" hidden="1" customWidth="1"/>
    <col min="95" max="95" width="14.42578125" style="193" hidden="1" customWidth="1"/>
    <col min="96" max="96" width="10.28515625" style="194" hidden="1" customWidth="1"/>
    <col min="97" max="97" width="10.7109375" style="195" hidden="1" customWidth="1"/>
    <col min="98" max="98" width="14.42578125" style="193" hidden="1" customWidth="1"/>
    <col min="99" max="99" width="10.28515625" style="194" hidden="1" customWidth="1"/>
    <col min="100" max="100" width="10.7109375" style="195" hidden="1" customWidth="1"/>
    <col min="101" max="101" width="14.42578125" style="193" hidden="1" customWidth="1"/>
    <col min="102" max="102" width="10.28515625" style="194" hidden="1" customWidth="1"/>
    <col min="103" max="103" width="10.7109375" style="195" hidden="1" customWidth="1"/>
    <col min="104" max="104" width="14.42578125" style="193" hidden="1" customWidth="1"/>
    <col min="105" max="105" width="10.28515625" style="194" hidden="1" customWidth="1"/>
    <col min="106" max="106" width="10.7109375" style="195" hidden="1" customWidth="1"/>
    <col min="107" max="107" width="14.42578125" style="193" hidden="1" customWidth="1"/>
    <col min="108" max="108" width="10.28515625" style="194" hidden="1" customWidth="1"/>
    <col min="109" max="109" width="10.7109375" style="195" hidden="1" customWidth="1"/>
    <col min="110" max="110" width="14.42578125" style="193" hidden="1" customWidth="1"/>
    <col min="111" max="111" width="10.28515625" style="194" hidden="1" customWidth="1"/>
    <col min="112" max="112" width="10.7109375" style="195" hidden="1" customWidth="1"/>
    <col min="113" max="113" width="14.42578125" style="193" hidden="1" customWidth="1"/>
    <col min="114" max="114" width="10.28515625" style="194" hidden="1" customWidth="1"/>
    <col min="115" max="115" width="10.7109375" style="195" hidden="1" customWidth="1"/>
    <col min="116" max="116" width="14.42578125" style="193" hidden="1" customWidth="1"/>
    <col min="117" max="117" width="10.28515625" style="194" hidden="1" customWidth="1"/>
    <col min="118" max="118" width="10.7109375" style="195" hidden="1" customWidth="1"/>
    <col min="119" max="119" width="14.42578125" style="193" hidden="1" customWidth="1"/>
    <col min="120" max="120" width="10.28515625" style="194" hidden="1" customWidth="1"/>
    <col min="121" max="121" width="10.7109375" style="195" hidden="1" customWidth="1"/>
    <col min="122" max="122" width="14.42578125" style="193" hidden="1" customWidth="1"/>
    <col min="123" max="123" width="10.28515625" style="194" hidden="1" customWidth="1"/>
    <col min="124" max="124" width="10.7109375" style="195" hidden="1" customWidth="1"/>
    <col min="125" max="125" width="14.42578125" style="193" hidden="1" customWidth="1"/>
    <col min="126" max="126" width="10.28515625" style="194" hidden="1" customWidth="1"/>
    <col min="127" max="127" width="10.7109375" style="195" hidden="1" customWidth="1"/>
    <col min="128" max="128" width="14.42578125" style="193" hidden="1" customWidth="1"/>
    <col min="129" max="129" width="10.28515625" style="194" hidden="1" customWidth="1"/>
    <col min="130" max="130" width="10.7109375" style="195" hidden="1" customWidth="1"/>
    <col min="131" max="131" width="2.7109375" style="195" customWidth="1"/>
    <col min="132" max="132" width="15.42578125" style="195" bestFit="1" customWidth="1"/>
    <col min="133" max="133" width="15.42578125" style="195" hidden="1" customWidth="1"/>
    <col min="134" max="134" width="14.42578125" style="195" bestFit="1" customWidth="1"/>
    <col min="135" max="135" width="17.7109375" style="195" bestFit="1" customWidth="1"/>
    <col min="136" max="136" width="2.7109375" style="195" customWidth="1"/>
    <col min="137" max="137" width="15.42578125" style="195" hidden="1" customWidth="1"/>
    <col min="138" max="138" width="14.42578125" style="195" hidden="1" customWidth="1"/>
    <col min="139" max="139" width="12.42578125" style="195" hidden="1" customWidth="1"/>
    <col min="140" max="140" width="2.7109375" style="195" hidden="1" customWidth="1"/>
    <col min="141" max="141" width="15.42578125" style="195" bestFit="1" customWidth="1"/>
    <col min="142" max="142" width="15.42578125" style="195" hidden="1" customWidth="1"/>
    <col min="143" max="143" width="14.42578125" style="195" bestFit="1" customWidth="1"/>
    <col min="144" max="144" width="15.42578125" style="195" bestFit="1" customWidth="1"/>
    <col min="145" max="145" width="42.85546875" style="195" bestFit="1" customWidth="1"/>
    <col min="146" max="146" width="15.28515625" style="195" bestFit="1" customWidth="1"/>
    <col min="147" max="147" width="23.140625" style="195" bestFit="1" customWidth="1"/>
    <col min="148" max="16384" width="9" style="195"/>
  </cols>
  <sheetData>
    <row r="1" spans="1:147" s="185" customFormat="1" ht="15.75" x14ac:dyDescent="0.25">
      <c r="A1" s="182" t="s">
        <v>0</v>
      </c>
      <c r="B1" s="183"/>
      <c r="C1" s="184"/>
      <c r="E1" s="183"/>
      <c r="F1" s="184"/>
      <c r="H1" s="183"/>
      <c r="I1" s="184"/>
      <c r="K1" s="183"/>
      <c r="L1" s="184"/>
      <c r="N1" s="183"/>
      <c r="O1" s="184"/>
      <c r="Q1" s="183"/>
      <c r="R1" s="184"/>
      <c r="T1" s="183"/>
      <c r="U1" s="184"/>
      <c r="W1" s="183"/>
      <c r="X1" s="184"/>
      <c r="Z1" s="183"/>
      <c r="AA1" s="184"/>
      <c r="AC1" s="183"/>
      <c r="AD1" s="184"/>
      <c r="AF1" s="183"/>
      <c r="AG1" s="184"/>
      <c r="AI1" s="183"/>
      <c r="AJ1" s="184"/>
      <c r="AL1" s="183"/>
      <c r="AM1" s="184"/>
      <c r="AO1" s="183"/>
      <c r="AP1" s="184"/>
      <c r="AR1" s="183"/>
      <c r="AS1" s="184"/>
      <c r="AU1" s="183"/>
      <c r="AV1" s="184"/>
      <c r="AX1" s="183"/>
      <c r="AY1" s="184"/>
      <c r="BA1" s="183"/>
      <c r="BB1" s="184"/>
      <c r="BD1" s="183"/>
      <c r="BE1" s="184"/>
      <c r="BG1" s="183"/>
      <c r="BH1" s="184"/>
      <c r="BJ1" s="183"/>
      <c r="BK1" s="184"/>
      <c r="BM1" s="183"/>
      <c r="BN1" s="184"/>
      <c r="BP1" s="183"/>
      <c r="BQ1" s="184"/>
      <c r="BS1" s="183"/>
      <c r="BT1" s="184"/>
      <c r="BV1" s="183"/>
      <c r="BW1" s="184"/>
      <c r="BY1" s="183"/>
      <c r="BZ1" s="184"/>
      <c r="CB1" s="183"/>
      <c r="CC1" s="184"/>
      <c r="CE1" s="183"/>
      <c r="CF1" s="184"/>
      <c r="CH1" s="183"/>
      <c r="CI1" s="184"/>
      <c r="CK1" s="183"/>
      <c r="CL1" s="184"/>
      <c r="CN1" s="183"/>
      <c r="CO1" s="184"/>
      <c r="CQ1" s="183"/>
      <c r="CR1" s="184"/>
      <c r="CT1" s="183"/>
      <c r="CU1" s="184"/>
      <c r="CW1" s="183"/>
      <c r="CX1" s="184"/>
      <c r="CZ1" s="183"/>
      <c r="DA1" s="184"/>
      <c r="DC1" s="183"/>
      <c r="DD1" s="184"/>
      <c r="DF1" s="183"/>
      <c r="DG1" s="184"/>
      <c r="DI1" s="183"/>
      <c r="DJ1" s="184"/>
      <c r="DL1" s="183"/>
      <c r="DM1" s="184"/>
      <c r="DO1" s="183"/>
      <c r="DP1" s="184"/>
      <c r="DR1" s="183"/>
      <c r="DS1" s="184"/>
      <c r="DU1" s="183"/>
      <c r="DV1" s="184"/>
      <c r="DX1" s="183"/>
      <c r="DY1" s="184"/>
      <c r="DZ1" s="186"/>
      <c r="ED1" s="187"/>
      <c r="EE1" s="188" t="s">
        <v>95</v>
      </c>
      <c r="EI1" s="187" t="s">
        <v>96</v>
      </c>
      <c r="EM1" s="187"/>
      <c r="EN1" s="187" t="s">
        <v>97</v>
      </c>
      <c r="EO1" s="182" t="s">
        <v>98</v>
      </c>
      <c r="EP1" s="182" t="s">
        <v>99</v>
      </c>
      <c r="EQ1" s="182" t="s">
        <v>100</v>
      </c>
    </row>
    <row r="2" spans="1:147" s="185" customFormat="1" ht="16.5" thickBot="1" x14ac:dyDescent="0.3">
      <c r="A2" s="182" t="s">
        <v>101</v>
      </c>
      <c r="B2" s="183"/>
      <c r="C2" s="184"/>
      <c r="E2" s="189"/>
      <c r="F2" s="184"/>
      <c r="G2" s="187"/>
      <c r="H2" s="183"/>
      <c r="I2" s="184"/>
      <c r="K2" s="183"/>
      <c r="L2" s="184"/>
      <c r="N2" s="183"/>
      <c r="O2" s="184"/>
      <c r="Q2" s="183"/>
      <c r="R2" s="184"/>
      <c r="T2" s="183"/>
      <c r="U2" s="184"/>
      <c r="W2" s="183"/>
      <c r="X2" s="184"/>
      <c r="Z2" s="183"/>
      <c r="AA2" s="184"/>
      <c r="AC2" s="183"/>
      <c r="AD2" s="184"/>
      <c r="AF2" s="183"/>
      <c r="AG2" s="184"/>
      <c r="AI2" s="183"/>
      <c r="AJ2" s="184"/>
      <c r="AL2" s="183"/>
      <c r="AM2" s="184"/>
      <c r="AO2" s="183"/>
      <c r="AP2" s="184"/>
      <c r="AR2" s="183"/>
      <c r="AS2" s="184"/>
      <c r="AU2" s="183"/>
      <c r="AV2" s="184"/>
      <c r="AX2" s="183"/>
      <c r="AY2" s="184"/>
      <c r="BA2" s="183"/>
      <c r="BB2" s="184"/>
      <c r="BD2" s="183"/>
      <c r="BE2" s="184"/>
      <c r="BG2" s="183"/>
      <c r="BH2" s="184"/>
      <c r="BJ2" s="183"/>
      <c r="BK2" s="184"/>
      <c r="BM2" s="183"/>
      <c r="BN2" s="184"/>
      <c r="BP2" s="183"/>
      <c r="BQ2" s="184"/>
      <c r="BS2" s="183"/>
      <c r="BT2" s="184"/>
      <c r="BV2" s="183"/>
      <c r="BW2" s="184"/>
      <c r="BY2" s="183"/>
      <c r="BZ2" s="184"/>
      <c r="CB2" s="183"/>
      <c r="CC2" s="184"/>
      <c r="CE2" s="183"/>
      <c r="CF2" s="184"/>
      <c r="CH2" s="183"/>
      <c r="CI2" s="184"/>
      <c r="CK2" s="183"/>
      <c r="CL2" s="184"/>
      <c r="CN2" s="183"/>
      <c r="CO2" s="184"/>
      <c r="CQ2" s="183"/>
      <c r="CR2" s="184"/>
      <c r="CT2" s="183"/>
      <c r="CU2" s="184"/>
      <c r="CW2" s="183"/>
      <c r="CX2" s="184"/>
      <c r="CZ2" s="183"/>
      <c r="DA2" s="184"/>
      <c r="DC2" s="183"/>
      <c r="DD2" s="184"/>
      <c r="DF2" s="183"/>
      <c r="DG2" s="184"/>
      <c r="DI2" s="183"/>
      <c r="DJ2" s="184"/>
      <c r="DL2" s="183"/>
      <c r="DM2" s="184"/>
      <c r="DO2" s="183"/>
      <c r="DP2" s="184"/>
      <c r="DR2" s="183"/>
      <c r="DS2" s="184"/>
      <c r="DU2" s="183"/>
      <c r="DV2" s="184"/>
      <c r="DX2" s="183"/>
      <c r="DY2" s="184"/>
      <c r="EB2" s="190" t="s">
        <v>102</v>
      </c>
      <c r="EC2" s="190"/>
      <c r="ED2" s="191"/>
      <c r="EE2" s="191">
        <f>EB41</f>
        <v>0</v>
      </c>
      <c r="EI2" s="191">
        <f>EG40</f>
        <v>0</v>
      </c>
      <c r="EM2" s="191"/>
      <c r="EN2" s="191">
        <f>EK41</f>
        <v>0</v>
      </c>
      <c r="EO2" s="183">
        <v>0</v>
      </c>
      <c r="EP2" s="183">
        <f>EN2+EO2</f>
        <v>0</v>
      </c>
      <c r="EQ2" s="183">
        <f>EE2+EO2</f>
        <v>0</v>
      </c>
    </row>
    <row r="3" spans="1:147" ht="16.5" thickTop="1" x14ac:dyDescent="0.25">
      <c r="A3" s="192" t="s">
        <v>190</v>
      </c>
      <c r="E3" s="196" t="s">
        <v>104</v>
      </c>
      <c r="F3" s="197"/>
      <c r="G3" s="198"/>
      <c r="EB3" s="190" t="s">
        <v>105</v>
      </c>
      <c r="EC3" s="190"/>
      <c r="ED3" s="191"/>
      <c r="EE3" s="191">
        <f>AVERAGE(EB11:EB41)</f>
        <v>30404677.419354837</v>
      </c>
      <c r="EI3" s="191">
        <f>AVERAGE(EG11:EG40)</f>
        <v>0</v>
      </c>
      <c r="EM3" s="191"/>
      <c r="EN3" s="191">
        <f>AVERAGE(EK11:EK41)</f>
        <v>8490322.5806451607</v>
      </c>
    </row>
    <row r="4" spans="1:147" x14ac:dyDescent="0.2">
      <c r="D4" s="190"/>
      <c r="E4" s="199" t="s">
        <v>102</v>
      </c>
      <c r="F4" s="191"/>
      <c r="G4" s="200">
        <f>EQ2</f>
        <v>0</v>
      </c>
      <c r="AI4" s="201" t="s">
        <v>106</v>
      </c>
      <c r="EB4" s="190" t="s">
        <v>107</v>
      </c>
      <c r="EC4" s="190"/>
      <c r="ED4" s="202"/>
      <c r="EE4" s="202">
        <f>IF(EE3=0,0,360*(AVERAGE(ED11:ED41)/EE3))</f>
        <v>1.3658509673278205E-3</v>
      </c>
      <c r="EI4" s="202">
        <f>IF(EI3=0,0,360*(AVERAGE(EH11:EH40)/EI3))</f>
        <v>0</v>
      </c>
      <c r="EM4" s="202"/>
      <c r="EN4" s="202">
        <f>IF(EN3=0,0,360*(AVERAGE(EM11:EM41)/EN3))</f>
        <v>2.5000000000000009E-3</v>
      </c>
      <c r="EO4" s="203" t="s">
        <v>108</v>
      </c>
      <c r="EQ4" s="204" t="s">
        <v>106</v>
      </c>
    </row>
    <row r="5" spans="1:147" ht="15.75" x14ac:dyDescent="0.25">
      <c r="D5" s="190"/>
      <c r="E5" s="199" t="s">
        <v>105</v>
      </c>
      <c r="F5" s="191"/>
      <c r="G5" s="200">
        <f>EE3</f>
        <v>30404677.419354837</v>
      </c>
      <c r="AI5" s="205" t="s">
        <v>97</v>
      </c>
      <c r="EB5" s="206" t="s">
        <v>109</v>
      </c>
      <c r="EC5" s="206"/>
      <c r="ED5" s="191"/>
      <c r="EE5" s="191">
        <f>MAX(EB11:EB41)</f>
        <v>92070000</v>
      </c>
      <c r="EI5" s="191">
        <f>MAX(EG11:EG40)</f>
        <v>0</v>
      </c>
      <c r="EM5" s="191"/>
      <c r="EN5" s="191">
        <f>MAX(EK11:EK41)</f>
        <v>42750000</v>
      </c>
    </row>
    <row r="6" spans="1:147" x14ac:dyDescent="0.2">
      <c r="D6" s="190"/>
      <c r="E6" s="199" t="s">
        <v>107</v>
      </c>
      <c r="F6" s="191"/>
      <c r="G6" s="207">
        <f>EE4</f>
        <v>1.3658509673278205E-3</v>
      </c>
    </row>
    <row r="7" spans="1:147" ht="16.5" thickBot="1" x14ac:dyDescent="0.3">
      <c r="D7" s="190"/>
      <c r="E7" s="208" t="s">
        <v>109</v>
      </c>
      <c r="F7" s="209"/>
      <c r="G7" s="210">
        <f>EE5</f>
        <v>92070000</v>
      </c>
      <c r="AI7" s="205" t="s">
        <v>97</v>
      </c>
      <c r="EB7" s="211" t="s">
        <v>110</v>
      </c>
      <c r="EC7" s="211"/>
      <c r="ED7" s="212"/>
      <c r="EE7" s="212"/>
      <c r="EG7" s="211" t="s">
        <v>111</v>
      </c>
      <c r="EH7" s="212"/>
      <c r="EI7" s="212"/>
      <c r="EJ7" s="213"/>
      <c r="EK7" s="211" t="s">
        <v>112</v>
      </c>
      <c r="EL7" s="211"/>
      <c r="EM7" s="212"/>
      <c r="EN7" s="212"/>
    </row>
    <row r="8" spans="1:147" ht="13.5" thickTop="1" x14ac:dyDescent="0.2">
      <c r="AI8" s="214" t="s">
        <v>113</v>
      </c>
      <c r="AL8" s="214" t="s">
        <v>113</v>
      </c>
      <c r="AO8" s="214" t="s">
        <v>113</v>
      </c>
      <c r="AR8" s="214" t="s">
        <v>113</v>
      </c>
      <c r="AU8" s="214" t="s">
        <v>113</v>
      </c>
      <c r="AX8" s="214" t="s">
        <v>113</v>
      </c>
      <c r="BA8" s="214" t="s">
        <v>113</v>
      </c>
      <c r="BD8" s="214" t="s">
        <v>113</v>
      </c>
      <c r="BG8" s="214" t="s">
        <v>113</v>
      </c>
      <c r="BJ8" s="214" t="s">
        <v>113</v>
      </c>
      <c r="BM8" s="214" t="s">
        <v>113</v>
      </c>
      <c r="BP8" s="214" t="s">
        <v>113</v>
      </c>
      <c r="BS8" s="214" t="s">
        <v>113</v>
      </c>
      <c r="BV8" s="214" t="s">
        <v>113</v>
      </c>
      <c r="BY8" s="214" t="s">
        <v>113</v>
      </c>
      <c r="CB8" s="214" t="s">
        <v>113</v>
      </c>
      <c r="CE8" s="214" t="s">
        <v>113</v>
      </c>
      <c r="CH8" s="214" t="s">
        <v>113</v>
      </c>
      <c r="CK8" s="214" t="s">
        <v>113</v>
      </c>
      <c r="CN8" s="214" t="s">
        <v>113</v>
      </c>
      <c r="CQ8" s="214" t="s">
        <v>113</v>
      </c>
      <c r="CT8" s="214" t="s">
        <v>113</v>
      </c>
      <c r="CW8" s="214" t="s">
        <v>113</v>
      </c>
      <c r="CZ8" s="214" t="s">
        <v>113</v>
      </c>
      <c r="DC8" s="214" t="s">
        <v>113</v>
      </c>
      <c r="DF8" s="214" t="s">
        <v>113</v>
      </c>
      <c r="DI8" s="214" t="s">
        <v>113</v>
      </c>
      <c r="DL8" s="214" t="s">
        <v>113</v>
      </c>
      <c r="DO8" s="214" t="s">
        <v>113</v>
      </c>
      <c r="DR8" s="214" t="s">
        <v>113</v>
      </c>
      <c r="EB8" s="215"/>
      <c r="EC8" s="215"/>
      <c r="ED8" s="215"/>
      <c r="EE8" s="215" t="s">
        <v>114</v>
      </c>
      <c r="EG8" s="215"/>
      <c r="EH8" s="216" t="s">
        <v>96</v>
      </c>
      <c r="EI8" s="215" t="s">
        <v>114</v>
      </c>
      <c r="EJ8" s="215"/>
      <c r="EK8" s="204" t="s">
        <v>115</v>
      </c>
      <c r="EL8" s="204" t="s">
        <v>116</v>
      </c>
      <c r="EM8" s="216" t="s">
        <v>117</v>
      </c>
      <c r="EN8" s="215" t="s">
        <v>114</v>
      </c>
    </row>
    <row r="9" spans="1:147" x14ac:dyDescent="0.2">
      <c r="B9" s="217" t="s">
        <v>118</v>
      </c>
      <c r="C9" s="218"/>
      <c r="D9" s="212"/>
      <c r="E9" s="217" t="s">
        <v>119</v>
      </c>
      <c r="F9" s="218"/>
      <c r="G9" s="212"/>
      <c r="H9" s="217" t="s">
        <v>120</v>
      </c>
      <c r="I9" s="218"/>
      <c r="J9" s="212"/>
      <c r="K9" s="217" t="s">
        <v>121</v>
      </c>
      <c r="L9" s="218"/>
      <c r="M9" s="212"/>
      <c r="N9" s="217" t="s">
        <v>122</v>
      </c>
      <c r="O9" s="218"/>
      <c r="P9" s="212"/>
      <c r="Q9" s="217" t="s">
        <v>123</v>
      </c>
      <c r="R9" s="218"/>
      <c r="S9" s="212"/>
      <c r="T9" s="217" t="s">
        <v>124</v>
      </c>
      <c r="U9" s="218"/>
      <c r="V9" s="212"/>
      <c r="W9" s="217" t="s">
        <v>125</v>
      </c>
      <c r="X9" s="218"/>
      <c r="Y9" s="212"/>
      <c r="Z9" s="217" t="s">
        <v>126</v>
      </c>
      <c r="AA9" s="218"/>
      <c r="AB9" s="212"/>
      <c r="AC9" s="219" t="s">
        <v>127</v>
      </c>
      <c r="AD9" s="218"/>
      <c r="AE9" s="212"/>
      <c r="AF9" s="219" t="s">
        <v>128</v>
      </c>
      <c r="AG9" s="218"/>
      <c r="AH9" s="212"/>
      <c r="AI9" s="217" t="s">
        <v>129</v>
      </c>
      <c r="AJ9" s="218"/>
      <c r="AK9" s="212"/>
      <c r="AL9" s="217" t="s">
        <v>130</v>
      </c>
      <c r="AM9" s="218"/>
      <c r="AN9" s="212"/>
      <c r="AO9" s="217" t="s">
        <v>131</v>
      </c>
      <c r="AP9" s="218"/>
      <c r="AQ9" s="212"/>
      <c r="AR9" s="217" t="s">
        <v>132</v>
      </c>
      <c r="AS9" s="218"/>
      <c r="AT9" s="212"/>
      <c r="AU9" s="217" t="s">
        <v>133</v>
      </c>
      <c r="AV9" s="218"/>
      <c r="AW9" s="212"/>
      <c r="AX9" s="217" t="s">
        <v>134</v>
      </c>
      <c r="AY9" s="218"/>
      <c r="AZ9" s="212"/>
      <c r="BA9" s="217" t="s">
        <v>135</v>
      </c>
      <c r="BB9" s="218"/>
      <c r="BC9" s="212"/>
      <c r="BD9" s="217" t="s">
        <v>136</v>
      </c>
      <c r="BE9" s="218"/>
      <c r="BF9" s="212"/>
      <c r="BG9" s="217" t="s">
        <v>137</v>
      </c>
      <c r="BH9" s="218"/>
      <c r="BI9" s="212"/>
      <c r="BJ9" s="217" t="s">
        <v>138</v>
      </c>
      <c r="BK9" s="218"/>
      <c r="BL9" s="212"/>
      <c r="BM9" s="217" t="s">
        <v>139</v>
      </c>
      <c r="BN9" s="218"/>
      <c r="BO9" s="212"/>
      <c r="BP9" s="217" t="s">
        <v>140</v>
      </c>
      <c r="BQ9" s="218"/>
      <c r="BR9" s="212"/>
      <c r="BS9" s="217" t="s">
        <v>141</v>
      </c>
      <c r="BT9" s="218"/>
      <c r="BU9" s="212"/>
      <c r="BV9" s="217" t="s">
        <v>142</v>
      </c>
      <c r="BW9" s="218"/>
      <c r="BX9" s="212"/>
      <c r="BY9" s="217" t="s">
        <v>143</v>
      </c>
      <c r="BZ9" s="218"/>
      <c r="CA9" s="212"/>
      <c r="CB9" s="217" t="s">
        <v>144</v>
      </c>
      <c r="CC9" s="218"/>
      <c r="CD9" s="212"/>
      <c r="CE9" s="217" t="s">
        <v>145</v>
      </c>
      <c r="CF9" s="218"/>
      <c r="CG9" s="212"/>
      <c r="CH9" s="217" t="s">
        <v>146</v>
      </c>
      <c r="CI9" s="218"/>
      <c r="CJ9" s="212"/>
      <c r="CK9" s="217" t="s">
        <v>147</v>
      </c>
      <c r="CL9" s="218"/>
      <c r="CM9" s="212"/>
      <c r="CN9" s="217" t="s">
        <v>148</v>
      </c>
      <c r="CO9" s="218"/>
      <c r="CP9" s="212"/>
      <c r="CQ9" s="217" t="s">
        <v>149</v>
      </c>
      <c r="CR9" s="218"/>
      <c r="CS9" s="212"/>
      <c r="CT9" s="217" t="s">
        <v>150</v>
      </c>
      <c r="CU9" s="218"/>
      <c r="CV9" s="212"/>
      <c r="CW9" s="217" t="s">
        <v>151</v>
      </c>
      <c r="CX9" s="218"/>
      <c r="CY9" s="212"/>
      <c r="CZ9" s="217" t="s">
        <v>152</v>
      </c>
      <c r="DA9" s="218"/>
      <c r="DB9" s="212"/>
      <c r="DC9" s="217" t="s">
        <v>153</v>
      </c>
      <c r="DD9" s="218"/>
      <c r="DE9" s="212"/>
      <c r="DF9" s="217" t="s">
        <v>154</v>
      </c>
      <c r="DG9" s="218"/>
      <c r="DH9" s="212"/>
      <c r="DI9" s="217" t="s">
        <v>155</v>
      </c>
      <c r="DJ9" s="218"/>
      <c r="DK9" s="212"/>
      <c r="DL9" s="217" t="s">
        <v>156</v>
      </c>
      <c r="DM9" s="218"/>
      <c r="DN9" s="212"/>
      <c r="DO9" s="217" t="s">
        <v>157</v>
      </c>
      <c r="DP9" s="218"/>
      <c r="DQ9" s="212"/>
      <c r="DR9" s="217" t="s">
        <v>158</v>
      </c>
      <c r="DS9" s="218"/>
      <c r="DT9" s="212"/>
      <c r="DU9" s="217" t="s">
        <v>159</v>
      </c>
      <c r="DV9" s="218"/>
      <c r="DW9" s="212"/>
      <c r="DX9" s="220" t="s">
        <v>160</v>
      </c>
      <c r="DY9" s="218"/>
      <c r="DZ9" s="212"/>
      <c r="EA9" s="213"/>
      <c r="EB9" s="204" t="s">
        <v>161</v>
      </c>
      <c r="EC9" s="204" t="s">
        <v>162</v>
      </c>
      <c r="ED9" s="215" t="s">
        <v>163</v>
      </c>
      <c r="EE9" s="215" t="s">
        <v>164</v>
      </c>
      <c r="EG9" s="216" t="s">
        <v>165</v>
      </c>
      <c r="EH9" s="215" t="s">
        <v>163</v>
      </c>
      <c r="EI9" s="215" t="s">
        <v>164</v>
      </c>
      <c r="EJ9" s="215"/>
      <c r="EK9" s="216" t="s">
        <v>117</v>
      </c>
      <c r="EL9" s="216" t="s">
        <v>117</v>
      </c>
      <c r="EM9" s="215" t="s">
        <v>163</v>
      </c>
      <c r="EN9" s="215" t="s">
        <v>164</v>
      </c>
    </row>
    <row r="10" spans="1:147" x14ac:dyDescent="0.2">
      <c r="A10" s="215" t="s">
        <v>166</v>
      </c>
      <c r="B10" s="221" t="s">
        <v>167</v>
      </c>
      <c r="C10" s="222" t="s">
        <v>168</v>
      </c>
      <c r="D10" s="223" t="s">
        <v>19</v>
      </c>
      <c r="E10" s="221" t="s">
        <v>167</v>
      </c>
      <c r="F10" s="222" t="s">
        <v>168</v>
      </c>
      <c r="G10" s="223" t="s">
        <v>19</v>
      </c>
      <c r="H10" s="221" t="s">
        <v>167</v>
      </c>
      <c r="I10" s="222" t="s">
        <v>168</v>
      </c>
      <c r="J10" s="223" t="s">
        <v>19</v>
      </c>
      <c r="K10" s="221" t="s">
        <v>167</v>
      </c>
      <c r="L10" s="222" t="s">
        <v>168</v>
      </c>
      <c r="M10" s="223" t="s">
        <v>19</v>
      </c>
      <c r="N10" s="221" t="s">
        <v>167</v>
      </c>
      <c r="O10" s="222" t="s">
        <v>168</v>
      </c>
      <c r="P10" s="223" t="s">
        <v>19</v>
      </c>
      <c r="Q10" s="221" t="s">
        <v>167</v>
      </c>
      <c r="R10" s="222" t="s">
        <v>168</v>
      </c>
      <c r="S10" s="223" t="s">
        <v>19</v>
      </c>
      <c r="T10" s="221" t="s">
        <v>167</v>
      </c>
      <c r="U10" s="222" t="s">
        <v>168</v>
      </c>
      <c r="V10" s="223" t="s">
        <v>19</v>
      </c>
      <c r="W10" s="221" t="s">
        <v>167</v>
      </c>
      <c r="X10" s="222" t="s">
        <v>168</v>
      </c>
      <c r="Y10" s="223" t="s">
        <v>19</v>
      </c>
      <c r="Z10" s="221" t="s">
        <v>167</v>
      </c>
      <c r="AA10" s="222" t="s">
        <v>168</v>
      </c>
      <c r="AB10" s="223" t="s">
        <v>19</v>
      </c>
      <c r="AC10" s="221" t="s">
        <v>167</v>
      </c>
      <c r="AD10" s="222" t="s">
        <v>168</v>
      </c>
      <c r="AE10" s="223" t="s">
        <v>19</v>
      </c>
      <c r="AF10" s="221" t="s">
        <v>167</v>
      </c>
      <c r="AG10" s="222" t="s">
        <v>168</v>
      </c>
      <c r="AH10" s="223" t="s">
        <v>19</v>
      </c>
      <c r="AI10" s="221" t="s">
        <v>167</v>
      </c>
      <c r="AJ10" s="222" t="s">
        <v>168</v>
      </c>
      <c r="AK10" s="223" t="s">
        <v>19</v>
      </c>
      <c r="AL10" s="221" t="s">
        <v>167</v>
      </c>
      <c r="AM10" s="222" t="s">
        <v>168</v>
      </c>
      <c r="AN10" s="223" t="s">
        <v>19</v>
      </c>
      <c r="AO10" s="221" t="s">
        <v>167</v>
      </c>
      <c r="AP10" s="222" t="s">
        <v>168</v>
      </c>
      <c r="AQ10" s="223" t="s">
        <v>19</v>
      </c>
      <c r="AR10" s="221" t="s">
        <v>167</v>
      </c>
      <c r="AS10" s="222" t="s">
        <v>168</v>
      </c>
      <c r="AT10" s="223" t="s">
        <v>19</v>
      </c>
      <c r="AU10" s="221" t="s">
        <v>167</v>
      </c>
      <c r="AV10" s="222" t="s">
        <v>168</v>
      </c>
      <c r="AW10" s="223" t="s">
        <v>19</v>
      </c>
      <c r="AX10" s="221" t="s">
        <v>167</v>
      </c>
      <c r="AY10" s="222" t="s">
        <v>168</v>
      </c>
      <c r="AZ10" s="223" t="s">
        <v>19</v>
      </c>
      <c r="BA10" s="221" t="s">
        <v>167</v>
      </c>
      <c r="BB10" s="222" t="s">
        <v>168</v>
      </c>
      <c r="BC10" s="223" t="s">
        <v>19</v>
      </c>
      <c r="BD10" s="221" t="s">
        <v>167</v>
      </c>
      <c r="BE10" s="222" t="s">
        <v>168</v>
      </c>
      <c r="BF10" s="223" t="s">
        <v>19</v>
      </c>
      <c r="BG10" s="221" t="s">
        <v>167</v>
      </c>
      <c r="BH10" s="222" t="s">
        <v>168</v>
      </c>
      <c r="BI10" s="223" t="s">
        <v>19</v>
      </c>
      <c r="BJ10" s="221" t="s">
        <v>167</v>
      </c>
      <c r="BK10" s="222" t="s">
        <v>168</v>
      </c>
      <c r="BL10" s="223" t="s">
        <v>19</v>
      </c>
      <c r="BM10" s="221" t="s">
        <v>167</v>
      </c>
      <c r="BN10" s="222" t="s">
        <v>168</v>
      </c>
      <c r="BO10" s="223" t="s">
        <v>19</v>
      </c>
      <c r="BP10" s="221" t="s">
        <v>167</v>
      </c>
      <c r="BQ10" s="222" t="s">
        <v>168</v>
      </c>
      <c r="BR10" s="223" t="s">
        <v>19</v>
      </c>
      <c r="BS10" s="221" t="s">
        <v>167</v>
      </c>
      <c r="BT10" s="222" t="s">
        <v>168</v>
      </c>
      <c r="BU10" s="223" t="s">
        <v>19</v>
      </c>
      <c r="BV10" s="221" t="s">
        <v>167</v>
      </c>
      <c r="BW10" s="222" t="s">
        <v>168</v>
      </c>
      <c r="BX10" s="223" t="s">
        <v>19</v>
      </c>
      <c r="BY10" s="221" t="s">
        <v>167</v>
      </c>
      <c r="BZ10" s="222" t="s">
        <v>168</v>
      </c>
      <c r="CA10" s="223" t="s">
        <v>19</v>
      </c>
      <c r="CB10" s="221" t="s">
        <v>167</v>
      </c>
      <c r="CC10" s="222" t="s">
        <v>168</v>
      </c>
      <c r="CD10" s="223" t="s">
        <v>19</v>
      </c>
      <c r="CE10" s="221" t="s">
        <v>167</v>
      </c>
      <c r="CF10" s="222" t="s">
        <v>168</v>
      </c>
      <c r="CG10" s="223" t="s">
        <v>19</v>
      </c>
      <c r="CH10" s="221" t="s">
        <v>167</v>
      </c>
      <c r="CI10" s="222" t="s">
        <v>168</v>
      </c>
      <c r="CJ10" s="223" t="s">
        <v>19</v>
      </c>
      <c r="CK10" s="221" t="s">
        <v>167</v>
      </c>
      <c r="CL10" s="222" t="s">
        <v>168</v>
      </c>
      <c r="CM10" s="223" t="s">
        <v>19</v>
      </c>
      <c r="CN10" s="221" t="s">
        <v>167</v>
      </c>
      <c r="CO10" s="222" t="s">
        <v>168</v>
      </c>
      <c r="CP10" s="223" t="s">
        <v>19</v>
      </c>
      <c r="CQ10" s="221" t="s">
        <v>167</v>
      </c>
      <c r="CR10" s="222" t="s">
        <v>168</v>
      </c>
      <c r="CS10" s="223" t="s">
        <v>19</v>
      </c>
      <c r="CT10" s="221" t="s">
        <v>167</v>
      </c>
      <c r="CU10" s="222" t="s">
        <v>168</v>
      </c>
      <c r="CV10" s="223" t="s">
        <v>19</v>
      </c>
      <c r="CW10" s="221" t="s">
        <v>167</v>
      </c>
      <c r="CX10" s="222" t="s">
        <v>168</v>
      </c>
      <c r="CY10" s="223" t="s">
        <v>19</v>
      </c>
      <c r="CZ10" s="221" t="s">
        <v>167</v>
      </c>
      <c r="DA10" s="222" t="s">
        <v>168</v>
      </c>
      <c r="DB10" s="223" t="s">
        <v>19</v>
      </c>
      <c r="DC10" s="221" t="s">
        <v>167</v>
      </c>
      <c r="DD10" s="222" t="s">
        <v>168</v>
      </c>
      <c r="DE10" s="223" t="s">
        <v>19</v>
      </c>
      <c r="DF10" s="221" t="s">
        <v>167</v>
      </c>
      <c r="DG10" s="222" t="s">
        <v>168</v>
      </c>
      <c r="DH10" s="223" t="s">
        <v>19</v>
      </c>
      <c r="DI10" s="221" t="s">
        <v>167</v>
      </c>
      <c r="DJ10" s="222" t="s">
        <v>168</v>
      </c>
      <c r="DK10" s="223" t="s">
        <v>19</v>
      </c>
      <c r="DL10" s="221" t="s">
        <v>167</v>
      </c>
      <c r="DM10" s="222" t="s">
        <v>168</v>
      </c>
      <c r="DN10" s="223" t="s">
        <v>19</v>
      </c>
      <c r="DO10" s="221" t="s">
        <v>167</v>
      </c>
      <c r="DP10" s="222" t="s">
        <v>168</v>
      </c>
      <c r="DQ10" s="223" t="s">
        <v>19</v>
      </c>
      <c r="DR10" s="221" t="s">
        <v>167</v>
      </c>
      <c r="DS10" s="222" t="s">
        <v>168</v>
      </c>
      <c r="DT10" s="223" t="s">
        <v>19</v>
      </c>
      <c r="DU10" s="221" t="s">
        <v>167</v>
      </c>
      <c r="DV10" s="222" t="s">
        <v>168</v>
      </c>
      <c r="DW10" s="223" t="s">
        <v>19</v>
      </c>
      <c r="DX10" s="221" t="s">
        <v>167</v>
      </c>
      <c r="DY10" s="222"/>
      <c r="DZ10" s="223"/>
      <c r="EA10" s="223"/>
      <c r="EB10" s="223" t="s">
        <v>169</v>
      </c>
      <c r="EC10" s="223" t="s">
        <v>169</v>
      </c>
      <c r="ED10" s="223" t="s">
        <v>19</v>
      </c>
      <c r="EE10" s="224" t="s">
        <v>168</v>
      </c>
      <c r="EG10" s="223" t="s">
        <v>169</v>
      </c>
      <c r="EH10" s="223" t="s">
        <v>19</v>
      </c>
      <c r="EI10" s="224" t="s">
        <v>168</v>
      </c>
      <c r="EJ10" s="224"/>
      <c r="EK10" s="223" t="s">
        <v>169</v>
      </c>
      <c r="EL10" s="223" t="s">
        <v>169</v>
      </c>
      <c r="EM10" s="223" t="s">
        <v>19</v>
      </c>
      <c r="EN10" s="224" t="s">
        <v>168</v>
      </c>
    </row>
    <row r="11" spans="1:147" x14ac:dyDescent="0.2">
      <c r="A11" s="225">
        <v>44044</v>
      </c>
      <c r="B11" s="193">
        <v>47195000</v>
      </c>
      <c r="C11" s="194">
        <v>1E-3</v>
      </c>
      <c r="D11" s="193">
        <f>(B11*C11)/360</f>
        <v>131.09722222222223</v>
      </c>
      <c r="G11" s="193">
        <f>(E11*F11)/360</f>
        <v>0</v>
      </c>
      <c r="J11" s="193">
        <f>(H11*I11)/360</f>
        <v>0</v>
      </c>
      <c r="M11" s="193">
        <f>(K11*L11)/360</f>
        <v>0</v>
      </c>
      <c r="P11" s="193">
        <f>(N11*O11)/360</f>
        <v>0</v>
      </c>
      <c r="S11" s="193">
        <f>(Q11*R11)/360</f>
        <v>0</v>
      </c>
      <c r="V11" s="193">
        <f>(T11*U11)/360</f>
        <v>0</v>
      </c>
      <c r="Y11" s="193">
        <f>(W11*X11)/360</f>
        <v>0</v>
      </c>
      <c r="AB11" s="193">
        <f>(Z11*AA11)/360</f>
        <v>0</v>
      </c>
      <c r="AE11" s="193">
        <v>0</v>
      </c>
      <c r="AH11" s="193">
        <v>0</v>
      </c>
      <c r="AI11" s="226">
        <v>40700000</v>
      </c>
      <c r="AJ11" s="227">
        <v>2.5000000000000001E-3</v>
      </c>
      <c r="AK11" s="193">
        <f>(AI11*AJ11)/360</f>
        <v>282.63888888888891</v>
      </c>
      <c r="AL11" s="226"/>
      <c r="AM11" s="227"/>
      <c r="AN11" s="193">
        <f>(AL11*AM11)/360</f>
        <v>0</v>
      </c>
      <c r="AO11" s="226"/>
      <c r="AP11" s="227"/>
      <c r="AQ11" s="193">
        <f>(AO11*AP11)/360</f>
        <v>0</v>
      </c>
      <c r="AR11" s="226"/>
      <c r="AS11" s="227"/>
      <c r="AT11" s="193">
        <f>(AR11*AS11)/360</f>
        <v>0</v>
      </c>
      <c r="AW11" s="193">
        <f>(AU11*AV11)/360</f>
        <v>0</v>
      </c>
      <c r="AZ11" s="193">
        <f>(AX11*AY11)/360</f>
        <v>0</v>
      </c>
      <c r="BC11" s="193">
        <f>(BA11*BB11)/360</f>
        <v>0</v>
      </c>
      <c r="BF11" s="193">
        <f>(BD11*BE11)/360</f>
        <v>0</v>
      </c>
      <c r="BI11" s="193">
        <f>(BG11*BH11)/360</f>
        <v>0</v>
      </c>
      <c r="BL11" s="193">
        <f>(BJ11*BK11)/360</f>
        <v>0</v>
      </c>
      <c r="BO11" s="193">
        <f>(BM11*BN11)/360</f>
        <v>0</v>
      </c>
      <c r="BR11" s="193">
        <f>(BP11*BQ11)/360</f>
        <v>0</v>
      </c>
      <c r="BU11" s="193">
        <f>(BS11*BT11)/360</f>
        <v>0</v>
      </c>
      <c r="BX11" s="193">
        <f>(BV11*BW11)/360</f>
        <v>0</v>
      </c>
      <c r="CA11" s="193">
        <f>(BY11*BZ11)/360</f>
        <v>0</v>
      </c>
      <c r="CD11" s="193">
        <f>(CB11*CC11)/360</f>
        <v>0</v>
      </c>
      <c r="CG11" s="193">
        <f>(CE11*CF11)/360</f>
        <v>0</v>
      </c>
      <c r="CJ11" s="193">
        <f>(CH11*CI11)/360</f>
        <v>0</v>
      </c>
      <c r="CM11" s="193">
        <f>(CK11*CL11)/360</f>
        <v>0</v>
      </c>
      <c r="CP11" s="193">
        <f>(CN11*CO11)/360</f>
        <v>0</v>
      </c>
      <c r="CS11" s="193">
        <f>(CQ11*CR11)/360</f>
        <v>0</v>
      </c>
      <c r="CV11" s="193">
        <f>(CT11*CU11)/360</f>
        <v>0</v>
      </c>
      <c r="CY11" s="193">
        <f>(CW11*CX11)/360</f>
        <v>0</v>
      </c>
      <c r="DB11" s="193">
        <f>(CZ11*DA11)/360</f>
        <v>0</v>
      </c>
      <c r="DE11" s="193">
        <f>(DC11*DD11)/360</f>
        <v>0</v>
      </c>
      <c r="DH11" s="193">
        <f>(DF11*DG11)/360</f>
        <v>0</v>
      </c>
      <c r="DK11" s="193">
        <f>(DI11*DJ11)/360</f>
        <v>0</v>
      </c>
      <c r="DN11" s="193">
        <f>(DL11*DM11)/360</f>
        <v>0</v>
      </c>
      <c r="DQ11" s="193">
        <f>(DO11*DP11)/360</f>
        <v>0</v>
      </c>
      <c r="DT11" s="193">
        <f>(DR11*DS11)/360</f>
        <v>0</v>
      </c>
      <c r="DW11" s="193">
        <f>(DU11*DV11)/360</f>
        <v>0</v>
      </c>
      <c r="DZ11" s="193"/>
      <c r="EA11" s="193"/>
      <c r="EB11" s="228">
        <f>B11+E11+H11+K11+N11+Q11+T11+W11+Z11+AC11+AF11+AL11+AO11+AR11+AU11+AX11+BA11+BD11+BG11+DU11+AI11+DR11+DO11+DL11+DI11+DF11+DC11+CZ11+CW11+CT11+CQ11+CN11+CK11+CH11+CE11+CB11+BY11+BV11+BS11+BP11+BM11+BJ11</f>
        <v>87895000</v>
      </c>
      <c r="EC11" s="228">
        <f>EB11-EK11+EL11</f>
        <v>47195000</v>
      </c>
      <c r="ED11" s="193">
        <f>D11+G11+J11+M11+P11+S11+V11+Y11+AB11+AE11+AH11+AK11+AN11+AQ11+AT11+AW11+AZ11+BC11+BF11+BI11+DW11+DT11+DQ11+DN11+DK11+DH11+DE11+DB11+CY11+CV11+CS11+CP11+CM11+CJ11+CG11+CD11+CA11+BX11+BU11+BR11+BO11+BL11</f>
        <v>413.73611111111114</v>
      </c>
      <c r="EE11" s="194">
        <f>IF(EB11&lt;&gt;0,((ED11/EB11)*360),0)</f>
        <v>1.6945787587462314E-3</v>
      </c>
      <c r="EG11" s="228">
        <f>Q11+T11+W11+Z11+AC11+AF11</f>
        <v>0</v>
      </c>
      <c r="EH11" s="193">
        <f>S11+V11+Y11+AB11+AE11+AH11</f>
        <v>0</v>
      </c>
      <c r="EI11" s="194">
        <f>IF(EG11&lt;&gt;0,((EH11/EG11)*360),0)</f>
        <v>0</v>
      </c>
      <c r="EJ11" s="194"/>
      <c r="EK11" s="228">
        <f>DR11+DL11+DI11+DF11+DC11+CZ11+CW11+CT11+CQ11+CN11+CK11+CH11+CE11+CB11+BY11+BV11+BS11+BP11+BM11+BJ11+BG11+BD11+BA11+AX11+AU11+AR11+AO11+AL11+AI11+DO11</f>
        <v>40700000</v>
      </c>
      <c r="EL11" s="228">
        <f>DX11</f>
        <v>0</v>
      </c>
      <c r="EM11" s="228">
        <f>DT11+DQ11+DN11+DK11+DH11+DE11+DB11+CY11+CV11+CS11+CP11+CM11+CJ11+CG11+CD11+CA11+BX11+BU11+BR11+BO11+BL11+BI11+BF11+BC11+AZ11+AW11+AT11+AQ11+AN11+AK11</f>
        <v>282.63888888888891</v>
      </c>
      <c r="EN11" s="194">
        <f>IF(EK11&lt;&gt;0,((EM11/EK11)*360),0)</f>
        <v>2.5000000000000001E-3</v>
      </c>
      <c r="EP11" s="193"/>
    </row>
    <row r="12" spans="1:147" x14ac:dyDescent="0.2">
      <c r="A12" s="225">
        <f>1+A11</f>
        <v>44045</v>
      </c>
      <c r="B12" s="193">
        <v>47195000</v>
      </c>
      <c r="C12" s="194">
        <v>1E-3</v>
      </c>
      <c r="D12" s="193">
        <f t="shared" ref="D12:D41" si="0">(B12*C12)/360</f>
        <v>131.09722222222223</v>
      </c>
      <c r="G12" s="193">
        <f t="shared" ref="G12:G41" si="1">(E12*F12)/360</f>
        <v>0</v>
      </c>
      <c r="J12" s="193">
        <f t="shared" ref="J12:J41" si="2">(H12*I12)/360</f>
        <v>0</v>
      </c>
      <c r="M12" s="193">
        <f t="shared" ref="M12:M41" si="3">(K12*L12)/360</f>
        <v>0</v>
      </c>
      <c r="P12" s="193">
        <f t="shared" ref="P12:P41" si="4">(N12*O12)/360</f>
        <v>0</v>
      </c>
      <c r="S12" s="193">
        <f t="shared" ref="S12:S41" si="5">(Q12*R12)/360</f>
        <v>0</v>
      </c>
      <c r="V12" s="193">
        <f t="shared" ref="V12:V41" si="6">(T12*U12)/360</f>
        <v>0</v>
      </c>
      <c r="Y12" s="193">
        <f t="shared" ref="Y12:Y41" si="7">(W12*X12)/360</f>
        <v>0</v>
      </c>
      <c r="AB12" s="193">
        <f t="shared" ref="AB12:AB41" si="8">(Z12*AA12)/360</f>
        <v>0</v>
      </c>
      <c r="AE12" s="193">
        <v>0</v>
      </c>
      <c r="AH12" s="193">
        <v>0</v>
      </c>
      <c r="AI12" s="226">
        <v>40700000</v>
      </c>
      <c r="AJ12" s="227">
        <v>2.5000000000000001E-3</v>
      </c>
      <c r="AK12" s="193">
        <f t="shared" ref="AK12:AK41" si="9">(AI12*AJ12)/360</f>
        <v>282.63888888888891</v>
      </c>
      <c r="AL12" s="226"/>
      <c r="AM12" s="227"/>
      <c r="AN12" s="193">
        <f t="shared" ref="AN12:AN41" si="10">(AL12*AM12)/360</f>
        <v>0</v>
      </c>
      <c r="AO12" s="226"/>
      <c r="AP12" s="227"/>
      <c r="AQ12" s="193">
        <f t="shared" ref="AQ12:AQ41" si="11">(AO12*AP12)/360</f>
        <v>0</v>
      </c>
      <c r="AR12" s="226"/>
      <c r="AS12" s="227"/>
      <c r="AT12" s="193">
        <f t="shared" ref="AT12:AT41" si="12">(AR12*AS12)/360</f>
        <v>0</v>
      </c>
      <c r="AW12" s="193">
        <f t="shared" ref="AW12:AW41" si="13">(AU12*AV12)/360</f>
        <v>0</v>
      </c>
      <c r="AZ12" s="193">
        <f t="shared" ref="AZ12:AZ41" si="14">(AX12*AY12)/360</f>
        <v>0</v>
      </c>
      <c r="BC12" s="193">
        <f t="shared" ref="BC12:BC41" si="15">(BA12*BB12)/360</f>
        <v>0</v>
      </c>
      <c r="BF12" s="193">
        <f t="shared" ref="BF12:BF41" si="16">(BD12*BE12)/360</f>
        <v>0</v>
      </c>
      <c r="BI12" s="193">
        <f t="shared" ref="BI12:BI41" si="17">(BG12*BH12)/360</f>
        <v>0</v>
      </c>
      <c r="BL12" s="193">
        <f t="shared" ref="BL12:BL41" si="18">(BJ12*BK12)/360</f>
        <v>0</v>
      </c>
      <c r="BO12" s="193">
        <f t="shared" ref="BO12:BO41" si="19">(BM12*BN12)/360</f>
        <v>0</v>
      </c>
      <c r="BR12" s="193">
        <f t="shared" ref="BR12:BR41" si="20">(BP12*BQ12)/360</f>
        <v>0</v>
      </c>
      <c r="BU12" s="193">
        <f t="shared" ref="BU12:BU41" si="21">(BS12*BT12)/360</f>
        <v>0</v>
      </c>
      <c r="BX12" s="193">
        <f t="shared" ref="BX12:BX41" si="22">(BV12*BW12)/360</f>
        <v>0</v>
      </c>
      <c r="CA12" s="193">
        <f t="shared" ref="CA12:CA41" si="23">(BY12*BZ12)/360</f>
        <v>0</v>
      </c>
      <c r="CD12" s="193">
        <f t="shared" ref="CD12:CD41" si="24">(CB12*CC12)/360</f>
        <v>0</v>
      </c>
      <c r="CG12" s="193">
        <f t="shared" ref="CG12:CG41" si="25">(CE12*CF12)/360</f>
        <v>0</v>
      </c>
      <c r="CJ12" s="193">
        <f t="shared" ref="CJ12:CJ41" si="26">(CH12*CI12)/360</f>
        <v>0</v>
      </c>
      <c r="CM12" s="193">
        <f t="shared" ref="CM12:CM41" si="27">(CK12*CL12)/360</f>
        <v>0</v>
      </c>
      <c r="CP12" s="193">
        <f t="shared" ref="CP12:CP41" si="28">(CN12*CO12)/360</f>
        <v>0</v>
      </c>
      <c r="CS12" s="193">
        <f t="shared" ref="CS12:CS41" si="29">(CQ12*CR12)/360</f>
        <v>0</v>
      </c>
      <c r="CV12" s="193">
        <f t="shared" ref="CV12:CV41" si="30">(CT12*CU12)/360</f>
        <v>0</v>
      </c>
      <c r="CY12" s="193">
        <f t="shared" ref="CY12:CY41" si="31">(CW12*CX12)/360</f>
        <v>0</v>
      </c>
      <c r="DB12" s="193">
        <f t="shared" ref="DB12:DB41" si="32">(CZ12*DA12)/360</f>
        <v>0</v>
      </c>
      <c r="DE12" s="193">
        <f t="shared" ref="DE12:DE41" si="33">(DC12*DD12)/360</f>
        <v>0</v>
      </c>
      <c r="DH12" s="193">
        <f t="shared" ref="DH12:DH41" si="34">(DF12*DG12)/360</f>
        <v>0</v>
      </c>
      <c r="DK12" s="193">
        <f t="shared" ref="DK12:DK41" si="35">(DI12*DJ12)/360</f>
        <v>0</v>
      </c>
      <c r="DN12" s="193">
        <f t="shared" ref="DN12:DN41" si="36">(DL12*DM12)/360</f>
        <v>0</v>
      </c>
      <c r="DQ12" s="193">
        <f t="shared" ref="DQ12:DQ41" si="37">(DO12*DP12)/360</f>
        <v>0</v>
      </c>
      <c r="DT12" s="193">
        <f t="shared" ref="DT12:DT41" si="38">(DR12*DS12)/360</f>
        <v>0</v>
      </c>
      <c r="DW12" s="193">
        <f t="shared" ref="DW12:DW41" si="39">(DU12*DV12)/360</f>
        <v>0</v>
      </c>
      <c r="DZ12" s="193"/>
      <c r="EA12" s="193"/>
      <c r="EB12" s="228">
        <f t="shared" ref="EB12:EB41" si="40">B12+E12+H12+K12+N12+Q12+T12+W12+Z12+AC12+AF12+AL12+AO12+AR12+AU12+AX12+BA12+BD12+BG12+DU12+AI12+DR12+DO12+DL12+DI12+DF12+DC12+CZ12+CW12+CT12+CQ12+CN12+CK12+CH12+CE12+CB12+BY12+BV12+BS12+BP12+BM12+BJ12</f>
        <v>87895000</v>
      </c>
      <c r="EC12" s="228">
        <f t="shared" ref="EC12:EC41" si="41">EB12-EK12+EL12</f>
        <v>47195000</v>
      </c>
      <c r="ED12" s="193">
        <f t="shared" ref="ED12:ED41" si="42">D12+G12+J12+M12+P12+S12+V12+Y12+AB12+AE12+AH12+AK12+AN12+AQ12+AT12+AW12+AZ12+BC12+BF12+BI12+DW12+DT12+DQ12+DN12+DK12+DH12+DE12+DB12+CY12+CV12+CS12+CP12+CM12+CJ12+CG12+CD12+CA12+BX12+BU12+BR12+BO12+BL12</f>
        <v>413.73611111111114</v>
      </c>
      <c r="EE12" s="194">
        <f t="shared" ref="EE12:EE41" si="43">IF(EB12&lt;&gt;0,((ED12/EB12)*360),0)</f>
        <v>1.6945787587462314E-3</v>
      </c>
      <c r="EG12" s="228">
        <f t="shared" ref="EG12:EG41" si="44">Q12+T12+W12+Z12+AC12+AF12</f>
        <v>0</v>
      </c>
      <c r="EH12" s="193">
        <f t="shared" ref="EH12:EH41" si="45">S12+V12+Y12+AB12+AE12+AH12</f>
        <v>0</v>
      </c>
      <c r="EI12" s="194">
        <f t="shared" ref="EI12:EI41" si="46">IF(EG12&lt;&gt;0,((EH12/EG12)*360),0)</f>
        <v>0</v>
      </c>
      <c r="EJ12" s="194"/>
      <c r="EK12" s="228">
        <f t="shared" ref="EK12:EK41" si="47">DR12+DL12+DI12+DF12+DC12+CZ12+CW12+CT12+CQ12+CN12+CK12+CH12+CE12+CB12+BY12+BV12+BS12+BP12+BM12+BJ12+BG12+BD12+BA12+AX12+AU12+AR12+AO12+AL12+AI12+DO12</f>
        <v>40700000</v>
      </c>
      <c r="EL12" s="228">
        <f t="shared" ref="EL12:EL41" si="48">DX12</f>
        <v>0</v>
      </c>
      <c r="EM12" s="228">
        <f t="shared" ref="EM12:EM41" si="49">DT12+DQ12+DN12+DK12+DH12+DE12+DB12+CY12+CV12+CS12+CP12+CM12+CJ12+CG12+CD12+CA12+BX12+BU12+BR12+BO12+BL12+BI12+BF12+BC12+AZ12+AW12+AT12+AQ12+AN12+AK12</f>
        <v>282.63888888888891</v>
      </c>
      <c r="EN12" s="194">
        <f t="shared" ref="EN12:EN41" si="50">IF(EK12&lt;&gt;0,((EM12/EK12)*360),0)</f>
        <v>2.5000000000000001E-3</v>
      </c>
      <c r="EP12" s="193"/>
    </row>
    <row r="13" spans="1:147" x14ac:dyDescent="0.2">
      <c r="A13" s="225">
        <f t="shared" ref="A13:A41" si="51">1+A12</f>
        <v>44046</v>
      </c>
      <c r="B13" s="193">
        <v>49320000</v>
      </c>
      <c r="C13" s="194">
        <v>1E-3</v>
      </c>
      <c r="D13" s="193">
        <f t="shared" si="0"/>
        <v>137</v>
      </c>
      <c r="G13" s="193">
        <f t="shared" si="1"/>
        <v>0</v>
      </c>
      <c r="J13" s="193">
        <f t="shared" si="2"/>
        <v>0</v>
      </c>
      <c r="M13" s="193">
        <f t="shared" si="3"/>
        <v>0</v>
      </c>
      <c r="P13" s="193">
        <f t="shared" si="4"/>
        <v>0</v>
      </c>
      <c r="S13" s="193">
        <f t="shared" si="5"/>
        <v>0</v>
      </c>
      <c r="V13" s="193">
        <f t="shared" si="6"/>
        <v>0</v>
      </c>
      <c r="Y13" s="193">
        <f t="shared" si="7"/>
        <v>0</v>
      </c>
      <c r="AB13" s="193">
        <f t="shared" si="8"/>
        <v>0</v>
      </c>
      <c r="AE13" s="193">
        <v>0</v>
      </c>
      <c r="AH13" s="193">
        <v>0</v>
      </c>
      <c r="AI13" s="226">
        <v>42750000</v>
      </c>
      <c r="AJ13" s="227">
        <v>2.5000000000000001E-3</v>
      </c>
      <c r="AK13" s="193">
        <f t="shared" si="9"/>
        <v>296.875</v>
      </c>
      <c r="AL13" s="226"/>
      <c r="AM13" s="227"/>
      <c r="AN13" s="193">
        <f t="shared" si="10"/>
        <v>0</v>
      </c>
      <c r="AO13" s="226"/>
      <c r="AP13" s="227"/>
      <c r="AQ13" s="193">
        <f t="shared" si="11"/>
        <v>0</v>
      </c>
      <c r="AR13" s="226"/>
      <c r="AS13" s="227"/>
      <c r="AT13" s="193">
        <f t="shared" si="12"/>
        <v>0</v>
      </c>
      <c r="AW13" s="193">
        <f t="shared" si="13"/>
        <v>0</v>
      </c>
      <c r="AZ13" s="193">
        <f t="shared" si="14"/>
        <v>0</v>
      </c>
      <c r="BC13" s="193">
        <f t="shared" si="15"/>
        <v>0</v>
      </c>
      <c r="BF13" s="193">
        <f t="shared" si="16"/>
        <v>0</v>
      </c>
      <c r="BI13" s="193">
        <f t="shared" si="17"/>
        <v>0</v>
      </c>
      <c r="BL13" s="193">
        <f t="shared" si="18"/>
        <v>0</v>
      </c>
      <c r="BO13" s="193">
        <f t="shared" si="19"/>
        <v>0</v>
      </c>
      <c r="BR13" s="193">
        <f t="shared" si="20"/>
        <v>0</v>
      </c>
      <c r="BU13" s="193">
        <f t="shared" si="21"/>
        <v>0</v>
      </c>
      <c r="BX13" s="193">
        <f t="shared" si="22"/>
        <v>0</v>
      </c>
      <c r="CA13" s="193">
        <f t="shared" si="23"/>
        <v>0</v>
      </c>
      <c r="CD13" s="193">
        <f t="shared" si="24"/>
        <v>0</v>
      </c>
      <c r="CG13" s="193">
        <f t="shared" si="25"/>
        <v>0</v>
      </c>
      <c r="CJ13" s="193">
        <f t="shared" si="26"/>
        <v>0</v>
      </c>
      <c r="CM13" s="193">
        <f t="shared" si="27"/>
        <v>0</v>
      </c>
      <c r="CP13" s="193">
        <f t="shared" si="28"/>
        <v>0</v>
      </c>
      <c r="CS13" s="193">
        <f t="shared" si="29"/>
        <v>0</v>
      </c>
      <c r="CV13" s="193">
        <f t="shared" si="30"/>
        <v>0</v>
      </c>
      <c r="CY13" s="193">
        <f t="shared" si="31"/>
        <v>0</v>
      </c>
      <c r="DB13" s="193">
        <f t="shared" si="32"/>
        <v>0</v>
      </c>
      <c r="DE13" s="193">
        <f t="shared" si="33"/>
        <v>0</v>
      </c>
      <c r="DH13" s="193">
        <f t="shared" si="34"/>
        <v>0</v>
      </c>
      <c r="DK13" s="193">
        <f t="shared" si="35"/>
        <v>0</v>
      </c>
      <c r="DN13" s="193">
        <f t="shared" si="36"/>
        <v>0</v>
      </c>
      <c r="DQ13" s="193">
        <f t="shared" si="37"/>
        <v>0</v>
      </c>
      <c r="DT13" s="193">
        <f t="shared" si="38"/>
        <v>0</v>
      </c>
      <c r="DW13" s="193">
        <f t="shared" si="39"/>
        <v>0</v>
      </c>
      <c r="DZ13" s="193"/>
      <c r="EA13" s="193"/>
      <c r="EB13" s="228">
        <f t="shared" si="40"/>
        <v>92070000</v>
      </c>
      <c r="EC13" s="228">
        <f t="shared" si="41"/>
        <v>49320000</v>
      </c>
      <c r="ED13" s="193">
        <f t="shared" si="42"/>
        <v>433.875</v>
      </c>
      <c r="EE13" s="194">
        <f t="shared" si="43"/>
        <v>1.6964809384164223E-3</v>
      </c>
      <c r="EG13" s="228">
        <f t="shared" si="44"/>
        <v>0</v>
      </c>
      <c r="EH13" s="193">
        <f t="shared" si="45"/>
        <v>0</v>
      </c>
      <c r="EI13" s="194">
        <f t="shared" si="46"/>
        <v>0</v>
      </c>
      <c r="EJ13" s="194"/>
      <c r="EK13" s="228">
        <f t="shared" si="47"/>
        <v>42750000</v>
      </c>
      <c r="EL13" s="228">
        <f t="shared" si="48"/>
        <v>0</v>
      </c>
      <c r="EM13" s="228">
        <f t="shared" si="49"/>
        <v>296.875</v>
      </c>
      <c r="EN13" s="194">
        <f t="shared" si="50"/>
        <v>2.5000000000000001E-3</v>
      </c>
      <c r="EP13" s="193"/>
    </row>
    <row r="14" spans="1:147" x14ac:dyDescent="0.2">
      <c r="A14" s="225">
        <f t="shared" si="51"/>
        <v>44047</v>
      </c>
      <c r="B14" s="193">
        <v>50670000</v>
      </c>
      <c r="C14" s="194">
        <v>1E-3</v>
      </c>
      <c r="D14" s="193">
        <f t="shared" si="0"/>
        <v>140.75</v>
      </c>
      <c r="G14" s="193">
        <f t="shared" si="1"/>
        <v>0</v>
      </c>
      <c r="J14" s="193">
        <f t="shared" si="2"/>
        <v>0</v>
      </c>
      <c r="M14" s="193">
        <f t="shared" si="3"/>
        <v>0</v>
      </c>
      <c r="P14" s="193">
        <f t="shared" si="4"/>
        <v>0</v>
      </c>
      <c r="S14" s="193">
        <f t="shared" si="5"/>
        <v>0</v>
      </c>
      <c r="V14" s="193">
        <f t="shared" si="6"/>
        <v>0</v>
      </c>
      <c r="Y14" s="193">
        <f t="shared" si="7"/>
        <v>0</v>
      </c>
      <c r="AB14" s="193">
        <f t="shared" si="8"/>
        <v>0</v>
      </c>
      <c r="AE14" s="193">
        <v>0</v>
      </c>
      <c r="AH14" s="193">
        <v>0</v>
      </c>
      <c r="AI14" s="226">
        <v>27250000</v>
      </c>
      <c r="AJ14" s="227">
        <v>2.5000000000000001E-3</v>
      </c>
      <c r="AK14" s="193">
        <f t="shared" si="9"/>
        <v>189.23611111111111</v>
      </c>
      <c r="AL14" s="226"/>
      <c r="AM14" s="227"/>
      <c r="AN14" s="193">
        <f t="shared" si="10"/>
        <v>0</v>
      </c>
      <c r="AO14" s="226"/>
      <c r="AP14" s="227"/>
      <c r="AQ14" s="193">
        <f t="shared" si="11"/>
        <v>0</v>
      </c>
      <c r="AR14" s="226"/>
      <c r="AS14" s="227"/>
      <c r="AT14" s="193">
        <f t="shared" si="12"/>
        <v>0</v>
      </c>
      <c r="AW14" s="193">
        <f t="shared" si="13"/>
        <v>0</v>
      </c>
      <c r="AZ14" s="193">
        <f t="shared" si="14"/>
        <v>0</v>
      </c>
      <c r="BC14" s="193">
        <f t="shared" si="15"/>
        <v>0</v>
      </c>
      <c r="BF14" s="193">
        <f t="shared" si="16"/>
        <v>0</v>
      </c>
      <c r="BI14" s="193">
        <f t="shared" si="17"/>
        <v>0</v>
      </c>
      <c r="BL14" s="193">
        <f t="shared" si="18"/>
        <v>0</v>
      </c>
      <c r="BO14" s="193">
        <f t="shared" si="19"/>
        <v>0</v>
      </c>
      <c r="BR14" s="193">
        <f t="shared" si="20"/>
        <v>0</v>
      </c>
      <c r="BU14" s="193">
        <f t="shared" si="21"/>
        <v>0</v>
      </c>
      <c r="BX14" s="193">
        <f t="shared" si="22"/>
        <v>0</v>
      </c>
      <c r="CA14" s="193">
        <f t="shared" si="23"/>
        <v>0</v>
      </c>
      <c r="CD14" s="193">
        <f t="shared" si="24"/>
        <v>0</v>
      </c>
      <c r="CG14" s="193">
        <f t="shared" si="25"/>
        <v>0</v>
      </c>
      <c r="CJ14" s="193">
        <f t="shared" si="26"/>
        <v>0</v>
      </c>
      <c r="CM14" s="193">
        <f t="shared" si="27"/>
        <v>0</v>
      </c>
      <c r="CP14" s="193">
        <f t="shared" si="28"/>
        <v>0</v>
      </c>
      <c r="CS14" s="193">
        <f t="shared" si="29"/>
        <v>0</v>
      </c>
      <c r="CV14" s="193">
        <f t="shared" si="30"/>
        <v>0</v>
      </c>
      <c r="CY14" s="193">
        <f t="shared" si="31"/>
        <v>0</v>
      </c>
      <c r="DB14" s="193">
        <f t="shared" si="32"/>
        <v>0</v>
      </c>
      <c r="DE14" s="193">
        <f t="shared" si="33"/>
        <v>0</v>
      </c>
      <c r="DH14" s="193">
        <f t="shared" si="34"/>
        <v>0</v>
      </c>
      <c r="DK14" s="193">
        <f t="shared" si="35"/>
        <v>0</v>
      </c>
      <c r="DN14" s="193">
        <f t="shared" si="36"/>
        <v>0</v>
      </c>
      <c r="DQ14" s="193">
        <f t="shared" si="37"/>
        <v>0</v>
      </c>
      <c r="DT14" s="193">
        <f t="shared" si="38"/>
        <v>0</v>
      </c>
      <c r="DW14" s="193">
        <f t="shared" si="39"/>
        <v>0</v>
      </c>
      <c r="DZ14" s="193"/>
      <c r="EA14" s="193"/>
      <c r="EB14" s="228">
        <f t="shared" si="40"/>
        <v>77920000</v>
      </c>
      <c r="EC14" s="228">
        <f t="shared" si="41"/>
        <v>50670000</v>
      </c>
      <c r="ED14" s="193">
        <f t="shared" si="42"/>
        <v>329.98611111111109</v>
      </c>
      <c r="EE14" s="194">
        <f t="shared" si="43"/>
        <v>1.5245764887063654E-3</v>
      </c>
      <c r="EG14" s="228">
        <f t="shared" si="44"/>
        <v>0</v>
      </c>
      <c r="EH14" s="193">
        <f t="shared" si="45"/>
        <v>0</v>
      </c>
      <c r="EI14" s="194">
        <f t="shared" si="46"/>
        <v>0</v>
      </c>
      <c r="EJ14" s="194"/>
      <c r="EK14" s="228">
        <f t="shared" si="47"/>
        <v>27250000</v>
      </c>
      <c r="EL14" s="228">
        <f t="shared" si="48"/>
        <v>0</v>
      </c>
      <c r="EM14" s="228">
        <f t="shared" si="49"/>
        <v>189.23611111111111</v>
      </c>
      <c r="EN14" s="194">
        <f t="shared" si="50"/>
        <v>2.5000000000000001E-3</v>
      </c>
      <c r="EP14" s="193"/>
    </row>
    <row r="15" spans="1:147" x14ac:dyDescent="0.2">
      <c r="A15" s="225">
        <f t="shared" si="51"/>
        <v>44048</v>
      </c>
      <c r="B15" s="193">
        <v>39870000</v>
      </c>
      <c r="C15" s="194">
        <v>1E-3</v>
      </c>
      <c r="D15" s="193">
        <f t="shared" si="0"/>
        <v>110.75</v>
      </c>
      <c r="G15" s="193">
        <f t="shared" si="1"/>
        <v>0</v>
      </c>
      <c r="J15" s="193">
        <f t="shared" si="2"/>
        <v>0</v>
      </c>
      <c r="M15" s="193">
        <f t="shared" si="3"/>
        <v>0</v>
      </c>
      <c r="P15" s="193">
        <f t="shared" si="4"/>
        <v>0</v>
      </c>
      <c r="S15" s="193">
        <f t="shared" si="5"/>
        <v>0</v>
      </c>
      <c r="V15" s="193">
        <f t="shared" si="6"/>
        <v>0</v>
      </c>
      <c r="Y15" s="193">
        <f t="shared" si="7"/>
        <v>0</v>
      </c>
      <c r="AB15" s="193">
        <f t="shared" si="8"/>
        <v>0</v>
      </c>
      <c r="AE15" s="193">
        <v>0</v>
      </c>
      <c r="AH15" s="193">
        <v>0</v>
      </c>
      <c r="AI15" s="226">
        <v>24450000</v>
      </c>
      <c r="AJ15" s="227">
        <v>2.5000000000000001E-3</v>
      </c>
      <c r="AK15" s="193">
        <f t="shared" si="9"/>
        <v>169.79166666666666</v>
      </c>
      <c r="AL15" s="226"/>
      <c r="AM15" s="227"/>
      <c r="AN15" s="193">
        <f t="shared" si="10"/>
        <v>0</v>
      </c>
      <c r="AO15" s="226"/>
      <c r="AP15" s="227"/>
      <c r="AQ15" s="193">
        <f t="shared" si="11"/>
        <v>0</v>
      </c>
      <c r="AR15" s="226"/>
      <c r="AS15" s="227"/>
      <c r="AT15" s="193">
        <f t="shared" si="12"/>
        <v>0</v>
      </c>
      <c r="AW15" s="193">
        <f t="shared" si="13"/>
        <v>0</v>
      </c>
      <c r="AZ15" s="193">
        <f t="shared" si="14"/>
        <v>0</v>
      </c>
      <c r="BC15" s="193">
        <f t="shared" si="15"/>
        <v>0</v>
      </c>
      <c r="BF15" s="193">
        <f t="shared" si="16"/>
        <v>0</v>
      </c>
      <c r="BI15" s="193">
        <f t="shared" si="17"/>
        <v>0</v>
      </c>
      <c r="BL15" s="193">
        <f t="shared" si="18"/>
        <v>0</v>
      </c>
      <c r="BO15" s="193">
        <f t="shared" si="19"/>
        <v>0</v>
      </c>
      <c r="BR15" s="193">
        <f t="shared" si="20"/>
        <v>0</v>
      </c>
      <c r="BU15" s="193">
        <f t="shared" si="21"/>
        <v>0</v>
      </c>
      <c r="BX15" s="193">
        <f t="shared" si="22"/>
        <v>0</v>
      </c>
      <c r="CA15" s="193">
        <f t="shared" si="23"/>
        <v>0</v>
      </c>
      <c r="CD15" s="193">
        <f t="shared" si="24"/>
        <v>0</v>
      </c>
      <c r="CG15" s="193">
        <f t="shared" si="25"/>
        <v>0</v>
      </c>
      <c r="CJ15" s="193">
        <f t="shared" si="26"/>
        <v>0</v>
      </c>
      <c r="CM15" s="193">
        <f t="shared" si="27"/>
        <v>0</v>
      </c>
      <c r="CP15" s="193">
        <f t="shared" si="28"/>
        <v>0</v>
      </c>
      <c r="CS15" s="193">
        <f t="shared" si="29"/>
        <v>0</v>
      </c>
      <c r="CV15" s="193">
        <f t="shared" si="30"/>
        <v>0</v>
      </c>
      <c r="CY15" s="193">
        <f t="shared" si="31"/>
        <v>0</v>
      </c>
      <c r="DB15" s="193">
        <f t="shared" si="32"/>
        <v>0</v>
      </c>
      <c r="DE15" s="193">
        <f t="shared" si="33"/>
        <v>0</v>
      </c>
      <c r="DH15" s="193">
        <f t="shared" si="34"/>
        <v>0</v>
      </c>
      <c r="DK15" s="193">
        <f t="shared" si="35"/>
        <v>0</v>
      </c>
      <c r="DN15" s="193">
        <f t="shared" si="36"/>
        <v>0</v>
      </c>
      <c r="DQ15" s="193">
        <f t="shared" si="37"/>
        <v>0</v>
      </c>
      <c r="DT15" s="193">
        <f t="shared" si="38"/>
        <v>0</v>
      </c>
      <c r="DW15" s="193">
        <f t="shared" si="39"/>
        <v>0</v>
      </c>
      <c r="DZ15" s="193"/>
      <c r="EA15" s="193"/>
      <c r="EB15" s="228">
        <f t="shared" si="40"/>
        <v>64320000</v>
      </c>
      <c r="EC15" s="228">
        <f t="shared" si="41"/>
        <v>39870000</v>
      </c>
      <c r="ED15" s="193">
        <f t="shared" si="42"/>
        <v>280.54166666666663</v>
      </c>
      <c r="EE15" s="194">
        <f t="shared" si="43"/>
        <v>1.5701958955223877E-3</v>
      </c>
      <c r="EG15" s="228">
        <f t="shared" si="44"/>
        <v>0</v>
      </c>
      <c r="EH15" s="193">
        <f t="shared" si="45"/>
        <v>0</v>
      </c>
      <c r="EI15" s="194">
        <f t="shared" si="46"/>
        <v>0</v>
      </c>
      <c r="EJ15" s="194"/>
      <c r="EK15" s="228">
        <f t="shared" si="47"/>
        <v>24450000</v>
      </c>
      <c r="EL15" s="228">
        <f t="shared" si="48"/>
        <v>0</v>
      </c>
      <c r="EM15" s="228">
        <f t="shared" si="49"/>
        <v>169.79166666666666</v>
      </c>
      <c r="EN15" s="194">
        <f t="shared" si="50"/>
        <v>2.4999999999999996E-3</v>
      </c>
      <c r="EP15" s="193"/>
    </row>
    <row r="16" spans="1:147" x14ac:dyDescent="0.2">
      <c r="A16" s="225">
        <f t="shared" si="51"/>
        <v>44049</v>
      </c>
      <c r="B16" s="193">
        <v>39520000</v>
      </c>
      <c r="C16" s="194">
        <v>1E-3</v>
      </c>
      <c r="D16" s="193">
        <f t="shared" si="0"/>
        <v>109.77777777777777</v>
      </c>
      <c r="G16" s="193">
        <f t="shared" si="1"/>
        <v>0</v>
      </c>
      <c r="J16" s="193">
        <f t="shared" si="2"/>
        <v>0</v>
      </c>
      <c r="M16" s="193">
        <f t="shared" si="3"/>
        <v>0</v>
      </c>
      <c r="P16" s="193">
        <f t="shared" si="4"/>
        <v>0</v>
      </c>
      <c r="S16" s="193">
        <f t="shared" si="5"/>
        <v>0</v>
      </c>
      <c r="V16" s="193">
        <f t="shared" si="6"/>
        <v>0</v>
      </c>
      <c r="Y16" s="193">
        <f t="shared" si="7"/>
        <v>0</v>
      </c>
      <c r="AB16" s="193">
        <f t="shared" si="8"/>
        <v>0</v>
      </c>
      <c r="AE16" s="193">
        <v>0</v>
      </c>
      <c r="AH16" s="193">
        <v>0</v>
      </c>
      <c r="AI16" s="226">
        <v>14950000</v>
      </c>
      <c r="AJ16" s="227">
        <v>2.5000000000000001E-3</v>
      </c>
      <c r="AK16" s="193">
        <f t="shared" si="9"/>
        <v>103.81944444444444</v>
      </c>
      <c r="AL16" s="226"/>
      <c r="AM16" s="227"/>
      <c r="AN16" s="193">
        <f t="shared" si="10"/>
        <v>0</v>
      </c>
      <c r="AO16" s="226"/>
      <c r="AP16" s="227"/>
      <c r="AQ16" s="193">
        <f t="shared" si="11"/>
        <v>0</v>
      </c>
      <c r="AR16" s="226"/>
      <c r="AS16" s="227"/>
      <c r="AT16" s="193">
        <f t="shared" si="12"/>
        <v>0</v>
      </c>
      <c r="AW16" s="193">
        <f t="shared" si="13"/>
        <v>0</v>
      </c>
      <c r="AZ16" s="193">
        <f t="shared" si="14"/>
        <v>0</v>
      </c>
      <c r="BC16" s="193">
        <f t="shared" si="15"/>
        <v>0</v>
      </c>
      <c r="BF16" s="193">
        <f t="shared" si="16"/>
        <v>0</v>
      </c>
      <c r="BI16" s="193">
        <f t="shared" si="17"/>
        <v>0</v>
      </c>
      <c r="BL16" s="193">
        <f t="shared" si="18"/>
        <v>0</v>
      </c>
      <c r="BO16" s="193">
        <f t="shared" si="19"/>
        <v>0</v>
      </c>
      <c r="BR16" s="193">
        <f t="shared" si="20"/>
        <v>0</v>
      </c>
      <c r="BU16" s="193">
        <f t="shared" si="21"/>
        <v>0</v>
      </c>
      <c r="BX16" s="193">
        <f t="shared" si="22"/>
        <v>0</v>
      </c>
      <c r="CA16" s="193">
        <f t="shared" si="23"/>
        <v>0</v>
      </c>
      <c r="CD16" s="193">
        <f t="shared" si="24"/>
        <v>0</v>
      </c>
      <c r="CG16" s="193">
        <f t="shared" si="25"/>
        <v>0</v>
      </c>
      <c r="CJ16" s="193">
        <f t="shared" si="26"/>
        <v>0</v>
      </c>
      <c r="CM16" s="193">
        <f t="shared" si="27"/>
        <v>0</v>
      </c>
      <c r="CP16" s="193">
        <f t="shared" si="28"/>
        <v>0</v>
      </c>
      <c r="CS16" s="193">
        <f t="shared" si="29"/>
        <v>0</v>
      </c>
      <c r="CV16" s="193">
        <f t="shared" si="30"/>
        <v>0</v>
      </c>
      <c r="CY16" s="193">
        <f t="shared" si="31"/>
        <v>0</v>
      </c>
      <c r="DB16" s="193">
        <f t="shared" si="32"/>
        <v>0</v>
      </c>
      <c r="DE16" s="193">
        <f t="shared" si="33"/>
        <v>0</v>
      </c>
      <c r="DH16" s="193">
        <f t="shared" si="34"/>
        <v>0</v>
      </c>
      <c r="DK16" s="193">
        <f t="shared" si="35"/>
        <v>0</v>
      </c>
      <c r="DN16" s="193">
        <f t="shared" si="36"/>
        <v>0</v>
      </c>
      <c r="DQ16" s="193">
        <f t="shared" si="37"/>
        <v>0</v>
      </c>
      <c r="DT16" s="193">
        <f t="shared" si="38"/>
        <v>0</v>
      </c>
      <c r="DW16" s="193">
        <f t="shared" si="39"/>
        <v>0</v>
      </c>
      <c r="DZ16" s="193"/>
      <c r="EA16" s="193"/>
      <c r="EB16" s="228">
        <f t="shared" si="40"/>
        <v>54470000</v>
      </c>
      <c r="EC16" s="228">
        <f t="shared" si="41"/>
        <v>39520000</v>
      </c>
      <c r="ED16" s="193">
        <f t="shared" si="42"/>
        <v>213.59722222222223</v>
      </c>
      <c r="EE16" s="194">
        <f t="shared" si="43"/>
        <v>1.4116945107398567E-3</v>
      </c>
      <c r="EG16" s="228">
        <f t="shared" si="44"/>
        <v>0</v>
      </c>
      <c r="EH16" s="193">
        <f t="shared" si="45"/>
        <v>0</v>
      </c>
      <c r="EI16" s="194">
        <f t="shared" si="46"/>
        <v>0</v>
      </c>
      <c r="EJ16" s="194"/>
      <c r="EK16" s="228">
        <f t="shared" si="47"/>
        <v>14950000</v>
      </c>
      <c r="EL16" s="228">
        <f t="shared" si="48"/>
        <v>0</v>
      </c>
      <c r="EM16" s="228">
        <f t="shared" si="49"/>
        <v>103.81944444444444</v>
      </c>
      <c r="EN16" s="194">
        <f t="shared" si="50"/>
        <v>2.4999999999999996E-3</v>
      </c>
      <c r="EP16" s="193"/>
    </row>
    <row r="17" spans="1:146" x14ac:dyDescent="0.2">
      <c r="A17" s="225">
        <f t="shared" si="51"/>
        <v>44050</v>
      </c>
      <c r="B17" s="193">
        <v>38845000</v>
      </c>
      <c r="C17" s="194">
        <v>8.0000000000000004E-4</v>
      </c>
      <c r="D17" s="193">
        <f t="shared" si="0"/>
        <v>86.322222222222223</v>
      </c>
      <c r="G17" s="193">
        <f t="shared" si="1"/>
        <v>0</v>
      </c>
      <c r="J17" s="193">
        <f t="shared" si="2"/>
        <v>0</v>
      </c>
      <c r="M17" s="193">
        <f t="shared" si="3"/>
        <v>0</v>
      </c>
      <c r="P17" s="193">
        <f t="shared" si="4"/>
        <v>0</v>
      </c>
      <c r="S17" s="193">
        <f t="shared" si="5"/>
        <v>0</v>
      </c>
      <c r="V17" s="193">
        <f t="shared" si="6"/>
        <v>0</v>
      </c>
      <c r="Y17" s="193">
        <f t="shared" si="7"/>
        <v>0</v>
      </c>
      <c r="AB17" s="193">
        <f t="shared" si="8"/>
        <v>0</v>
      </c>
      <c r="AE17" s="193">
        <v>0</v>
      </c>
      <c r="AH17" s="193">
        <v>0</v>
      </c>
      <c r="AI17" s="226">
        <v>14100000</v>
      </c>
      <c r="AJ17" s="227">
        <v>2.5000000000000001E-3</v>
      </c>
      <c r="AK17" s="193">
        <f t="shared" si="9"/>
        <v>97.916666666666671</v>
      </c>
      <c r="AL17" s="226"/>
      <c r="AM17" s="227"/>
      <c r="AN17" s="193">
        <f t="shared" si="10"/>
        <v>0</v>
      </c>
      <c r="AO17" s="226"/>
      <c r="AP17" s="227"/>
      <c r="AQ17" s="193">
        <f t="shared" si="11"/>
        <v>0</v>
      </c>
      <c r="AR17" s="226"/>
      <c r="AS17" s="227"/>
      <c r="AT17" s="193">
        <f t="shared" si="12"/>
        <v>0</v>
      </c>
      <c r="AW17" s="193">
        <f t="shared" si="13"/>
        <v>0</v>
      </c>
      <c r="AZ17" s="193">
        <f t="shared" si="14"/>
        <v>0</v>
      </c>
      <c r="BC17" s="193">
        <f t="shared" si="15"/>
        <v>0</v>
      </c>
      <c r="BF17" s="193">
        <f t="shared" si="16"/>
        <v>0</v>
      </c>
      <c r="BI17" s="193">
        <f t="shared" si="17"/>
        <v>0</v>
      </c>
      <c r="BL17" s="193">
        <f t="shared" si="18"/>
        <v>0</v>
      </c>
      <c r="BO17" s="193">
        <f t="shared" si="19"/>
        <v>0</v>
      </c>
      <c r="BR17" s="193">
        <f t="shared" si="20"/>
        <v>0</v>
      </c>
      <c r="BU17" s="193">
        <f t="shared" si="21"/>
        <v>0</v>
      </c>
      <c r="BX17" s="193">
        <f t="shared" si="22"/>
        <v>0</v>
      </c>
      <c r="CA17" s="193">
        <f t="shared" si="23"/>
        <v>0</v>
      </c>
      <c r="CD17" s="193">
        <f t="shared" si="24"/>
        <v>0</v>
      </c>
      <c r="CG17" s="193">
        <f t="shared" si="25"/>
        <v>0</v>
      </c>
      <c r="CJ17" s="193">
        <f t="shared" si="26"/>
        <v>0</v>
      </c>
      <c r="CM17" s="193">
        <f t="shared" si="27"/>
        <v>0</v>
      </c>
      <c r="CP17" s="193">
        <f t="shared" si="28"/>
        <v>0</v>
      </c>
      <c r="CS17" s="193">
        <f t="shared" si="29"/>
        <v>0</v>
      </c>
      <c r="CV17" s="193">
        <f t="shared" si="30"/>
        <v>0</v>
      </c>
      <c r="CY17" s="193">
        <f t="shared" si="31"/>
        <v>0</v>
      </c>
      <c r="DB17" s="193">
        <f t="shared" si="32"/>
        <v>0</v>
      </c>
      <c r="DE17" s="193">
        <f t="shared" si="33"/>
        <v>0</v>
      </c>
      <c r="DH17" s="193">
        <f t="shared" si="34"/>
        <v>0</v>
      </c>
      <c r="DK17" s="193">
        <f t="shared" si="35"/>
        <v>0</v>
      </c>
      <c r="DN17" s="193">
        <f t="shared" si="36"/>
        <v>0</v>
      </c>
      <c r="DQ17" s="193">
        <f t="shared" si="37"/>
        <v>0</v>
      </c>
      <c r="DT17" s="193">
        <f t="shared" si="38"/>
        <v>0</v>
      </c>
      <c r="DW17" s="193">
        <f t="shared" si="39"/>
        <v>0</v>
      </c>
      <c r="DZ17" s="193"/>
      <c r="EA17" s="193"/>
      <c r="EB17" s="228">
        <f t="shared" si="40"/>
        <v>52945000</v>
      </c>
      <c r="EC17" s="228">
        <f t="shared" si="41"/>
        <v>38845000</v>
      </c>
      <c r="ED17" s="193">
        <f t="shared" si="42"/>
        <v>184.23888888888888</v>
      </c>
      <c r="EE17" s="194">
        <f t="shared" si="43"/>
        <v>1.2527339692133346E-3</v>
      </c>
      <c r="EG17" s="228">
        <f t="shared" si="44"/>
        <v>0</v>
      </c>
      <c r="EH17" s="193">
        <f t="shared" si="45"/>
        <v>0</v>
      </c>
      <c r="EI17" s="194">
        <f t="shared" si="46"/>
        <v>0</v>
      </c>
      <c r="EJ17" s="194"/>
      <c r="EK17" s="228">
        <f t="shared" si="47"/>
        <v>14100000</v>
      </c>
      <c r="EL17" s="228">
        <f t="shared" si="48"/>
        <v>0</v>
      </c>
      <c r="EM17" s="228">
        <f t="shared" si="49"/>
        <v>97.916666666666671</v>
      </c>
      <c r="EN17" s="194">
        <f t="shared" si="50"/>
        <v>2.5000000000000001E-3</v>
      </c>
      <c r="EP17" s="193"/>
    </row>
    <row r="18" spans="1:146" x14ac:dyDescent="0.2">
      <c r="A18" s="225">
        <f t="shared" si="51"/>
        <v>44051</v>
      </c>
      <c r="B18" s="193">
        <v>38845000</v>
      </c>
      <c r="C18" s="194">
        <v>8.0000000000000004E-4</v>
      </c>
      <c r="D18" s="193">
        <f t="shared" si="0"/>
        <v>86.322222222222223</v>
      </c>
      <c r="G18" s="193">
        <f t="shared" si="1"/>
        <v>0</v>
      </c>
      <c r="J18" s="193">
        <f t="shared" si="2"/>
        <v>0</v>
      </c>
      <c r="M18" s="193">
        <f t="shared" si="3"/>
        <v>0</v>
      </c>
      <c r="P18" s="193">
        <f t="shared" si="4"/>
        <v>0</v>
      </c>
      <c r="S18" s="193">
        <f t="shared" si="5"/>
        <v>0</v>
      </c>
      <c r="V18" s="193">
        <f t="shared" si="6"/>
        <v>0</v>
      </c>
      <c r="Y18" s="193">
        <f t="shared" si="7"/>
        <v>0</v>
      </c>
      <c r="AB18" s="193">
        <f t="shared" si="8"/>
        <v>0</v>
      </c>
      <c r="AE18" s="193">
        <v>0</v>
      </c>
      <c r="AH18" s="193">
        <v>0</v>
      </c>
      <c r="AI18" s="226">
        <v>14100000</v>
      </c>
      <c r="AJ18" s="227">
        <v>2.5000000000000001E-3</v>
      </c>
      <c r="AK18" s="193">
        <f t="shared" si="9"/>
        <v>97.916666666666671</v>
      </c>
      <c r="AL18" s="226"/>
      <c r="AM18" s="227"/>
      <c r="AN18" s="193">
        <f t="shared" si="10"/>
        <v>0</v>
      </c>
      <c r="AO18" s="226"/>
      <c r="AP18" s="227"/>
      <c r="AQ18" s="193">
        <f t="shared" si="11"/>
        <v>0</v>
      </c>
      <c r="AR18" s="226"/>
      <c r="AS18" s="227"/>
      <c r="AT18" s="193">
        <f t="shared" si="12"/>
        <v>0</v>
      </c>
      <c r="AW18" s="193">
        <f t="shared" si="13"/>
        <v>0</v>
      </c>
      <c r="AZ18" s="193">
        <f t="shared" si="14"/>
        <v>0</v>
      </c>
      <c r="BC18" s="193">
        <f t="shared" si="15"/>
        <v>0</v>
      </c>
      <c r="BF18" s="193">
        <f t="shared" si="16"/>
        <v>0</v>
      </c>
      <c r="BI18" s="193">
        <f t="shared" si="17"/>
        <v>0</v>
      </c>
      <c r="BL18" s="193">
        <f t="shared" si="18"/>
        <v>0</v>
      </c>
      <c r="BO18" s="193">
        <f t="shared" si="19"/>
        <v>0</v>
      </c>
      <c r="BR18" s="193">
        <f t="shared" si="20"/>
        <v>0</v>
      </c>
      <c r="BU18" s="193">
        <f t="shared" si="21"/>
        <v>0</v>
      </c>
      <c r="BX18" s="193">
        <f t="shared" si="22"/>
        <v>0</v>
      </c>
      <c r="CA18" s="193">
        <f t="shared" si="23"/>
        <v>0</v>
      </c>
      <c r="CD18" s="193">
        <f t="shared" si="24"/>
        <v>0</v>
      </c>
      <c r="CG18" s="193">
        <f t="shared" si="25"/>
        <v>0</v>
      </c>
      <c r="CJ18" s="193">
        <f t="shared" si="26"/>
        <v>0</v>
      </c>
      <c r="CM18" s="193">
        <f t="shared" si="27"/>
        <v>0</v>
      </c>
      <c r="CP18" s="193">
        <f t="shared" si="28"/>
        <v>0</v>
      </c>
      <c r="CS18" s="193">
        <f t="shared" si="29"/>
        <v>0</v>
      </c>
      <c r="CV18" s="193">
        <f t="shared" si="30"/>
        <v>0</v>
      </c>
      <c r="CY18" s="193">
        <f t="shared" si="31"/>
        <v>0</v>
      </c>
      <c r="DB18" s="193">
        <f t="shared" si="32"/>
        <v>0</v>
      </c>
      <c r="DE18" s="193">
        <f t="shared" si="33"/>
        <v>0</v>
      </c>
      <c r="DH18" s="193">
        <f t="shared" si="34"/>
        <v>0</v>
      </c>
      <c r="DK18" s="193">
        <f t="shared" si="35"/>
        <v>0</v>
      </c>
      <c r="DN18" s="193">
        <f t="shared" si="36"/>
        <v>0</v>
      </c>
      <c r="DQ18" s="193">
        <f t="shared" si="37"/>
        <v>0</v>
      </c>
      <c r="DT18" s="193">
        <f t="shared" si="38"/>
        <v>0</v>
      </c>
      <c r="DW18" s="193">
        <f t="shared" si="39"/>
        <v>0</v>
      </c>
      <c r="DZ18" s="193"/>
      <c r="EA18" s="193"/>
      <c r="EB18" s="228">
        <f t="shared" si="40"/>
        <v>52945000</v>
      </c>
      <c r="EC18" s="228">
        <f t="shared" si="41"/>
        <v>38845000</v>
      </c>
      <c r="ED18" s="193">
        <f t="shared" si="42"/>
        <v>184.23888888888888</v>
      </c>
      <c r="EE18" s="194">
        <f t="shared" si="43"/>
        <v>1.2527339692133346E-3</v>
      </c>
      <c r="EG18" s="228">
        <f t="shared" si="44"/>
        <v>0</v>
      </c>
      <c r="EH18" s="193">
        <f t="shared" si="45"/>
        <v>0</v>
      </c>
      <c r="EI18" s="194">
        <f t="shared" si="46"/>
        <v>0</v>
      </c>
      <c r="EJ18" s="194"/>
      <c r="EK18" s="228">
        <f t="shared" si="47"/>
        <v>14100000</v>
      </c>
      <c r="EL18" s="228">
        <f t="shared" si="48"/>
        <v>0</v>
      </c>
      <c r="EM18" s="228">
        <f t="shared" si="49"/>
        <v>97.916666666666671</v>
      </c>
      <c r="EN18" s="194">
        <f t="shared" si="50"/>
        <v>2.5000000000000001E-3</v>
      </c>
      <c r="EP18" s="193"/>
    </row>
    <row r="19" spans="1:146" x14ac:dyDescent="0.2">
      <c r="A19" s="225">
        <f t="shared" si="51"/>
        <v>44052</v>
      </c>
      <c r="B19" s="193">
        <v>38845000</v>
      </c>
      <c r="C19" s="194">
        <v>8.0000000000000004E-4</v>
      </c>
      <c r="D19" s="193">
        <f t="shared" si="0"/>
        <v>86.322222222222223</v>
      </c>
      <c r="G19" s="193">
        <f t="shared" si="1"/>
        <v>0</v>
      </c>
      <c r="J19" s="193">
        <f t="shared" si="2"/>
        <v>0</v>
      </c>
      <c r="M19" s="193">
        <f t="shared" si="3"/>
        <v>0</v>
      </c>
      <c r="P19" s="193">
        <f t="shared" si="4"/>
        <v>0</v>
      </c>
      <c r="S19" s="193">
        <f t="shared" si="5"/>
        <v>0</v>
      </c>
      <c r="V19" s="193">
        <f t="shared" si="6"/>
        <v>0</v>
      </c>
      <c r="Y19" s="193">
        <f t="shared" si="7"/>
        <v>0</v>
      </c>
      <c r="AB19" s="193">
        <f t="shared" si="8"/>
        <v>0</v>
      </c>
      <c r="AE19" s="193">
        <v>0</v>
      </c>
      <c r="AH19" s="193">
        <v>0</v>
      </c>
      <c r="AI19" s="226">
        <v>14100000</v>
      </c>
      <c r="AJ19" s="227">
        <v>2.5000000000000001E-3</v>
      </c>
      <c r="AK19" s="193">
        <f t="shared" si="9"/>
        <v>97.916666666666671</v>
      </c>
      <c r="AL19" s="226"/>
      <c r="AM19" s="227"/>
      <c r="AN19" s="193">
        <f t="shared" si="10"/>
        <v>0</v>
      </c>
      <c r="AO19" s="226"/>
      <c r="AP19" s="227"/>
      <c r="AQ19" s="193">
        <f t="shared" si="11"/>
        <v>0</v>
      </c>
      <c r="AR19" s="226"/>
      <c r="AS19" s="227"/>
      <c r="AT19" s="193">
        <f t="shared" si="12"/>
        <v>0</v>
      </c>
      <c r="AW19" s="193">
        <f t="shared" si="13"/>
        <v>0</v>
      </c>
      <c r="AZ19" s="193">
        <f t="shared" si="14"/>
        <v>0</v>
      </c>
      <c r="BC19" s="193">
        <f t="shared" si="15"/>
        <v>0</v>
      </c>
      <c r="BF19" s="193">
        <f t="shared" si="16"/>
        <v>0</v>
      </c>
      <c r="BI19" s="193">
        <f t="shared" si="17"/>
        <v>0</v>
      </c>
      <c r="BL19" s="193">
        <f t="shared" si="18"/>
        <v>0</v>
      </c>
      <c r="BO19" s="193">
        <f t="shared" si="19"/>
        <v>0</v>
      </c>
      <c r="BR19" s="193">
        <f t="shared" si="20"/>
        <v>0</v>
      </c>
      <c r="BU19" s="193">
        <f t="shared" si="21"/>
        <v>0</v>
      </c>
      <c r="BX19" s="193">
        <f t="shared" si="22"/>
        <v>0</v>
      </c>
      <c r="CA19" s="193">
        <f t="shared" si="23"/>
        <v>0</v>
      </c>
      <c r="CD19" s="193">
        <f t="shared" si="24"/>
        <v>0</v>
      </c>
      <c r="CG19" s="193">
        <f t="shared" si="25"/>
        <v>0</v>
      </c>
      <c r="CJ19" s="193">
        <f t="shared" si="26"/>
        <v>0</v>
      </c>
      <c r="CM19" s="193">
        <f t="shared" si="27"/>
        <v>0</v>
      </c>
      <c r="CP19" s="193">
        <f t="shared" si="28"/>
        <v>0</v>
      </c>
      <c r="CS19" s="193">
        <f t="shared" si="29"/>
        <v>0</v>
      </c>
      <c r="CV19" s="193">
        <f t="shared" si="30"/>
        <v>0</v>
      </c>
      <c r="CY19" s="193">
        <f t="shared" si="31"/>
        <v>0</v>
      </c>
      <c r="DB19" s="193">
        <f t="shared" si="32"/>
        <v>0</v>
      </c>
      <c r="DE19" s="193">
        <f t="shared" si="33"/>
        <v>0</v>
      </c>
      <c r="DH19" s="193">
        <f t="shared" si="34"/>
        <v>0</v>
      </c>
      <c r="DK19" s="193">
        <f t="shared" si="35"/>
        <v>0</v>
      </c>
      <c r="DN19" s="193">
        <f t="shared" si="36"/>
        <v>0</v>
      </c>
      <c r="DQ19" s="193">
        <f t="shared" si="37"/>
        <v>0</v>
      </c>
      <c r="DT19" s="193">
        <f t="shared" si="38"/>
        <v>0</v>
      </c>
      <c r="DW19" s="193">
        <f t="shared" si="39"/>
        <v>0</v>
      </c>
      <c r="DZ19" s="193"/>
      <c r="EA19" s="193"/>
      <c r="EB19" s="228">
        <f t="shared" si="40"/>
        <v>52945000</v>
      </c>
      <c r="EC19" s="228">
        <f t="shared" si="41"/>
        <v>38845000</v>
      </c>
      <c r="ED19" s="193">
        <f t="shared" si="42"/>
        <v>184.23888888888888</v>
      </c>
      <c r="EE19" s="194">
        <f t="shared" si="43"/>
        <v>1.2527339692133346E-3</v>
      </c>
      <c r="EG19" s="228">
        <f t="shared" si="44"/>
        <v>0</v>
      </c>
      <c r="EH19" s="193">
        <f t="shared" si="45"/>
        <v>0</v>
      </c>
      <c r="EI19" s="194">
        <f t="shared" si="46"/>
        <v>0</v>
      </c>
      <c r="EJ19" s="194"/>
      <c r="EK19" s="228">
        <f t="shared" si="47"/>
        <v>14100000</v>
      </c>
      <c r="EL19" s="228">
        <f t="shared" si="48"/>
        <v>0</v>
      </c>
      <c r="EM19" s="228">
        <f t="shared" si="49"/>
        <v>97.916666666666671</v>
      </c>
      <c r="EN19" s="194">
        <f t="shared" si="50"/>
        <v>2.5000000000000001E-3</v>
      </c>
      <c r="EP19" s="193"/>
    </row>
    <row r="20" spans="1:146" x14ac:dyDescent="0.2">
      <c r="A20" s="225">
        <f t="shared" si="51"/>
        <v>44053</v>
      </c>
      <c r="B20" s="193">
        <v>39145000</v>
      </c>
      <c r="C20" s="194">
        <v>8.0000000000000004E-4</v>
      </c>
      <c r="D20" s="193">
        <f t="shared" si="0"/>
        <v>86.988888888888894</v>
      </c>
      <c r="G20" s="193">
        <f t="shared" si="1"/>
        <v>0</v>
      </c>
      <c r="J20" s="193">
        <f t="shared" si="2"/>
        <v>0</v>
      </c>
      <c r="M20" s="193">
        <f t="shared" si="3"/>
        <v>0</v>
      </c>
      <c r="P20" s="193">
        <f t="shared" si="4"/>
        <v>0</v>
      </c>
      <c r="S20" s="193">
        <f t="shared" si="5"/>
        <v>0</v>
      </c>
      <c r="V20" s="193">
        <f t="shared" si="6"/>
        <v>0</v>
      </c>
      <c r="Y20" s="193">
        <f t="shared" si="7"/>
        <v>0</v>
      </c>
      <c r="AB20" s="193">
        <f t="shared" si="8"/>
        <v>0</v>
      </c>
      <c r="AE20" s="193">
        <v>0</v>
      </c>
      <c r="AH20" s="193">
        <v>0</v>
      </c>
      <c r="AI20" s="226">
        <v>10525000</v>
      </c>
      <c r="AJ20" s="227">
        <v>2.5000000000000001E-3</v>
      </c>
      <c r="AK20" s="193">
        <f t="shared" si="9"/>
        <v>73.090277777777771</v>
      </c>
      <c r="AL20" s="226"/>
      <c r="AM20" s="227"/>
      <c r="AN20" s="193">
        <f t="shared" si="10"/>
        <v>0</v>
      </c>
      <c r="AO20" s="226"/>
      <c r="AP20" s="227"/>
      <c r="AQ20" s="193">
        <f t="shared" si="11"/>
        <v>0</v>
      </c>
      <c r="AR20" s="226"/>
      <c r="AS20" s="227"/>
      <c r="AT20" s="193">
        <f t="shared" si="12"/>
        <v>0</v>
      </c>
      <c r="AW20" s="193">
        <f t="shared" si="13"/>
        <v>0</v>
      </c>
      <c r="AZ20" s="193">
        <f t="shared" si="14"/>
        <v>0</v>
      </c>
      <c r="BC20" s="193">
        <f t="shared" si="15"/>
        <v>0</v>
      </c>
      <c r="BF20" s="193">
        <f t="shared" si="16"/>
        <v>0</v>
      </c>
      <c r="BI20" s="193">
        <f t="shared" si="17"/>
        <v>0</v>
      </c>
      <c r="BL20" s="193">
        <f t="shared" si="18"/>
        <v>0</v>
      </c>
      <c r="BO20" s="193">
        <f t="shared" si="19"/>
        <v>0</v>
      </c>
      <c r="BR20" s="193">
        <f t="shared" si="20"/>
        <v>0</v>
      </c>
      <c r="BU20" s="193">
        <f t="shared" si="21"/>
        <v>0</v>
      </c>
      <c r="BX20" s="193">
        <f t="shared" si="22"/>
        <v>0</v>
      </c>
      <c r="CA20" s="193">
        <f t="shared" si="23"/>
        <v>0</v>
      </c>
      <c r="CD20" s="193">
        <f t="shared" si="24"/>
        <v>0</v>
      </c>
      <c r="CG20" s="193">
        <f t="shared" si="25"/>
        <v>0</v>
      </c>
      <c r="CJ20" s="193">
        <f t="shared" si="26"/>
        <v>0</v>
      </c>
      <c r="CM20" s="193">
        <f t="shared" si="27"/>
        <v>0</v>
      </c>
      <c r="CP20" s="193">
        <f t="shared" si="28"/>
        <v>0</v>
      </c>
      <c r="CS20" s="193">
        <f t="shared" si="29"/>
        <v>0</v>
      </c>
      <c r="CV20" s="193">
        <f t="shared" si="30"/>
        <v>0</v>
      </c>
      <c r="CY20" s="193">
        <f t="shared" si="31"/>
        <v>0</v>
      </c>
      <c r="DB20" s="193">
        <f t="shared" si="32"/>
        <v>0</v>
      </c>
      <c r="DE20" s="193">
        <f t="shared" si="33"/>
        <v>0</v>
      </c>
      <c r="DH20" s="193">
        <f t="shared" si="34"/>
        <v>0</v>
      </c>
      <c r="DK20" s="193">
        <f t="shared" si="35"/>
        <v>0</v>
      </c>
      <c r="DN20" s="193">
        <f t="shared" si="36"/>
        <v>0</v>
      </c>
      <c r="DQ20" s="193">
        <f t="shared" si="37"/>
        <v>0</v>
      </c>
      <c r="DT20" s="193">
        <f t="shared" si="38"/>
        <v>0</v>
      </c>
      <c r="DW20" s="193">
        <f t="shared" si="39"/>
        <v>0</v>
      </c>
      <c r="DZ20" s="193"/>
      <c r="EA20" s="193"/>
      <c r="EB20" s="228">
        <f t="shared" si="40"/>
        <v>49670000</v>
      </c>
      <c r="EC20" s="228">
        <f t="shared" si="41"/>
        <v>39145000</v>
      </c>
      <c r="ED20" s="193">
        <f t="shared" si="42"/>
        <v>160.07916666666665</v>
      </c>
      <c r="EE20" s="194">
        <f t="shared" si="43"/>
        <v>1.1602275015099657E-3</v>
      </c>
      <c r="EG20" s="228">
        <f t="shared" si="44"/>
        <v>0</v>
      </c>
      <c r="EH20" s="193">
        <f t="shared" si="45"/>
        <v>0</v>
      </c>
      <c r="EI20" s="194">
        <f t="shared" si="46"/>
        <v>0</v>
      </c>
      <c r="EJ20" s="194"/>
      <c r="EK20" s="228">
        <f t="shared" si="47"/>
        <v>10525000</v>
      </c>
      <c r="EL20" s="228">
        <f t="shared" si="48"/>
        <v>0</v>
      </c>
      <c r="EM20" s="228">
        <f t="shared" si="49"/>
        <v>73.090277777777771</v>
      </c>
      <c r="EN20" s="194">
        <f t="shared" si="50"/>
        <v>2.4999999999999996E-3</v>
      </c>
      <c r="EP20" s="193"/>
    </row>
    <row r="21" spans="1:146" x14ac:dyDescent="0.2">
      <c r="A21" s="225">
        <f t="shared" si="51"/>
        <v>44054</v>
      </c>
      <c r="B21" s="193">
        <v>31970000</v>
      </c>
      <c r="C21" s="194">
        <v>1E-3</v>
      </c>
      <c r="D21" s="193">
        <f t="shared" si="0"/>
        <v>88.805555555555557</v>
      </c>
      <c r="G21" s="193">
        <f t="shared" si="1"/>
        <v>0</v>
      </c>
      <c r="J21" s="193">
        <f t="shared" si="2"/>
        <v>0</v>
      </c>
      <c r="M21" s="193">
        <f t="shared" si="3"/>
        <v>0</v>
      </c>
      <c r="P21" s="193">
        <f t="shared" si="4"/>
        <v>0</v>
      </c>
      <c r="S21" s="193">
        <f t="shared" si="5"/>
        <v>0</v>
      </c>
      <c r="V21" s="193">
        <f t="shared" si="6"/>
        <v>0</v>
      </c>
      <c r="Y21" s="193">
        <f t="shared" si="7"/>
        <v>0</v>
      </c>
      <c r="AB21" s="193">
        <f t="shared" si="8"/>
        <v>0</v>
      </c>
      <c r="AE21" s="193">
        <v>0</v>
      </c>
      <c r="AH21" s="193">
        <v>0</v>
      </c>
      <c r="AI21" s="226"/>
      <c r="AJ21" s="227"/>
      <c r="AK21" s="193">
        <f t="shared" si="9"/>
        <v>0</v>
      </c>
      <c r="AL21" s="226"/>
      <c r="AM21" s="227"/>
      <c r="AN21" s="193">
        <f t="shared" si="10"/>
        <v>0</v>
      </c>
      <c r="AO21" s="226"/>
      <c r="AP21" s="227"/>
      <c r="AQ21" s="193">
        <f t="shared" si="11"/>
        <v>0</v>
      </c>
      <c r="AR21" s="226"/>
      <c r="AS21" s="227"/>
      <c r="AT21" s="193">
        <f t="shared" si="12"/>
        <v>0</v>
      </c>
      <c r="AW21" s="193">
        <f t="shared" si="13"/>
        <v>0</v>
      </c>
      <c r="AZ21" s="193">
        <f t="shared" si="14"/>
        <v>0</v>
      </c>
      <c r="BC21" s="193">
        <f t="shared" si="15"/>
        <v>0</v>
      </c>
      <c r="BF21" s="193">
        <f t="shared" si="16"/>
        <v>0</v>
      </c>
      <c r="BI21" s="193">
        <f t="shared" si="17"/>
        <v>0</v>
      </c>
      <c r="BL21" s="193">
        <f t="shared" si="18"/>
        <v>0</v>
      </c>
      <c r="BO21" s="193">
        <f t="shared" si="19"/>
        <v>0</v>
      </c>
      <c r="BR21" s="193">
        <f t="shared" si="20"/>
        <v>0</v>
      </c>
      <c r="BU21" s="193">
        <f t="shared" si="21"/>
        <v>0</v>
      </c>
      <c r="BX21" s="193">
        <f t="shared" si="22"/>
        <v>0</v>
      </c>
      <c r="CA21" s="193">
        <f t="shared" si="23"/>
        <v>0</v>
      </c>
      <c r="CD21" s="193">
        <f t="shared" si="24"/>
        <v>0</v>
      </c>
      <c r="CG21" s="193">
        <f t="shared" si="25"/>
        <v>0</v>
      </c>
      <c r="CJ21" s="193">
        <f t="shared" si="26"/>
        <v>0</v>
      </c>
      <c r="CM21" s="193">
        <f t="shared" si="27"/>
        <v>0</v>
      </c>
      <c r="CP21" s="193">
        <f t="shared" si="28"/>
        <v>0</v>
      </c>
      <c r="CS21" s="193">
        <f t="shared" si="29"/>
        <v>0</v>
      </c>
      <c r="CV21" s="193">
        <f t="shared" si="30"/>
        <v>0</v>
      </c>
      <c r="CY21" s="193">
        <f t="shared" si="31"/>
        <v>0</v>
      </c>
      <c r="DB21" s="193">
        <f t="shared" si="32"/>
        <v>0</v>
      </c>
      <c r="DE21" s="193">
        <f t="shared" si="33"/>
        <v>0</v>
      </c>
      <c r="DH21" s="193">
        <f t="shared" si="34"/>
        <v>0</v>
      </c>
      <c r="DK21" s="193">
        <f t="shared" si="35"/>
        <v>0</v>
      </c>
      <c r="DN21" s="193">
        <f t="shared" si="36"/>
        <v>0</v>
      </c>
      <c r="DQ21" s="193">
        <f t="shared" si="37"/>
        <v>0</v>
      </c>
      <c r="DT21" s="193">
        <f t="shared" si="38"/>
        <v>0</v>
      </c>
      <c r="DW21" s="193">
        <f t="shared" si="39"/>
        <v>0</v>
      </c>
      <c r="DZ21" s="193"/>
      <c r="EA21" s="193"/>
      <c r="EB21" s="228">
        <f t="shared" si="40"/>
        <v>31970000</v>
      </c>
      <c r="EC21" s="228">
        <f t="shared" si="41"/>
        <v>31970000</v>
      </c>
      <c r="ED21" s="193">
        <f t="shared" si="42"/>
        <v>88.805555555555557</v>
      </c>
      <c r="EE21" s="194">
        <f t="shared" si="43"/>
        <v>1E-3</v>
      </c>
      <c r="EG21" s="228">
        <f t="shared" si="44"/>
        <v>0</v>
      </c>
      <c r="EH21" s="193">
        <f t="shared" si="45"/>
        <v>0</v>
      </c>
      <c r="EI21" s="194">
        <f t="shared" si="46"/>
        <v>0</v>
      </c>
      <c r="EJ21" s="194"/>
      <c r="EK21" s="228">
        <f t="shared" si="47"/>
        <v>0</v>
      </c>
      <c r="EL21" s="228">
        <f t="shared" si="48"/>
        <v>0</v>
      </c>
      <c r="EM21" s="228">
        <f t="shared" si="49"/>
        <v>0</v>
      </c>
      <c r="EN21" s="194">
        <f t="shared" si="50"/>
        <v>0</v>
      </c>
      <c r="EP21" s="193"/>
    </row>
    <row r="22" spans="1:146" x14ac:dyDescent="0.2">
      <c r="A22" s="225">
        <f t="shared" si="51"/>
        <v>44055</v>
      </c>
      <c r="B22" s="193">
        <v>24970000</v>
      </c>
      <c r="C22" s="194">
        <v>1E-3</v>
      </c>
      <c r="D22" s="193">
        <f t="shared" si="0"/>
        <v>69.361111111111114</v>
      </c>
      <c r="G22" s="193">
        <f t="shared" si="1"/>
        <v>0</v>
      </c>
      <c r="J22" s="193">
        <f t="shared" si="2"/>
        <v>0</v>
      </c>
      <c r="M22" s="193">
        <f t="shared" si="3"/>
        <v>0</v>
      </c>
      <c r="P22" s="193">
        <f t="shared" si="4"/>
        <v>0</v>
      </c>
      <c r="S22" s="193">
        <f t="shared" si="5"/>
        <v>0</v>
      </c>
      <c r="V22" s="193">
        <f t="shared" si="6"/>
        <v>0</v>
      </c>
      <c r="Y22" s="193">
        <f t="shared" si="7"/>
        <v>0</v>
      </c>
      <c r="AB22" s="193">
        <f t="shared" si="8"/>
        <v>0</v>
      </c>
      <c r="AE22" s="193">
        <v>0</v>
      </c>
      <c r="AH22" s="193">
        <v>0</v>
      </c>
      <c r="AI22" s="226"/>
      <c r="AJ22" s="227"/>
      <c r="AK22" s="193">
        <f t="shared" si="9"/>
        <v>0</v>
      </c>
      <c r="AL22" s="226"/>
      <c r="AM22" s="227"/>
      <c r="AN22" s="193">
        <f t="shared" si="10"/>
        <v>0</v>
      </c>
      <c r="AO22" s="226"/>
      <c r="AP22" s="227"/>
      <c r="AQ22" s="193">
        <f t="shared" si="11"/>
        <v>0</v>
      </c>
      <c r="AR22" s="226"/>
      <c r="AS22" s="227"/>
      <c r="AT22" s="193">
        <f t="shared" si="12"/>
        <v>0</v>
      </c>
      <c r="AW22" s="193">
        <f t="shared" si="13"/>
        <v>0</v>
      </c>
      <c r="AZ22" s="193">
        <f t="shared" si="14"/>
        <v>0</v>
      </c>
      <c r="BC22" s="193">
        <f t="shared" si="15"/>
        <v>0</v>
      </c>
      <c r="BF22" s="193">
        <f t="shared" si="16"/>
        <v>0</v>
      </c>
      <c r="BI22" s="193">
        <f t="shared" si="17"/>
        <v>0</v>
      </c>
      <c r="BL22" s="193">
        <f t="shared" si="18"/>
        <v>0</v>
      </c>
      <c r="BO22" s="193">
        <f t="shared" si="19"/>
        <v>0</v>
      </c>
      <c r="BR22" s="193">
        <f t="shared" si="20"/>
        <v>0</v>
      </c>
      <c r="BU22" s="193">
        <f t="shared" si="21"/>
        <v>0</v>
      </c>
      <c r="BX22" s="193">
        <f t="shared" si="22"/>
        <v>0</v>
      </c>
      <c r="CA22" s="193">
        <f t="shared" si="23"/>
        <v>0</v>
      </c>
      <c r="CD22" s="193">
        <f t="shared" si="24"/>
        <v>0</v>
      </c>
      <c r="CG22" s="193">
        <f t="shared" si="25"/>
        <v>0</v>
      </c>
      <c r="CJ22" s="193">
        <f t="shared" si="26"/>
        <v>0</v>
      </c>
      <c r="CM22" s="193">
        <f t="shared" si="27"/>
        <v>0</v>
      </c>
      <c r="CP22" s="193">
        <f t="shared" si="28"/>
        <v>0</v>
      </c>
      <c r="CS22" s="193">
        <f t="shared" si="29"/>
        <v>0</v>
      </c>
      <c r="CV22" s="193">
        <f t="shared" si="30"/>
        <v>0</v>
      </c>
      <c r="CY22" s="193">
        <f t="shared" si="31"/>
        <v>0</v>
      </c>
      <c r="DB22" s="193">
        <f t="shared" si="32"/>
        <v>0</v>
      </c>
      <c r="DE22" s="193">
        <f t="shared" si="33"/>
        <v>0</v>
      </c>
      <c r="DH22" s="193">
        <f t="shared" si="34"/>
        <v>0</v>
      </c>
      <c r="DK22" s="193">
        <f t="shared" si="35"/>
        <v>0</v>
      </c>
      <c r="DN22" s="193">
        <f t="shared" si="36"/>
        <v>0</v>
      </c>
      <c r="DQ22" s="193">
        <f t="shared" si="37"/>
        <v>0</v>
      </c>
      <c r="DT22" s="193">
        <f t="shared" si="38"/>
        <v>0</v>
      </c>
      <c r="DW22" s="193">
        <f t="shared" si="39"/>
        <v>0</v>
      </c>
      <c r="DZ22" s="193"/>
      <c r="EA22" s="193"/>
      <c r="EB22" s="228">
        <f t="shared" si="40"/>
        <v>24970000</v>
      </c>
      <c r="EC22" s="228">
        <f t="shared" si="41"/>
        <v>24970000</v>
      </c>
      <c r="ED22" s="193">
        <f t="shared" si="42"/>
        <v>69.361111111111114</v>
      </c>
      <c r="EE22" s="194">
        <f t="shared" si="43"/>
        <v>1E-3</v>
      </c>
      <c r="EG22" s="228">
        <f t="shared" si="44"/>
        <v>0</v>
      </c>
      <c r="EH22" s="193">
        <f t="shared" si="45"/>
        <v>0</v>
      </c>
      <c r="EI22" s="194">
        <f t="shared" si="46"/>
        <v>0</v>
      </c>
      <c r="EJ22" s="194"/>
      <c r="EK22" s="228">
        <f t="shared" si="47"/>
        <v>0</v>
      </c>
      <c r="EL22" s="228">
        <f t="shared" si="48"/>
        <v>0</v>
      </c>
      <c r="EM22" s="228">
        <f t="shared" si="49"/>
        <v>0</v>
      </c>
      <c r="EN22" s="194">
        <f t="shared" si="50"/>
        <v>0</v>
      </c>
      <c r="EP22" s="193"/>
    </row>
    <row r="23" spans="1:146" x14ac:dyDescent="0.2">
      <c r="A23" s="225">
        <f t="shared" si="51"/>
        <v>44056</v>
      </c>
      <c r="B23" s="193">
        <v>26895000</v>
      </c>
      <c r="C23" s="194">
        <v>1E-3</v>
      </c>
      <c r="D23" s="193">
        <f t="shared" si="0"/>
        <v>74.708333333333329</v>
      </c>
      <c r="G23" s="193">
        <f t="shared" si="1"/>
        <v>0</v>
      </c>
      <c r="J23" s="193">
        <f t="shared" si="2"/>
        <v>0</v>
      </c>
      <c r="M23" s="193">
        <f t="shared" si="3"/>
        <v>0</v>
      </c>
      <c r="P23" s="193">
        <f t="shared" si="4"/>
        <v>0</v>
      </c>
      <c r="S23" s="193">
        <f t="shared" si="5"/>
        <v>0</v>
      </c>
      <c r="V23" s="193">
        <f t="shared" si="6"/>
        <v>0</v>
      </c>
      <c r="Y23" s="193">
        <f t="shared" si="7"/>
        <v>0</v>
      </c>
      <c r="AB23" s="193">
        <f t="shared" si="8"/>
        <v>0</v>
      </c>
      <c r="AE23" s="193">
        <v>0</v>
      </c>
      <c r="AH23" s="193">
        <v>0</v>
      </c>
      <c r="AI23" s="226"/>
      <c r="AJ23" s="227"/>
      <c r="AK23" s="193">
        <f t="shared" si="9"/>
        <v>0</v>
      </c>
      <c r="AL23" s="226"/>
      <c r="AM23" s="227"/>
      <c r="AN23" s="193">
        <f t="shared" si="10"/>
        <v>0</v>
      </c>
      <c r="AO23" s="226"/>
      <c r="AP23" s="227"/>
      <c r="AQ23" s="193">
        <f t="shared" si="11"/>
        <v>0</v>
      </c>
      <c r="AR23" s="226"/>
      <c r="AS23" s="227"/>
      <c r="AT23" s="193">
        <f t="shared" si="12"/>
        <v>0</v>
      </c>
      <c r="AW23" s="193">
        <f t="shared" si="13"/>
        <v>0</v>
      </c>
      <c r="AZ23" s="193">
        <f t="shared" si="14"/>
        <v>0</v>
      </c>
      <c r="BC23" s="193">
        <f t="shared" si="15"/>
        <v>0</v>
      </c>
      <c r="BF23" s="193">
        <f t="shared" si="16"/>
        <v>0</v>
      </c>
      <c r="BI23" s="193">
        <f t="shared" si="17"/>
        <v>0</v>
      </c>
      <c r="BL23" s="193">
        <f t="shared" si="18"/>
        <v>0</v>
      </c>
      <c r="BO23" s="193">
        <f t="shared" si="19"/>
        <v>0</v>
      </c>
      <c r="BR23" s="193">
        <f t="shared" si="20"/>
        <v>0</v>
      </c>
      <c r="BU23" s="193">
        <f t="shared" si="21"/>
        <v>0</v>
      </c>
      <c r="BX23" s="193">
        <f t="shared" si="22"/>
        <v>0</v>
      </c>
      <c r="CA23" s="193">
        <f t="shared" si="23"/>
        <v>0</v>
      </c>
      <c r="CD23" s="193">
        <f t="shared" si="24"/>
        <v>0</v>
      </c>
      <c r="CG23" s="193">
        <f t="shared" si="25"/>
        <v>0</v>
      </c>
      <c r="CJ23" s="193">
        <f t="shared" si="26"/>
        <v>0</v>
      </c>
      <c r="CM23" s="193">
        <f t="shared" si="27"/>
        <v>0</v>
      </c>
      <c r="CP23" s="193">
        <f t="shared" si="28"/>
        <v>0</v>
      </c>
      <c r="CS23" s="193">
        <f t="shared" si="29"/>
        <v>0</v>
      </c>
      <c r="CV23" s="193">
        <f t="shared" si="30"/>
        <v>0</v>
      </c>
      <c r="CY23" s="193">
        <f t="shared" si="31"/>
        <v>0</v>
      </c>
      <c r="DB23" s="193">
        <f t="shared" si="32"/>
        <v>0</v>
      </c>
      <c r="DE23" s="193">
        <f t="shared" si="33"/>
        <v>0</v>
      </c>
      <c r="DH23" s="193">
        <f t="shared" si="34"/>
        <v>0</v>
      </c>
      <c r="DK23" s="193">
        <f t="shared" si="35"/>
        <v>0</v>
      </c>
      <c r="DN23" s="193">
        <f t="shared" si="36"/>
        <v>0</v>
      </c>
      <c r="DQ23" s="193">
        <f t="shared" si="37"/>
        <v>0</v>
      </c>
      <c r="DT23" s="193">
        <f t="shared" si="38"/>
        <v>0</v>
      </c>
      <c r="DW23" s="193">
        <f t="shared" si="39"/>
        <v>0</v>
      </c>
      <c r="DZ23" s="193"/>
      <c r="EA23" s="193"/>
      <c r="EB23" s="228">
        <f t="shared" si="40"/>
        <v>26895000</v>
      </c>
      <c r="EC23" s="228">
        <f t="shared" si="41"/>
        <v>26895000</v>
      </c>
      <c r="ED23" s="193">
        <f t="shared" si="42"/>
        <v>74.708333333333329</v>
      </c>
      <c r="EE23" s="194">
        <f t="shared" si="43"/>
        <v>9.999999999999998E-4</v>
      </c>
      <c r="EG23" s="228">
        <f t="shared" si="44"/>
        <v>0</v>
      </c>
      <c r="EH23" s="193">
        <f t="shared" si="45"/>
        <v>0</v>
      </c>
      <c r="EI23" s="194">
        <f t="shared" si="46"/>
        <v>0</v>
      </c>
      <c r="EJ23" s="194"/>
      <c r="EK23" s="228">
        <f t="shared" si="47"/>
        <v>0</v>
      </c>
      <c r="EL23" s="228">
        <f t="shared" si="48"/>
        <v>0</v>
      </c>
      <c r="EM23" s="228">
        <f t="shared" si="49"/>
        <v>0</v>
      </c>
      <c r="EN23" s="194">
        <f t="shared" si="50"/>
        <v>0</v>
      </c>
      <c r="EP23" s="193"/>
    </row>
    <row r="24" spans="1:146" x14ac:dyDescent="0.2">
      <c r="A24" s="225">
        <f t="shared" si="51"/>
        <v>44057</v>
      </c>
      <c r="B24" s="193">
        <v>28420000</v>
      </c>
      <c r="C24" s="194">
        <v>8.9999999999999998E-4</v>
      </c>
      <c r="D24" s="193">
        <f t="shared" si="0"/>
        <v>71.05</v>
      </c>
      <c r="G24" s="193">
        <f t="shared" si="1"/>
        <v>0</v>
      </c>
      <c r="J24" s="193">
        <f t="shared" si="2"/>
        <v>0</v>
      </c>
      <c r="M24" s="193">
        <f t="shared" si="3"/>
        <v>0</v>
      </c>
      <c r="P24" s="193">
        <f t="shared" si="4"/>
        <v>0</v>
      </c>
      <c r="S24" s="193">
        <f t="shared" si="5"/>
        <v>0</v>
      </c>
      <c r="V24" s="193">
        <f t="shared" si="6"/>
        <v>0</v>
      </c>
      <c r="Y24" s="193">
        <f t="shared" si="7"/>
        <v>0</v>
      </c>
      <c r="AB24" s="193">
        <f t="shared" si="8"/>
        <v>0</v>
      </c>
      <c r="AE24" s="193">
        <v>0</v>
      </c>
      <c r="AH24" s="193">
        <v>0</v>
      </c>
      <c r="AI24" s="226">
        <v>6525000</v>
      </c>
      <c r="AJ24" s="227">
        <v>2.5000000000000001E-3</v>
      </c>
      <c r="AK24" s="193">
        <f t="shared" si="9"/>
        <v>45.3125</v>
      </c>
      <c r="AL24" s="226"/>
      <c r="AM24" s="227"/>
      <c r="AN24" s="193">
        <f t="shared" si="10"/>
        <v>0</v>
      </c>
      <c r="AO24" s="226"/>
      <c r="AP24" s="227"/>
      <c r="AQ24" s="193">
        <f t="shared" si="11"/>
        <v>0</v>
      </c>
      <c r="AR24" s="226"/>
      <c r="AS24" s="227"/>
      <c r="AT24" s="193">
        <f t="shared" si="12"/>
        <v>0</v>
      </c>
      <c r="AW24" s="193">
        <f t="shared" si="13"/>
        <v>0</v>
      </c>
      <c r="AZ24" s="193">
        <f t="shared" si="14"/>
        <v>0</v>
      </c>
      <c r="BC24" s="193">
        <f t="shared" si="15"/>
        <v>0</v>
      </c>
      <c r="BF24" s="193">
        <f t="shared" si="16"/>
        <v>0</v>
      </c>
      <c r="BI24" s="193">
        <f t="shared" si="17"/>
        <v>0</v>
      </c>
      <c r="BL24" s="193">
        <f t="shared" si="18"/>
        <v>0</v>
      </c>
      <c r="BO24" s="193">
        <f t="shared" si="19"/>
        <v>0</v>
      </c>
      <c r="BR24" s="193">
        <f t="shared" si="20"/>
        <v>0</v>
      </c>
      <c r="BU24" s="193">
        <f t="shared" si="21"/>
        <v>0</v>
      </c>
      <c r="BX24" s="193">
        <f t="shared" si="22"/>
        <v>0</v>
      </c>
      <c r="CA24" s="193">
        <f t="shared" si="23"/>
        <v>0</v>
      </c>
      <c r="CD24" s="193">
        <f t="shared" si="24"/>
        <v>0</v>
      </c>
      <c r="CG24" s="193">
        <f t="shared" si="25"/>
        <v>0</v>
      </c>
      <c r="CJ24" s="193">
        <f t="shared" si="26"/>
        <v>0</v>
      </c>
      <c r="CM24" s="193">
        <f t="shared" si="27"/>
        <v>0</v>
      </c>
      <c r="CP24" s="193">
        <f t="shared" si="28"/>
        <v>0</v>
      </c>
      <c r="CS24" s="193">
        <f t="shared" si="29"/>
        <v>0</v>
      </c>
      <c r="CV24" s="193">
        <f t="shared" si="30"/>
        <v>0</v>
      </c>
      <c r="CY24" s="193">
        <f t="shared" si="31"/>
        <v>0</v>
      </c>
      <c r="DB24" s="193">
        <f t="shared" si="32"/>
        <v>0</v>
      </c>
      <c r="DE24" s="193">
        <f t="shared" si="33"/>
        <v>0</v>
      </c>
      <c r="DH24" s="193">
        <f t="shared" si="34"/>
        <v>0</v>
      </c>
      <c r="DK24" s="193">
        <f t="shared" si="35"/>
        <v>0</v>
      </c>
      <c r="DN24" s="193">
        <f t="shared" si="36"/>
        <v>0</v>
      </c>
      <c r="DQ24" s="193">
        <f t="shared" si="37"/>
        <v>0</v>
      </c>
      <c r="DT24" s="193">
        <f t="shared" si="38"/>
        <v>0</v>
      </c>
      <c r="DW24" s="193">
        <f t="shared" si="39"/>
        <v>0</v>
      </c>
      <c r="DZ24" s="193"/>
      <c r="EA24" s="193"/>
      <c r="EB24" s="228">
        <f t="shared" si="40"/>
        <v>34945000</v>
      </c>
      <c r="EC24" s="228">
        <f t="shared" si="41"/>
        <v>28420000</v>
      </c>
      <c r="ED24" s="193">
        <f t="shared" si="42"/>
        <v>116.3625</v>
      </c>
      <c r="EE24" s="194">
        <f t="shared" si="43"/>
        <v>1.1987551867219917E-3</v>
      </c>
      <c r="EG24" s="228">
        <f t="shared" si="44"/>
        <v>0</v>
      </c>
      <c r="EH24" s="193">
        <f t="shared" si="45"/>
        <v>0</v>
      </c>
      <c r="EI24" s="194">
        <f t="shared" si="46"/>
        <v>0</v>
      </c>
      <c r="EJ24" s="194"/>
      <c r="EK24" s="228">
        <f t="shared" si="47"/>
        <v>6525000</v>
      </c>
      <c r="EL24" s="228">
        <f t="shared" si="48"/>
        <v>0</v>
      </c>
      <c r="EM24" s="228">
        <f t="shared" si="49"/>
        <v>45.3125</v>
      </c>
      <c r="EN24" s="194">
        <f t="shared" si="50"/>
        <v>2.5000000000000001E-3</v>
      </c>
      <c r="EP24" s="193"/>
    </row>
    <row r="25" spans="1:146" x14ac:dyDescent="0.2">
      <c r="A25" s="225">
        <f t="shared" si="51"/>
        <v>44058</v>
      </c>
      <c r="B25" s="193">
        <v>28420000</v>
      </c>
      <c r="C25" s="194">
        <v>8.9999999999999998E-4</v>
      </c>
      <c r="D25" s="193">
        <f t="shared" si="0"/>
        <v>71.05</v>
      </c>
      <c r="G25" s="193">
        <f t="shared" si="1"/>
        <v>0</v>
      </c>
      <c r="J25" s="193">
        <f t="shared" si="2"/>
        <v>0</v>
      </c>
      <c r="M25" s="193">
        <f t="shared" si="3"/>
        <v>0</v>
      </c>
      <c r="P25" s="193">
        <f t="shared" si="4"/>
        <v>0</v>
      </c>
      <c r="S25" s="193">
        <f t="shared" si="5"/>
        <v>0</v>
      </c>
      <c r="V25" s="193">
        <f t="shared" si="6"/>
        <v>0</v>
      </c>
      <c r="Y25" s="193">
        <f t="shared" si="7"/>
        <v>0</v>
      </c>
      <c r="AB25" s="193">
        <f t="shared" si="8"/>
        <v>0</v>
      </c>
      <c r="AE25" s="193">
        <v>0</v>
      </c>
      <c r="AH25" s="193">
        <v>0</v>
      </c>
      <c r="AI25" s="226">
        <v>6525000</v>
      </c>
      <c r="AJ25" s="227">
        <v>2.5000000000000001E-3</v>
      </c>
      <c r="AK25" s="193">
        <f t="shared" si="9"/>
        <v>45.3125</v>
      </c>
      <c r="AL25" s="226"/>
      <c r="AM25" s="227"/>
      <c r="AN25" s="193">
        <f t="shared" si="10"/>
        <v>0</v>
      </c>
      <c r="AO25" s="226"/>
      <c r="AP25" s="227"/>
      <c r="AQ25" s="193">
        <f t="shared" si="11"/>
        <v>0</v>
      </c>
      <c r="AR25" s="226"/>
      <c r="AS25" s="227"/>
      <c r="AT25" s="193">
        <f t="shared" si="12"/>
        <v>0</v>
      </c>
      <c r="AW25" s="193">
        <f t="shared" si="13"/>
        <v>0</v>
      </c>
      <c r="AZ25" s="193">
        <f t="shared" si="14"/>
        <v>0</v>
      </c>
      <c r="BC25" s="193">
        <f t="shared" si="15"/>
        <v>0</v>
      </c>
      <c r="BF25" s="193">
        <f t="shared" si="16"/>
        <v>0</v>
      </c>
      <c r="BI25" s="193">
        <f t="shared" si="17"/>
        <v>0</v>
      </c>
      <c r="BL25" s="193">
        <f t="shared" si="18"/>
        <v>0</v>
      </c>
      <c r="BO25" s="193">
        <f t="shared" si="19"/>
        <v>0</v>
      </c>
      <c r="BR25" s="193">
        <f t="shared" si="20"/>
        <v>0</v>
      </c>
      <c r="BU25" s="193">
        <f t="shared" si="21"/>
        <v>0</v>
      </c>
      <c r="BX25" s="193">
        <f t="shared" si="22"/>
        <v>0</v>
      </c>
      <c r="CA25" s="193">
        <f t="shared" si="23"/>
        <v>0</v>
      </c>
      <c r="CD25" s="193">
        <f t="shared" si="24"/>
        <v>0</v>
      </c>
      <c r="CG25" s="193">
        <f t="shared" si="25"/>
        <v>0</v>
      </c>
      <c r="CJ25" s="193">
        <f t="shared" si="26"/>
        <v>0</v>
      </c>
      <c r="CM25" s="193">
        <f t="shared" si="27"/>
        <v>0</v>
      </c>
      <c r="CP25" s="193">
        <f t="shared" si="28"/>
        <v>0</v>
      </c>
      <c r="CS25" s="193">
        <f t="shared" si="29"/>
        <v>0</v>
      </c>
      <c r="CV25" s="193">
        <f t="shared" si="30"/>
        <v>0</v>
      </c>
      <c r="CY25" s="193">
        <f t="shared" si="31"/>
        <v>0</v>
      </c>
      <c r="DB25" s="193">
        <f t="shared" si="32"/>
        <v>0</v>
      </c>
      <c r="DE25" s="193">
        <f t="shared" si="33"/>
        <v>0</v>
      </c>
      <c r="DH25" s="193">
        <f t="shared" si="34"/>
        <v>0</v>
      </c>
      <c r="DK25" s="193">
        <f t="shared" si="35"/>
        <v>0</v>
      </c>
      <c r="DN25" s="193">
        <f t="shared" si="36"/>
        <v>0</v>
      </c>
      <c r="DQ25" s="193">
        <f t="shared" si="37"/>
        <v>0</v>
      </c>
      <c r="DT25" s="193">
        <f t="shared" si="38"/>
        <v>0</v>
      </c>
      <c r="DW25" s="193">
        <f t="shared" si="39"/>
        <v>0</v>
      </c>
      <c r="DZ25" s="193"/>
      <c r="EA25" s="193"/>
      <c r="EB25" s="228">
        <f t="shared" si="40"/>
        <v>34945000</v>
      </c>
      <c r="EC25" s="228">
        <f t="shared" si="41"/>
        <v>28420000</v>
      </c>
      <c r="ED25" s="193">
        <f t="shared" si="42"/>
        <v>116.3625</v>
      </c>
      <c r="EE25" s="194">
        <f t="shared" si="43"/>
        <v>1.1987551867219917E-3</v>
      </c>
      <c r="EG25" s="228">
        <f t="shared" si="44"/>
        <v>0</v>
      </c>
      <c r="EH25" s="193">
        <f t="shared" si="45"/>
        <v>0</v>
      </c>
      <c r="EI25" s="194">
        <f t="shared" si="46"/>
        <v>0</v>
      </c>
      <c r="EJ25" s="194"/>
      <c r="EK25" s="228">
        <f t="shared" si="47"/>
        <v>6525000</v>
      </c>
      <c r="EL25" s="228">
        <f t="shared" si="48"/>
        <v>0</v>
      </c>
      <c r="EM25" s="228">
        <f t="shared" si="49"/>
        <v>45.3125</v>
      </c>
      <c r="EN25" s="194">
        <f t="shared" si="50"/>
        <v>2.5000000000000001E-3</v>
      </c>
      <c r="EP25" s="193"/>
    </row>
    <row r="26" spans="1:146" x14ac:dyDescent="0.2">
      <c r="A26" s="225">
        <f t="shared" si="51"/>
        <v>44059</v>
      </c>
      <c r="B26" s="193">
        <v>28420000</v>
      </c>
      <c r="C26" s="194">
        <v>8.9999999999999998E-4</v>
      </c>
      <c r="D26" s="193">
        <f t="shared" si="0"/>
        <v>71.05</v>
      </c>
      <c r="G26" s="193">
        <f t="shared" si="1"/>
        <v>0</v>
      </c>
      <c r="J26" s="193">
        <f t="shared" si="2"/>
        <v>0</v>
      </c>
      <c r="M26" s="193">
        <f t="shared" si="3"/>
        <v>0</v>
      </c>
      <c r="P26" s="193">
        <f t="shared" si="4"/>
        <v>0</v>
      </c>
      <c r="S26" s="193">
        <f t="shared" si="5"/>
        <v>0</v>
      </c>
      <c r="V26" s="193">
        <f t="shared" si="6"/>
        <v>0</v>
      </c>
      <c r="Y26" s="193">
        <f t="shared" si="7"/>
        <v>0</v>
      </c>
      <c r="AB26" s="193">
        <f t="shared" si="8"/>
        <v>0</v>
      </c>
      <c r="AE26" s="193">
        <v>0</v>
      </c>
      <c r="AH26" s="193">
        <v>0</v>
      </c>
      <c r="AI26" s="226">
        <v>6525000</v>
      </c>
      <c r="AJ26" s="227">
        <v>2.5000000000000001E-3</v>
      </c>
      <c r="AK26" s="193">
        <f t="shared" si="9"/>
        <v>45.3125</v>
      </c>
      <c r="AL26" s="226"/>
      <c r="AM26" s="227"/>
      <c r="AN26" s="193">
        <f t="shared" si="10"/>
        <v>0</v>
      </c>
      <c r="AO26" s="226"/>
      <c r="AP26" s="227"/>
      <c r="AQ26" s="193">
        <f t="shared" si="11"/>
        <v>0</v>
      </c>
      <c r="AR26" s="226"/>
      <c r="AS26" s="227"/>
      <c r="AT26" s="193">
        <f t="shared" si="12"/>
        <v>0</v>
      </c>
      <c r="AW26" s="193">
        <f t="shared" si="13"/>
        <v>0</v>
      </c>
      <c r="AZ26" s="193">
        <f t="shared" si="14"/>
        <v>0</v>
      </c>
      <c r="BC26" s="193">
        <f t="shared" si="15"/>
        <v>0</v>
      </c>
      <c r="BF26" s="193">
        <f t="shared" si="16"/>
        <v>0</v>
      </c>
      <c r="BI26" s="193">
        <f t="shared" si="17"/>
        <v>0</v>
      </c>
      <c r="BL26" s="193">
        <f t="shared" si="18"/>
        <v>0</v>
      </c>
      <c r="BO26" s="193">
        <f t="shared" si="19"/>
        <v>0</v>
      </c>
      <c r="BR26" s="193">
        <f t="shared" si="20"/>
        <v>0</v>
      </c>
      <c r="BU26" s="193">
        <f t="shared" si="21"/>
        <v>0</v>
      </c>
      <c r="BX26" s="193">
        <f t="shared" si="22"/>
        <v>0</v>
      </c>
      <c r="CA26" s="193">
        <f t="shared" si="23"/>
        <v>0</v>
      </c>
      <c r="CD26" s="193">
        <f t="shared" si="24"/>
        <v>0</v>
      </c>
      <c r="CG26" s="193">
        <f t="shared" si="25"/>
        <v>0</v>
      </c>
      <c r="CJ26" s="193">
        <f t="shared" si="26"/>
        <v>0</v>
      </c>
      <c r="CM26" s="193">
        <f t="shared" si="27"/>
        <v>0</v>
      </c>
      <c r="CP26" s="193">
        <f t="shared" si="28"/>
        <v>0</v>
      </c>
      <c r="CS26" s="193">
        <f t="shared" si="29"/>
        <v>0</v>
      </c>
      <c r="CV26" s="193">
        <f t="shared" si="30"/>
        <v>0</v>
      </c>
      <c r="CY26" s="193">
        <f t="shared" si="31"/>
        <v>0</v>
      </c>
      <c r="DB26" s="193">
        <f t="shared" si="32"/>
        <v>0</v>
      </c>
      <c r="DE26" s="193">
        <f t="shared" si="33"/>
        <v>0</v>
      </c>
      <c r="DH26" s="193">
        <f t="shared" si="34"/>
        <v>0</v>
      </c>
      <c r="DK26" s="193">
        <f t="shared" si="35"/>
        <v>0</v>
      </c>
      <c r="DN26" s="193">
        <f t="shared" si="36"/>
        <v>0</v>
      </c>
      <c r="DQ26" s="193">
        <f t="shared" si="37"/>
        <v>0</v>
      </c>
      <c r="DT26" s="193">
        <f t="shared" si="38"/>
        <v>0</v>
      </c>
      <c r="DW26" s="193">
        <f t="shared" si="39"/>
        <v>0</v>
      </c>
      <c r="DZ26" s="193"/>
      <c r="EA26" s="193"/>
      <c r="EB26" s="228">
        <f t="shared" si="40"/>
        <v>34945000</v>
      </c>
      <c r="EC26" s="228">
        <f t="shared" si="41"/>
        <v>28420000</v>
      </c>
      <c r="ED26" s="193">
        <f t="shared" si="42"/>
        <v>116.3625</v>
      </c>
      <c r="EE26" s="194">
        <f t="shared" si="43"/>
        <v>1.1987551867219917E-3</v>
      </c>
      <c r="EG26" s="228">
        <f t="shared" si="44"/>
        <v>0</v>
      </c>
      <c r="EH26" s="193">
        <f t="shared" si="45"/>
        <v>0</v>
      </c>
      <c r="EI26" s="194">
        <f t="shared" si="46"/>
        <v>0</v>
      </c>
      <c r="EJ26" s="194"/>
      <c r="EK26" s="228">
        <f t="shared" si="47"/>
        <v>6525000</v>
      </c>
      <c r="EL26" s="228">
        <f t="shared" si="48"/>
        <v>0</v>
      </c>
      <c r="EM26" s="228">
        <f t="shared" si="49"/>
        <v>45.3125</v>
      </c>
      <c r="EN26" s="194">
        <f t="shared" si="50"/>
        <v>2.5000000000000001E-3</v>
      </c>
      <c r="EP26" s="193"/>
    </row>
    <row r="27" spans="1:146" x14ac:dyDescent="0.2">
      <c r="A27" s="225">
        <f t="shared" si="51"/>
        <v>44060</v>
      </c>
      <c r="B27" s="193">
        <v>40970000</v>
      </c>
      <c r="C27" s="194">
        <v>8.9999999999999998E-4</v>
      </c>
      <c r="D27" s="193">
        <f t="shared" si="0"/>
        <v>102.425</v>
      </c>
      <c r="G27" s="193">
        <f t="shared" si="1"/>
        <v>0</v>
      </c>
      <c r="J27" s="193">
        <f t="shared" si="2"/>
        <v>0</v>
      </c>
      <c r="M27" s="193">
        <f t="shared" si="3"/>
        <v>0</v>
      </c>
      <c r="P27" s="193">
        <f t="shared" si="4"/>
        <v>0</v>
      </c>
      <c r="S27" s="193">
        <f t="shared" si="5"/>
        <v>0</v>
      </c>
      <c r="V27" s="193">
        <f t="shared" si="6"/>
        <v>0</v>
      </c>
      <c r="Y27" s="193">
        <f t="shared" si="7"/>
        <v>0</v>
      </c>
      <c r="AB27" s="193">
        <f t="shared" si="8"/>
        <v>0</v>
      </c>
      <c r="AE27" s="193">
        <v>0</v>
      </c>
      <c r="AH27" s="193">
        <v>0</v>
      </c>
      <c r="AI27" s="226"/>
      <c r="AJ27" s="227"/>
      <c r="AK27" s="193">
        <f t="shared" si="9"/>
        <v>0</v>
      </c>
      <c r="AL27" s="226"/>
      <c r="AM27" s="227"/>
      <c r="AN27" s="193">
        <f t="shared" si="10"/>
        <v>0</v>
      </c>
      <c r="AO27" s="226"/>
      <c r="AP27" s="227"/>
      <c r="AQ27" s="193">
        <f t="shared" si="11"/>
        <v>0</v>
      </c>
      <c r="AR27" s="226"/>
      <c r="AS27" s="227"/>
      <c r="AT27" s="193">
        <f t="shared" si="12"/>
        <v>0</v>
      </c>
      <c r="AW27" s="193">
        <f t="shared" si="13"/>
        <v>0</v>
      </c>
      <c r="AZ27" s="193">
        <f t="shared" si="14"/>
        <v>0</v>
      </c>
      <c r="BC27" s="193">
        <f t="shared" si="15"/>
        <v>0</v>
      </c>
      <c r="BF27" s="193">
        <f t="shared" si="16"/>
        <v>0</v>
      </c>
      <c r="BI27" s="193">
        <f t="shared" si="17"/>
        <v>0</v>
      </c>
      <c r="BL27" s="193">
        <f t="shared" si="18"/>
        <v>0</v>
      </c>
      <c r="BO27" s="193">
        <f t="shared" si="19"/>
        <v>0</v>
      </c>
      <c r="BR27" s="193">
        <f t="shared" si="20"/>
        <v>0</v>
      </c>
      <c r="BU27" s="193">
        <f t="shared" si="21"/>
        <v>0</v>
      </c>
      <c r="BX27" s="193">
        <f t="shared" si="22"/>
        <v>0</v>
      </c>
      <c r="CA27" s="193">
        <f t="shared" si="23"/>
        <v>0</v>
      </c>
      <c r="CD27" s="193">
        <f t="shared" si="24"/>
        <v>0</v>
      </c>
      <c r="CG27" s="193">
        <f t="shared" si="25"/>
        <v>0</v>
      </c>
      <c r="CJ27" s="193">
        <f t="shared" si="26"/>
        <v>0</v>
      </c>
      <c r="CM27" s="193">
        <f t="shared" si="27"/>
        <v>0</v>
      </c>
      <c r="CP27" s="193">
        <f t="shared" si="28"/>
        <v>0</v>
      </c>
      <c r="CS27" s="193">
        <f t="shared" si="29"/>
        <v>0</v>
      </c>
      <c r="CV27" s="193">
        <f t="shared" si="30"/>
        <v>0</v>
      </c>
      <c r="CY27" s="193">
        <f t="shared" si="31"/>
        <v>0</v>
      </c>
      <c r="DB27" s="193">
        <f t="shared" si="32"/>
        <v>0</v>
      </c>
      <c r="DE27" s="193">
        <f t="shared" si="33"/>
        <v>0</v>
      </c>
      <c r="DH27" s="193">
        <f t="shared" si="34"/>
        <v>0</v>
      </c>
      <c r="DK27" s="193">
        <f t="shared" si="35"/>
        <v>0</v>
      </c>
      <c r="DN27" s="193">
        <f t="shared" si="36"/>
        <v>0</v>
      </c>
      <c r="DQ27" s="193">
        <f t="shared" si="37"/>
        <v>0</v>
      </c>
      <c r="DT27" s="193">
        <f t="shared" si="38"/>
        <v>0</v>
      </c>
      <c r="DW27" s="193">
        <f t="shared" si="39"/>
        <v>0</v>
      </c>
      <c r="DZ27" s="193"/>
      <c r="EA27" s="193"/>
      <c r="EB27" s="228">
        <f t="shared" si="40"/>
        <v>40970000</v>
      </c>
      <c r="EC27" s="228">
        <f t="shared" si="41"/>
        <v>40970000</v>
      </c>
      <c r="ED27" s="193">
        <f t="shared" si="42"/>
        <v>102.425</v>
      </c>
      <c r="EE27" s="194">
        <f t="shared" si="43"/>
        <v>8.9999999999999998E-4</v>
      </c>
      <c r="EG27" s="228">
        <f t="shared" si="44"/>
        <v>0</v>
      </c>
      <c r="EH27" s="193">
        <f t="shared" si="45"/>
        <v>0</v>
      </c>
      <c r="EI27" s="194">
        <f t="shared" si="46"/>
        <v>0</v>
      </c>
      <c r="EJ27" s="194"/>
      <c r="EK27" s="228">
        <f t="shared" si="47"/>
        <v>0</v>
      </c>
      <c r="EL27" s="228">
        <f t="shared" si="48"/>
        <v>0</v>
      </c>
      <c r="EM27" s="228">
        <f t="shared" si="49"/>
        <v>0</v>
      </c>
      <c r="EN27" s="194">
        <f t="shared" si="50"/>
        <v>0</v>
      </c>
      <c r="EP27" s="193"/>
    </row>
    <row r="28" spans="1:146" x14ac:dyDescent="0.2">
      <c r="A28" s="225">
        <f t="shared" si="51"/>
        <v>44061</v>
      </c>
      <c r="B28" s="193">
        <v>16495000</v>
      </c>
      <c r="C28" s="194">
        <v>8.9999999999999998E-4</v>
      </c>
      <c r="D28" s="193">
        <f t="shared" si="0"/>
        <v>41.237499999999997</v>
      </c>
      <c r="G28" s="193">
        <f t="shared" si="1"/>
        <v>0</v>
      </c>
      <c r="J28" s="193">
        <f t="shared" si="2"/>
        <v>0</v>
      </c>
      <c r="M28" s="193">
        <f t="shared" si="3"/>
        <v>0</v>
      </c>
      <c r="P28" s="193">
        <f t="shared" si="4"/>
        <v>0</v>
      </c>
      <c r="S28" s="193">
        <f t="shared" si="5"/>
        <v>0</v>
      </c>
      <c r="V28" s="193">
        <f t="shared" si="6"/>
        <v>0</v>
      </c>
      <c r="Y28" s="193">
        <f t="shared" si="7"/>
        <v>0</v>
      </c>
      <c r="AB28" s="193">
        <f t="shared" si="8"/>
        <v>0</v>
      </c>
      <c r="AE28" s="193">
        <v>0</v>
      </c>
      <c r="AH28" s="193">
        <v>0</v>
      </c>
      <c r="AI28" s="226"/>
      <c r="AJ28" s="227"/>
      <c r="AK28" s="193">
        <f t="shared" si="9"/>
        <v>0</v>
      </c>
      <c r="AL28" s="226"/>
      <c r="AM28" s="227"/>
      <c r="AN28" s="193">
        <f t="shared" si="10"/>
        <v>0</v>
      </c>
      <c r="AO28" s="226"/>
      <c r="AP28" s="227"/>
      <c r="AQ28" s="193">
        <f t="shared" si="11"/>
        <v>0</v>
      </c>
      <c r="AR28" s="226"/>
      <c r="AS28" s="227"/>
      <c r="AT28" s="193">
        <f t="shared" si="12"/>
        <v>0</v>
      </c>
      <c r="AW28" s="193">
        <f t="shared" si="13"/>
        <v>0</v>
      </c>
      <c r="AZ28" s="193">
        <f t="shared" si="14"/>
        <v>0</v>
      </c>
      <c r="BC28" s="193">
        <f t="shared" si="15"/>
        <v>0</v>
      </c>
      <c r="BF28" s="193">
        <f t="shared" si="16"/>
        <v>0</v>
      </c>
      <c r="BI28" s="193">
        <f t="shared" si="17"/>
        <v>0</v>
      </c>
      <c r="BL28" s="193">
        <f t="shared" si="18"/>
        <v>0</v>
      </c>
      <c r="BO28" s="193">
        <f t="shared" si="19"/>
        <v>0</v>
      </c>
      <c r="BR28" s="193">
        <f t="shared" si="20"/>
        <v>0</v>
      </c>
      <c r="BU28" s="193">
        <f t="shared" si="21"/>
        <v>0</v>
      </c>
      <c r="BX28" s="193">
        <f t="shared" si="22"/>
        <v>0</v>
      </c>
      <c r="CA28" s="193">
        <f t="shared" si="23"/>
        <v>0</v>
      </c>
      <c r="CD28" s="193">
        <f t="shared" si="24"/>
        <v>0</v>
      </c>
      <c r="CG28" s="193">
        <f t="shared" si="25"/>
        <v>0</v>
      </c>
      <c r="CJ28" s="193">
        <f t="shared" si="26"/>
        <v>0</v>
      </c>
      <c r="CM28" s="193">
        <f t="shared" si="27"/>
        <v>0</v>
      </c>
      <c r="CP28" s="193">
        <f t="shared" si="28"/>
        <v>0</v>
      </c>
      <c r="CS28" s="193">
        <f t="shared" si="29"/>
        <v>0</v>
      </c>
      <c r="CV28" s="193">
        <f t="shared" si="30"/>
        <v>0</v>
      </c>
      <c r="CY28" s="193">
        <f t="shared" si="31"/>
        <v>0</v>
      </c>
      <c r="DB28" s="193">
        <f t="shared" si="32"/>
        <v>0</v>
      </c>
      <c r="DE28" s="193">
        <f t="shared" si="33"/>
        <v>0</v>
      </c>
      <c r="DH28" s="193">
        <f t="shared" si="34"/>
        <v>0</v>
      </c>
      <c r="DK28" s="193">
        <f t="shared" si="35"/>
        <v>0</v>
      </c>
      <c r="DN28" s="193">
        <f t="shared" si="36"/>
        <v>0</v>
      </c>
      <c r="DQ28" s="193">
        <f t="shared" si="37"/>
        <v>0</v>
      </c>
      <c r="DT28" s="193">
        <f t="shared" si="38"/>
        <v>0</v>
      </c>
      <c r="DW28" s="193">
        <f t="shared" si="39"/>
        <v>0</v>
      </c>
      <c r="DZ28" s="193"/>
      <c r="EA28" s="193"/>
      <c r="EB28" s="228">
        <f t="shared" si="40"/>
        <v>16495000</v>
      </c>
      <c r="EC28" s="228">
        <f t="shared" si="41"/>
        <v>16495000</v>
      </c>
      <c r="ED28" s="193">
        <f t="shared" si="42"/>
        <v>41.237499999999997</v>
      </c>
      <c r="EE28" s="194">
        <f t="shared" si="43"/>
        <v>8.9999999999999998E-4</v>
      </c>
      <c r="EG28" s="228">
        <f t="shared" si="44"/>
        <v>0</v>
      </c>
      <c r="EH28" s="193">
        <f t="shared" si="45"/>
        <v>0</v>
      </c>
      <c r="EI28" s="194">
        <f t="shared" si="46"/>
        <v>0</v>
      </c>
      <c r="EJ28" s="194"/>
      <c r="EK28" s="228">
        <f t="shared" si="47"/>
        <v>0</v>
      </c>
      <c r="EL28" s="228">
        <f t="shared" si="48"/>
        <v>0</v>
      </c>
      <c r="EM28" s="228">
        <f t="shared" si="49"/>
        <v>0</v>
      </c>
      <c r="EN28" s="194">
        <f t="shared" si="50"/>
        <v>0</v>
      </c>
      <c r="EP28" s="193"/>
    </row>
    <row r="29" spans="1:146" x14ac:dyDescent="0.2">
      <c r="A29" s="225">
        <f t="shared" si="51"/>
        <v>44062</v>
      </c>
      <c r="B29" s="193">
        <v>3020000</v>
      </c>
      <c r="C29" s="194">
        <v>1E-3</v>
      </c>
      <c r="D29" s="193">
        <f t="shared" si="0"/>
        <v>8.3888888888888893</v>
      </c>
      <c r="G29" s="193">
        <f t="shared" si="1"/>
        <v>0</v>
      </c>
      <c r="J29" s="193">
        <f t="shared" si="2"/>
        <v>0</v>
      </c>
      <c r="M29" s="193">
        <f t="shared" si="3"/>
        <v>0</v>
      </c>
      <c r="P29" s="193">
        <f t="shared" si="4"/>
        <v>0</v>
      </c>
      <c r="S29" s="193">
        <f t="shared" si="5"/>
        <v>0</v>
      </c>
      <c r="V29" s="193">
        <f t="shared" si="6"/>
        <v>0</v>
      </c>
      <c r="Y29" s="193">
        <f t="shared" si="7"/>
        <v>0</v>
      </c>
      <c r="AB29" s="193">
        <f t="shared" si="8"/>
        <v>0</v>
      </c>
      <c r="AE29" s="193">
        <v>0</v>
      </c>
      <c r="AH29" s="193">
        <v>0</v>
      </c>
      <c r="AI29" s="226"/>
      <c r="AJ29" s="227"/>
      <c r="AK29" s="193">
        <f t="shared" si="9"/>
        <v>0</v>
      </c>
      <c r="AL29" s="226"/>
      <c r="AM29" s="227"/>
      <c r="AN29" s="193">
        <f t="shared" si="10"/>
        <v>0</v>
      </c>
      <c r="AO29" s="226"/>
      <c r="AP29" s="227"/>
      <c r="AQ29" s="193">
        <f t="shared" si="11"/>
        <v>0</v>
      </c>
      <c r="AR29" s="226"/>
      <c r="AS29" s="227"/>
      <c r="AT29" s="193">
        <f t="shared" si="12"/>
        <v>0</v>
      </c>
      <c r="AW29" s="193">
        <f t="shared" si="13"/>
        <v>0</v>
      </c>
      <c r="AZ29" s="193">
        <f t="shared" si="14"/>
        <v>0</v>
      </c>
      <c r="BC29" s="193">
        <f t="shared" si="15"/>
        <v>0</v>
      </c>
      <c r="BF29" s="193">
        <f t="shared" si="16"/>
        <v>0</v>
      </c>
      <c r="BI29" s="193">
        <f t="shared" si="17"/>
        <v>0</v>
      </c>
      <c r="BL29" s="193">
        <f t="shared" si="18"/>
        <v>0</v>
      </c>
      <c r="BO29" s="193">
        <f t="shared" si="19"/>
        <v>0</v>
      </c>
      <c r="BR29" s="193">
        <f t="shared" si="20"/>
        <v>0</v>
      </c>
      <c r="BU29" s="193">
        <f t="shared" si="21"/>
        <v>0</v>
      </c>
      <c r="BX29" s="193">
        <f t="shared" si="22"/>
        <v>0</v>
      </c>
      <c r="CA29" s="193">
        <f t="shared" si="23"/>
        <v>0</v>
      </c>
      <c r="CD29" s="193">
        <f t="shared" si="24"/>
        <v>0</v>
      </c>
      <c r="CG29" s="193">
        <f t="shared" si="25"/>
        <v>0</v>
      </c>
      <c r="CJ29" s="193">
        <f t="shared" si="26"/>
        <v>0</v>
      </c>
      <c r="CM29" s="193">
        <f t="shared" si="27"/>
        <v>0</v>
      </c>
      <c r="CP29" s="193">
        <f t="shared" si="28"/>
        <v>0</v>
      </c>
      <c r="CS29" s="193">
        <f t="shared" si="29"/>
        <v>0</v>
      </c>
      <c r="CV29" s="193">
        <f t="shared" si="30"/>
        <v>0</v>
      </c>
      <c r="CY29" s="193">
        <f t="shared" si="31"/>
        <v>0</v>
      </c>
      <c r="DB29" s="193">
        <f t="shared" si="32"/>
        <v>0</v>
      </c>
      <c r="DE29" s="193">
        <f t="shared" si="33"/>
        <v>0</v>
      </c>
      <c r="DH29" s="193">
        <f t="shared" si="34"/>
        <v>0</v>
      </c>
      <c r="DK29" s="193">
        <f t="shared" si="35"/>
        <v>0</v>
      </c>
      <c r="DN29" s="193">
        <f t="shared" si="36"/>
        <v>0</v>
      </c>
      <c r="DQ29" s="193">
        <f t="shared" si="37"/>
        <v>0</v>
      </c>
      <c r="DT29" s="193">
        <f t="shared" si="38"/>
        <v>0</v>
      </c>
      <c r="DW29" s="193">
        <f t="shared" si="39"/>
        <v>0</v>
      </c>
      <c r="DZ29" s="193"/>
      <c r="EA29" s="193"/>
      <c r="EB29" s="228">
        <f t="shared" si="40"/>
        <v>3020000</v>
      </c>
      <c r="EC29" s="228">
        <f t="shared" si="41"/>
        <v>3020000</v>
      </c>
      <c r="ED29" s="193">
        <f t="shared" si="42"/>
        <v>8.3888888888888893</v>
      </c>
      <c r="EE29" s="194">
        <f t="shared" si="43"/>
        <v>1E-3</v>
      </c>
      <c r="EG29" s="228">
        <f t="shared" si="44"/>
        <v>0</v>
      </c>
      <c r="EH29" s="193">
        <f t="shared" si="45"/>
        <v>0</v>
      </c>
      <c r="EI29" s="194">
        <f t="shared" si="46"/>
        <v>0</v>
      </c>
      <c r="EJ29" s="194"/>
      <c r="EK29" s="228">
        <f t="shared" si="47"/>
        <v>0</v>
      </c>
      <c r="EL29" s="228">
        <f t="shared" si="48"/>
        <v>0</v>
      </c>
      <c r="EM29" s="228">
        <f t="shared" si="49"/>
        <v>0</v>
      </c>
      <c r="EN29" s="194">
        <f t="shared" si="50"/>
        <v>0</v>
      </c>
      <c r="EP29" s="193"/>
    </row>
    <row r="30" spans="1:146" x14ac:dyDescent="0.2">
      <c r="A30" s="225">
        <f t="shared" si="51"/>
        <v>44063</v>
      </c>
      <c r="B30" s="193">
        <v>7670000</v>
      </c>
      <c r="C30" s="194">
        <v>8.9999999999999998E-4</v>
      </c>
      <c r="D30" s="193">
        <f t="shared" si="0"/>
        <v>19.175000000000001</v>
      </c>
      <c r="G30" s="193">
        <f t="shared" si="1"/>
        <v>0</v>
      </c>
      <c r="J30" s="193">
        <f t="shared" si="2"/>
        <v>0</v>
      </c>
      <c r="M30" s="193">
        <f t="shared" si="3"/>
        <v>0</v>
      </c>
      <c r="P30" s="193">
        <f t="shared" si="4"/>
        <v>0</v>
      </c>
      <c r="S30" s="193">
        <f t="shared" si="5"/>
        <v>0</v>
      </c>
      <c r="V30" s="193">
        <f t="shared" si="6"/>
        <v>0</v>
      </c>
      <c r="Y30" s="193">
        <f t="shared" si="7"/>
        <v>0</v>
      </c>
      <c r="AB30" s="193">
        <f t="shared" si="8"/>
        <v>0</v>
      </c>
      <c r="AE30" s="193">
        <v>0</v>
      </c>
      <c r="AH30" s="193">
        <v>0</v>
      </c>
      <c r="AI30" s="226"/>
      <c r="AJ30" s="227"/>
      <c r="AK30" s="193">
        <f t="shared" si="9"/>
        <v>0</v>
      </c>
      <c r="AL30" s="226"/>
      <c r="AM30" s="227"/>
      <c r="AN30" s="193">
        <f t="shared" si="10"/>
        <v>0</v>
      </c>
      <c r="AO30" s="226"/>
      <c r="AP30" s="227"/>
      <c r="AQ30" s="193">
        <f t="shared" si="11"/>
        <v>0</v>
      </c>
      <c r="AR30" s="226"/>
      <c r="AS30" s="227"/>
      <c r="AT30" s="193">
        <f t="shared" si="12"/>
        <v>0</v>
      </c>
      <c r="AW30" s="193">
        <f t="shared" si="13"/>
        <v>0</v>
      </c>
      <c r="AZ30" s="193">
        <f t="shared" si="14"/>
        <v>0</v>
      </c>
      <c r="BC30" s="193">
        <f t="shared" si="15"/>
        <v>0</v>
      </c>
      <c r="BF30" s="193">
        <f t="shared" si="16"/>
        <v>0</v>
      </c>
      <c r="BI30" s="193">
        <f t="shared" si="17"/>
        <v>0</v>
      </c>
      <c r="BL30" s="193">
        <f t="shared" si="18"/>
        <v>0</v>
      </c>
      <c r="BO30" s="193">
        <f t="shared" si="19"/>
        <v>0</v>
      </c>
      <c r="BR30" s="193">
        <f t="shared" si="20"/>
        <v>0</v>
      </c>
      <c r="BU30" s="193">
        <f t="shared" si="21"/>
        <v>0</v>
      </c>
      <c r="BX30" s="193">
        <f t="shared" si="22"/>
        <v>0</v>
      </c>
      <c r="CA30" s="193">
        <f t="shared" si="23"/>
        <v>0</v>
      </c>
      <c r="CD30" s="193">
        <f t="shared" si="24"/>
        <v>0</v>
      </c>
      <c r="CG30" s="193">
        <f t="shared" si="25"/>
        <v>0</v>
      </c>
      <c r="CJ30" s="193">
        <f t="shared" si="26"/>
        <v>0</v>
      </c>
      <c r="CM30" s="193">
        <f t="shared" si="27"/>
        <v>0</v>
      </c>
      <c r="CP30" s="193">
        <f t="shared" si="28"/>
        <v>0</v>
      </c>
      <c r="CS30" s="193">
        <f t="shared" si="29"/>
        <v>0</v>
      </c>
      <c r="CV30" s="193">
        <f t="shared" si="30"/>
        <v>0</v>
      </c>
      <c r="CY30" s="193">
        <f t="shared" si="31"/>
        <v>0</v>
      </c>
      <c r="DB30" s="193">
        <f t="shared" si="32"/>
        <v>0</v>
      </c>
      <c r="DE30" s="193">
        <f t="shared" si="33"/>
        <v>0</v>
      </c>
      <c r="DH30" s="193">
        <f t="shared" si="34"/>
        <v>0</v>
      </c>
      <c r="DK30" s="193">
        <f t="shared" si="35"/>
        <v>0</v>
      </c>
      <c r="DN30" s="193">
        <f t="shared" si="36"/>
        <v>0</v>
      </c>
      <c r="DQ30" s="193">
        <f t="shared" si="37"/>
        <v>0</v>
      </c>
      <c r="DT30" s="193">
        <f t="shared" si="38"/>
        <v>0</v>
      </c>
      <c r="DW30" s="193">
        <f t="shared" si="39"/>
        <v>0</v>
      </c>
      <c r="DZ30" s="193"/>
      <c r="EA30" s="193"/>
      <c r="EB30" s="228">
        <f t="shared" si="40"/>
        <v>7670000</v>
      </c>
      <c r="EC30" s="228">
        <f t="shared" si="41"/>
        <v>7670000</v>
      </c>
      <c r="ED30" s="193">
        <f t="shared" si="42"/>
        <v>19.175000000000001</v>
      </c>
      <c r="EE30" s="194">
        <f t="shared" si="43"/>
        <v>9.0000000000000008E-4</v>
      </c>
      <c r="EG30" s="228">
        <f t="shared" si="44"/>
        <v>0</v>
      </c>
      <c r="EH30" s="193">
        <f t="shared" si="45"/>
        <v>0</v>
      </c>
      <c r="EI30" s="194">
        <f t="shared" si="46"/>
        <v>0</v>
      </c>
      <c r="EJ30" s="194"/>
      <c r="EK30" s="228">
        <f t="shared" si="47"/>
        <v>0</v>
      </c>
      <c r="EL30" s="228">
        <f t="shared" si="48"/>
        <v>0</v>
      </c>
      <c r="EM30" s="228">
        <f t="shared" si="49"/>
        <v>0</v>
      </c>
      <c r="EN30" s="194">
        <f t="shared" si="50"/>
        <v>0</v>
      </c>
      <c r="EP30" s="193"/>
    </row>
    <row r="31" spans="1:146" x14ac:dyDescent="0.2">
      <c r="A31" s="225">
        <f t="shared" si="51"/>
        <v>44064</v>
      </c>
      <c r="B31" s="193">
        <v>4215000</v>
      </c>
      <c r="C31" s="194">
        <v>7.000000000000001E-4</v>
      </c>
      <c r="D31" s="193">
        <f t="shared" si="0"/>
        <v>8.1958333333333346</v>
      </c>
      <c r="G31" s="193">
        <f t="shared" si="1"/>
        <v>0</v>
      </c>
      <c r="J31" s="193">
        <f t="shared" si="2"/>
        <v>0</v>
      </c>
      <c r="M31" s="193">
        <f t="shared" si="3"/>
        <v>0</v>
      </c>
      <c r="P31" s="193">
        <f t="shared" si="4"/>
        <v>0</v>
      </c>
      <c r="S31" s="193">
        <f t="shared" si="5"/>
        <v>0</v>
      </c>
      <c r="V31" s="193">
        <f t="shared" si="6"/>
        <v>0</v>
      </c>
      <c r="Y31" s="193">
        <f t="shared" si="7"/>
        <v>0</v>
      </c>
      <c r="AB31" s="193">
        <f t="shared" si="8"/>
        <v>0</v>
      </c>
      <c r="AE31" s="193">
        <v>0</v>
      </c>
      <c r="AH31" s="193">
        <v>0</v>
      </c>
      <c r="AI31" s="226"/>
      <c r="AJ31" s="227"/>
      <c r="AK31" s="193">
        <f t="shared" si="9"/>
        <v>0</v>
      </c>
      <c r="AL31" s="226"/>
      <c r="AM31" s="227"/>
      <c r="AN31" s="193">
        <f t="shared" si="10"/>
        <v>0</v>
      </c>
      <c r="AO31" s="226"/>
      <c r="AP31" s="227"/>
      <c r="AQ31" s="193">
        <f t="shared" si="11"/>
        <v>0</v>
      </c>
      <c r="AR31" s="226"/>
      <c r="AS31" s="227"/>
      <c r="AT31" s="193">
        <f t="shared" si="12"/>
        <v>0</v>
      </c>
      <c r="AW31" s="193">
        <f t="shared" si="13"/>
        <v>0</v>
      </c>
      <c r="AZ31" s="193">
        <f t="shared" si="14"/>
        <v>0</v>
      </c>
      <c r="BC31" s="193">
        <f t="shared" si="15"/>
        <v>0</v>
      </c>
      <c r="BF31" s="193">
        <f t="shared" si="16"/>
        <v>0</v>
      </c>
      <c r="BI31" s="193">
        <f t="shared" si="17"/>
        <v>0</v>
      </c>
      <c r="BL31" s="193">
        <f t="shared" si="18"/>
        <v>0</v>
      </c>
      <c r="BO31" s="193">
        <f t="shared" si="19"/>
        <v>0</v>
      </c>
      <c r="BR31" s="193">
        <f t="shared" si="20"/>
        <v>0</v>
      </c>
      <c r="BU31" s="193">
        <f t="shared" si="21"/>
        <v>0</v>
      </c>
      <c r="BX31" s="193">
        <f t="shared" si="22"/>
        <v>0</v>
      </c>
      <c r="CA31" s="193">
        <f t="shared" si="23"/>
        <v>0</v>
      </c>
      <c r="CD31" s="193">
        <f t="shared" si="24"/>
        <v>0</v>
      </c>
      <c r="CG31" s="193">
        <f t="shared" si="25"/>
        <v>0</v>
      </c>
      <c r="CJ31" s="193">
        <f t="shared" si="26"/>
        <v>0</v>
      </c>
      <c r="CM31" s="193">
        <f t="shared" si="27"/>
        <v>0</v>
      </c>
      <c r="CP31" s="193">
        <f t="shared" si="28"/>
        <v>0</v>
      </c>
      <c r="CS31" s="193">
        <f t="shared" si="29"/>
        <v>0</v>
      </c>
      <c r="CV31" s="193">
        <f t="shared" si="30"/>
        <v>0</v>
      </c>
      <c r="CY31" s="193">
        <f t="shared" si="31"/>
        <v>0</v>
      </c>
      <c r="DB31" s="193">
        <f t="shared" si="32"/>
        <v>0</v>
      </c>
      <c r="DE31" s="193">
        <f t="shared" si="33"/>
        <v>0</v>
      </c>
      <c r="DH31" s="193">
        <f t="shared" si="34"/>
        <v>0</v>
      </c>
      <c r="DK31" s="193">
        <f t="shared" si="35"/>
        <v>0</v>
      </c>
      <c r="DN31" s="193">
        <f t="shared" si="36"/>
        <v>0</v>
      </c>
      <c r="DQ31" s="193">
        <f t="shared" si="37"/>
        <v>0</v>
      </c>
      <c r="DT31" s="193">
        <f t="shared" si="38"/>
        <v>0</v>
      </c>
      <c r="DW31" s="193">
        <f t="shared" si="39"/>
        <v>0</v>
      </c>
      <c r="DZ31" s="193"/>
      <c r="EA31" s="193"/>
      <c r="EB31" s="228">
        <f t="shared" si="40"/>
        <v>4215000</v>
      </c>
      <c r="EC31" s="228">
        <f t="shared" si="41"/>
        <v>4215000</v>
      </c>
      <c r="ED31" s="193">
        <f t="shared" si="42"/>
        <v>8.1958333333333346</v>
      </c>
      <c r="EE31" s="194">
        <f t="shared" si="43"/>
        <v>7.000000000000001E-4</v>
      </c>
      <c r="EG31" s="228">
        <f t="shared" si="44"/>
        <v>0</v>
      </c>
      <c r="EH31" s="193">
        <f t="shared" si="45"/>
        <v>0</v>
      </c>
      <c r="EI31" s="194">
        <f t="shared" si="46"/>
        <v>0</v>
      </c>
      <c r="EJ31" s="194"/>
      <c r="EK31" s="228">
        <f t="shared" si="47"/>
        <v>0</v>
      </c>
      <c r="EL31" s="228">
        <f t="shared" si="48"/>
        <v>0</v>
      </c>
      <c r="EM31" s="228">
        <f t="shared" si="49"/>
        <v>0</v>
      </c>
      <c r="EN31" s="194">
        <f t="shared" si="50"/>
        <v>0</v>
      </c>
      <c r="EP31" s="193"/>
    </row>
    <row r="32" spans="1:146" x14ac:dyDescent="0.2">
      <c r="A32" s="225">
        <f t="shared" si="51"/>
        <v>44065</v>
      </c>
      <c r="B32" s="193">
        <v>4215000</v>
      </c>
      <c r="C32" s="194">
        <v>7.000000000000001E-4</v>
      </c>
      <c r="D32" s="193">
        <f t="shared" si="0"/>
        <v>8.1958333333333346</v>
      </c>
      <c r="G32" s="193">
        <f t="shared" si="1"/>
        <v>0</v>
      </c>
      <c r="J32" s="193">
        <f t="shared" si="2"/>
        <v>0</v>
      </c>
      <c r="M32" s="193">
        <f t="shared" si="3"/>
        <v>0</v>
      </c>
      <c r="P32" s="193">
        <f t="shared" si="4"/>
        <v>0</v>
      </c>
      <c r="S32" s="193">
        <f t="shared" si="5"/>
        <v>0</v>
      </c>
      <c r="V32" s="193">
        <f t="shared" si="6"/>
        <v>0</v>
      </c>
      <c r="Y32" s="193">
        <f t="shared" si="7"/>
        <v>0</v>
      </c>
      <c r="AB32" s="193">
        <f t="shared" si="8"/>
        <v>0</v>
      </c>
      <c r="AE32" s="193">
        <v>0</v>
      </c>
      <c r="AH32" s="193">
        <v>0</v>
      </c>
      <c r="AI32" s="226"/>
      <c r="AJ32" s="227"/>
      <c r="AK32" s="193">
        <f t="shared" si="9"/>
        <v>0</v>
      </c>
      <c r="AL32" s="226"/>
      <c r="AM32" s="227"/>
      <c r="AN32" s="193">
        <f t="shared" si="10"/>
        <v>0</v>
      </c>
      <c r="AO32" s="226"/>
      <c r="AP32" s="227"/>
      <c r="AQ32" s="193">
        <f t="shared" si="11"/>
        <v>0</v>
      </c>
      <c r="AR32" s="226"/>
      <c r="AS32" s="227"/>
      <c r="AT32" s="193">
        <f t="shared" si="12"/>
        <v>0</v>
      </c>
      <c r="AW32" s="193">
        <f t="shared" si="13"/>
        <v>0</v>
      </c>
      <c r="AZ32" s="193">
        <f t="shared" si="14"/>
        <v>0</v>
      </c>
      <c r="BC32" s="193">
        <f t="shared" si="15"/>
        <v>0</v>
      </c>
      <c r="BF32" s="193">
        <f t="shared" si="16"/>
        <v>0</v>
      </c>
      <c r="BI32" s="193">
        <f t="shared" si="17"/>
        <v>0</v>
      </c>
      <c r="BL32" s="193">
        <f t="shared" si="18"/>
        <v>0</v>
      </c>
      <c r="BO32" s="193">
        <f t="shared" si="19"/>
        <v>0</v>
      </c>
      <c r="BR32" s="193">
        <f t="shared" si="20"/>
        <v>0</v>
      </c>
      <c r="BU32" s="193">
        <f t="shared" si="21"/>
        <v>0</v>
      </c>
      <c r="BX32" s="193">
        <f t="shared" si="22"/>
        <v>0</v>
      </c>
      <c r="CA32" s="193">
        <f t="shared" si="23"/>
        <v>0</v>
      </c>
      <c r="CD32" s="193">
        <f t="shared" si="24"/>
        <v>0</v>
      </c>
      <c r="CG32" s="193">
        <f t="shared" si="25"/>
        <v>0</v>
      </c>
      <c r="CJ32" s="193">
        <f t="shared" si="26"/>
        <v>0</v>
      </c>
      <c r="CM32" s="193">
        <f t="shared" si="27"/>
        <v>0</v>
      </c>
      <c r="CP32" s="193">
        <f t="shared" si="28"/>
        <v>0</v>
      </c>
      <c r="CS32" s="193">
        <f t="shared" si="29"/>
        <v>0</v>
      </c>
      <c r="CV32" s="193">
        <f t="shared" si="30"/>
        <v>0</v>
      </c>
      <c r="CY32" s="193">
        <f t="shared" si="31"/>
        <v>0</v>
      </c>
      <c r="DB32" s="193">
        <f t="shared" si="32"/>
        <v>0</v>
      </c>
      <c r="DE32" s="193">
        <f t="shared" si="33"/>
        <v>0</v>
      </c>
      <c r="DH32" s="193">
        <f t="shared" si="34"/>
        <v>0</v>
      </c>
      <c r="DK32" s="193">
        <f t="shared" si="35"/>
        <v>0</v>
      </c>
      <c r="DN32" s="193">
        <f t="shared" si="36"/>
        <v>0</v>
      </c>
      <c r="DQ32" s="193">
        <f t="shared" si="37"/>
        <v>0</v>
      </c>
      <c r="DT32" s="193">
        <f t="shared" si="38"/>
        <v>0</v>
      </c>
      <c r="DW32" s="193">
        <f t="shared" si="39"/>
        <v>0</v>
      </c>
      <c r="DZ32" s="193"/>
      <c r="EA32" s="193"/>
      <c r="EB32" s="228">
        <f t="shared" si="40"/>
        <v>4215000</v>
      </c>
      <c r="EC32" s="228">
        <f t="shared" si="41"/>
        <v>4215000</v>
      </c>
      <c r="ED32" s="193">
        <f t="shared" si="42"/>
        <v>8.1958333333333346</v>
      </c>
      <c r="EE32" s="194">
        <f t="shared" si="43"/>
        <v>7.000000000000001E-4</v>
      </c>
      <c r="EG32" s="228">
        <f t="shared" si="44"/>
        <v>0</v>
      </c>
      <c r="EH32" s="193">
        <f t="shared" si="45"/>
        <v>0</v>
      </c>
      <c r="EI32" s="194">
        <f t="shared" si="46"/>
        <v>0</v>
      </c>
      <c r="EJ32" s="194"/>
      <c r="EK32" s="228">
        <f t="shared" si="47"/>
        <v>0</v>
      </c>
      <c r="EL32" s="228">
        <f t="shared" si="48"/>
        <v>0</v>
      </c>
      <c r="EM32" s="228">
        <f t="shared" si="49"/>
        <v>0</v>
      </c>
      <c r="EN32" s="194">
        <f t="shared" si="50"/>
        <v>0</v>
      </c>
      <c r="EP32" s="193"/>
    </row>
    <row r="33" spans="1:146" x14ac:dyDescent="0.2">
      <c r="A33" s="225">
        <f t="shared" si="51"/>
        <v>44066</v>
      </c>
      <c r="B33" s="193">
        <v>4215000</v>
      </c>
      <c r="C33" s="194">
        <v>7.000000000000001E-4</v>
      </c>
      <c r="D33" s="193">
        <f t="shared" si="0"/>
        <v>8.1958333333333346</v>
      </c>
      <c r="G33" s="193">
        <f t="shared" si="1"/>
        <v>0</v>
      </c>
      <c r="J33" s="193">
        <f t="shared" si="2"/>
        <v>0</v>
      </c>
      <c r="M33" s="193">
        <f t="shared" si="3"/>
        <v>0</v>
      </c>
      <c r="P33" s="193">
        <f t="shared" si="4"/>
        <v>0</v>
      </c>
      <c r="S33" s="193">
        <f t="shared" si="5"/>
        <v>0</v>
      </c>
      <c r="V33" s="193">
        <f t="shared" si="6"/>
        <v>0</v>
      </c>
      <c r="Y33" s="193">
        <f t="shared" si="7"/>
        <v>0</v>
      </c>
      <c r="AB33" s="193">
        <f t="shared" si="8"/>
        <v>0</v>
      </c>
      <c r="AE33" s="193">
        <v>0</v>
      </c>
      <c r="AH33" s="193">
        <v>0</v>
      </c>
      <c r="AI33" s="226"/>
      <c r="AJ33" s="227"/>
      <c r="AK33" s="193">
        <f t="shared" si="9"/>
        <v>0</v>
      </c>
      <c r="AL33" s="226"/>
      <c r="AM33" s="227"/>
      <c r="AN33" s="193">
        <f t="shared" si="10"/>
        <v>0</v>
      </c>
      <c r="AO33" s="226"/>
      <c r="AP33" s="227"/>
      <c r="AQ33" s="193">
        <f t="shared" si="11"/>
        <v>0</v>
      </c>
      <c r="AR33" s="226"/>
      <c r="AS33" s="227"/>
      <c r="AT33" s="193">
        <f t="shared" si="12"/>
        <v>0</v>
      </c>
      <c r="AW33" s="193">
        <f t="shared" si="13"/>
        <v>0</v>
      </c>
      <c r="AZ33" s="193">
        <f t="shared" si="14"/>
        <v>0</v>
      </c>
      <c r="BC33" s="193">
        <f t="shared" si="15"/>
        <v>0</v>
      </c>
      <c r="BF33" s="193">
        <f t="shared" si="16"/>
        <v>0</v>
      </c>
      <c r="BI33" s="193">
        <f t="shared" si="17"/>
        <v>0</v>
      </c>
      <c r="BL33" s="193">
        <f t="shared" si="18"/>
        <v>0</v>
      </c>
      <c r="BO33" s="193">
        <f t="shared" si="19"/>
        <v>0</v>
      </c>
      <c r="BR33" s="193">
        <f t="shared" si="20"/>
        <v>0</v>
      </c>
      <c r="BU33" s="193">
        <f t="shared" si="21"/>
        <v>0</v>
      </c>
      <c r="BX33" s="193">
        <f t="shared" si="22"/>
        <v>0</v>
      </c>
      <c r="CA33" s="193">
        <f t="shared" si="23"/>
        <v>0</v>
      </c>
      <c r="CD33" s="193">
        <f t="shared" si="24"/>
        <v>0</v>
      </c>
      <c r="CG33" s="193">
        <f t="shared" si="25"/>
        <v>0</v>
      </c>
      <c r="CJ33" s="193">
        <f t="shared" si="26"/>
        <v>0</v>
      </c>
      <c r="CM33" s="193">
        <f t="shared" si="27"/>
        <v>0</v>
      </c>
      <c r="CP33" s="193">
        <f t="shared" si="28"/>
        <v>0</v>
      </c>
      <c r="CS33" s="193">
        <f t="shared" si="29"/>
        <v>0</v>
      </c>
      <c r="CV33" s="193">
        <f t="shared" si="30"/>
        <v>0</v>
      </c>
      <c r="CY33" s="193">
        <f t="shared" si="31"/>
        <v>0</v>
      </c>
      <c r="DB33" s="193">
        <f t="shared" si="32"/>
        <v>0</v>
      </c>
      <c r="DE33" s="193">
        <f t="shared" si="33"/>
        <v>0</v>
      </c>
      <c r="DH33" s="193">
        <f t="shared" si="34"/>
        <v>0</v>
      </c>
      <c r="DK33" s="193">
        <f t="shared" si="35"/>
        <v>0</v>
      </c>
      <c r="DN33" s="193">
        <f t="shared" si="36"/>
        <v>0</v>
      </c>
      <c r="DQ33" s="193">
        <f t="shared" si="37"/>
        <v>0</v>
      </c>
      <c r="DT33" s="193">
        <f t="shared" si="38"/>
        <v>0</v>
      </c>
      <c r="DW33" s="193">
        <f t="shared" si="39"/>
        <v>0</v>
      </c>
      <c r="DZ33" s="193"/>
      <c r="EA33" s="193"/>
      <c r="EB33" s="228">
        <f t="shared" si="40"/>
        <v>4215000</v>
      </c>
      <c r="EC33" s="228">
        <f t="shared" si="41"/>
        <v>4215000</v>
      </c>
      <c r="ED33" s="193">
        <f t="shared" si="42"/>
        <v>8.1958333333333346</v>
      </c>
      <c r="EE33" s="194">
        <f t="shared" si="43"/>
        <v>7.000000000000001E-4</v>
      </c>
      <c r="EG33" s="228">
        <f t="shared" si="44"/>
        <v>0</v>
      </c>
      <c r="EH33" s="193">
        <f t="shared" si="45"/>
        <v>0</v>
      </c>
      <c r="EI33" s="194">
        <f t="shared" si="46"/>
        <v>0</v>
      </c>
      <c r="EJ33" s="194"/>
      <c r="EK33" s="228">
        <f t="shared" si="47"/>
        <v>0</v>
      </c>
      <c r="EL33" s="228">
        <f t="shared" si="48"/>
        <v>0</v>
      </c>
      <c r="EM33" s="228">
        <f t="shared" si="49"/>
        <v>0</v>
      </c>
      <c r="EN33" s="194">
        <f t="shared" si="50"/>
        <v>0</v>
      </c>
      <c r="EP33" s="193"/>
    </row>
    <row r="34" spans="1:146" x14ac:dyDescent="0.2">
      <c r="A34" s="225">
        <f t="shared" si="51"/>
        <v>44067</v>
      </c>
      <c r="B34" s="193">
        <v>0</v>
      </c>
      <c r="C34" s="194">
        <v>7.000000000000001E-4</v>
      </c>
      <c r="D34" s="193">
        <f t="shared" si="0"/>
        <v>0</v>
      </c>
      <c r="G34" s="193">
        <f t="shared" si="1"/>
        <v>0</v>
      </c>
      <c r="J34" s="193">
        <f t="shared" si="2"/>
        <v>0</v>
      </c>
      <c r="M34" s="193">
        <f t="shared" si="3"/>
        <v>0</v>
      </c>
      <c r="P34" s="193">
        <f t="shared" si="4"/>
        <v>0</v>
      </c>
      <c r="S34" s="193">
        <f t="shared" si="5"/>
        <v>0</v>
      </c>
      <c r="V34" s="193">
        <f t="shared" si="6"/>
        <v>0</v>
      </c>
      <c r="Y34" s="193">
        <f t="shared" si="7"/>
        <v>0</v>
      </c>
      <c r="AB34" s="193">
        <f t="shared" si="8"/>
        <v>0</v>
      </c>
      <c r="AE34" s="193">
        <v>0</v>
      </c>
      <c r="AH34" s="193">
        <v>0</v>
      </c>
      <c r="AI34" s="226"/>
      <c r="AJ34" s="227"/>
      <c r="AK34" s="193">
        <f t="shared" si="9"/>
        <v>0</v>
      </c>
      <c r="AL34" s="226"/>
      <c r="AM34" s="227"/>
      <c r="AN34" s="193">
        <f t="shared" si="10"/>
        <v>0</v>
      </c>
      <c r="AO34" s="226"/>
      <c r="AP34" s="227"/>
      <c r="AQ34" s="193">
        <f t="shared" si="11"/>
        <v>0</v>
      </c>
      <c r="AR34" s="226"/>
      <c r="AS34" s="227"/>
      <c r="AT34" s="193">
        <f t="shared" si="12"/>
        <v>0</v>
      </c>
      <c r="AW34" s="193">
        <f t="shared" si="13"/>
        <v>0</v>
      </c>
      <c r="AZ34" s="193">
        <f t="shared" si="14"/>
        <v>0</v>
      </c>
      <c r="BC34" s="193">
        <f t="shared" si="15"/>
        <v>0</v>
      </c>
      <c r="BF34" s="193">
        <f t="shared" si="16"/>
        <v>0</v>
      </c>
      <c r="BI34" s="193">
        <f t="shared" si="17"/>
        <v>0</v>
      </c>
      <c r="BL34" s="193">
        <f t="shared" si="18"/>
        <v>0</v>
      </c>
      <c r="BO34" s="193">
        <f t="shared" si="19"/>
        <v>0</v>
      </c>
      <c r="BR34" s="193">
        <f t="shared" si="20"/>
        <v>0</v>
      </c>
      <c r="BU34" s="193">
        <f t="shared" si="21"/>
        <v>0</v>
      </c>
      <c r="BX34" s="193">
        <f t="shared" si="22"/>
        <v>0</v>
      </c>
      <c r="CA34" s="193">
        <f t="shared" si="23"/>
        <v>0</v>
      </c>
      <c r="CD34" s="193">
        <f t="shared" si="24"/>
        <v>0</v>
      </c>
      <c r="CG34" s="193">
        <f t="shared" si="25"/>
        <v>0</v>
      </c>
      <c r="CJ34" s="193">
        <f t="shared" si="26"/>
        <v>0</v>
      </c>
      <c r="CM34" s="193">
        <f t="shared" si="27"/>
        <v>0</v>
      </c>
      <c r="CP34" s="193">
        <f t="shared" si="28"/>
        <v>0</v>
      </c>
      <c r="CS34" s="193">
        <f t="shared" si="29"/>
        <v>0</v>
      </c>
      <c r="CV34" s="193">
        <f t="shared" si="30"/>
        <v>0</v>
      </c>
      <c r="CY34" s="193">
        <f t="shared" si="31"/>
        <v>0</v>
      </c>
      <c r="DB34" s="193">
        <f t="shared" si="32"/>
        <v>0</v>
      </c>
      <c r="DE34" s="193">
        <f t="shared" si="33"/>
        <v>0</v>
      </c>
      <c r="DH34" s="193">
        <f t="shared" si="34"/>
        <v>0</v>
      </c>
      <c r="DK34" s="193">
        <f t="shared" si="35"/>
        <v>0</v>
      </c>
      <c r="DN34" s="193">
        <f t="shared" si="36"/>
        <v>0</v>
      </c>
      <c r="DQ34" s="193">
        <f t="shared" si="37"/>
        <v>0</v>
      </c>
      <c r="DT34" s="193">
        <f t="shared" si="38"/>
        <v>0</v>
      </c>
      <c r="DW34" s="193">
        <f t="shared" si="39"/>
        <v>0</v>
      </c>
      <c r="DZ34" s="193"/>
      <c r="EA34" s="193"/>
      <c r="EB34" s="228">
        <f t="shared" si="40"/>
        <v>0</v>
      </c>
      <c r="EC34" s="228">
        <f t="shared" si="41"/>
        <v>0</v>
      </c>
      <c r="ED34" s="193">
        <f t="shared" si="42"/>
        <v>0</v>
      </c>
      <c r="EE34" s="194">
        <f t="shared" si="43"/>
        <v>0</v>
      </c>
      <c r="EG34" s="228">
        <f t="shared" si="44"/>
        <v>0</v>
      </c>
      <c r="EH34" s="193">
        <f t="shared" si="45"/>
        <v>0</v>
      </c>
      <c r="EI34" s="194">
        <f t="shared" si="46"/>
        <v>0</v>
      </c>
      <c r="EJ34" s="194"/>
      <c r="EK34" s="228">
        <f t="shared" si="47"/>
        <v>0</v>
      </c>
      <c r="EL34" s="228">
        <f t="shared" si="48"/>
        <v>0</v>
      </c>
      <c r="EM34" s="228">
        <f t="shared" si="49"/>
        <v>0</v>
      </c>
      <c r="EN34" s="194">
        <f t="shared" si="50"/>
        <v>0</v>
      </c>
      <c r="EP34" s="193"/>
    </row>
    <row r="35" spans="1:146" x14ac:dyDescent="0.2">
      <c r="A35" s="225">
        <f t="shared" si="51"/>
        <v>44068</v>
      </c>
      <c r="B35" s="193">
        <v>0</v>
      </c>
      <c r="C35" s="194">
        <v>5.9999999999999995E-4</v>
      </c>
      <c r="D35" s="193">
        <f t="shared" si="0"/>
        <v>0</v>
      </c>
      <c r="G35" s="193">
        <f t="shared" si="1"/>
        <v>0</v>
      </c>
      <c r="J35" s="193">
        <f t="shared" si="2"/>
        <v>0</v>
      </c>
      <c r="M35" s="193">
        <f t="shared" si="3"/>
        <v>0</v>
      </c>
      <c r="P35" s="193">
        <f t="shared" si="4"/>
        <v>0</v>
      </c>
      <c r="S35" s="193">
        <f t="shared" si="5"/>
        <v>0</v>
      </c>
      <c r="V35" s="193">
        <f t="shared" si="6"/>
        <v>0</v>
      </c>
      <c r="Y35" s="193">
        <f t="shared" si="7"/>
        <v>0</v>
      </c>
      <c r="AB35" s="193">
        <f t="shared" si="8"/>
        <v>0</v>
      </c>
      <c r="AE35" s="193">
        <v>0</v>
      </c>
      <c r="AH35" s="193">
        <v>0</v>
      </c>
      <c r="AI35" s="226"/>
      <c r="AJ35" s="227"/>
      <c r="AK35" s="193">
        <f t="shared" si="9"/>
        <v>0</v>
      </c>
      <c r="AL35" s="226"/>
      <c r="AM35" s="227"/>
      <c r="AN35" s="193">
        <f t="shared" si="10"/>
        <v>0</v>
      </c>
      <c r="AO35" s="226"/>
      <c r="AP35" s="227"/>
      <c r="AQ35" s="193">
        <f t="shared" si="11"/>
        <v>0</v>
      </c>
      <c r="AR35" s="226"/>
      <c r="AS35" s="227"/>
      <c r="AT35" s="193">
        <f t="shared" si="12"/>
        <v>0</v>
      </c>
      <c r="AW35" s="193">
        <f t="shared" si="13"/>
        <v>0</v>
      </c>
      <c r="AZ35" s="193">
        <f t="shared" si="14"/>
        <v>0</v>
      </c>
      <c r="BC35" s="193">
        <f t="shared" si="15"/>
        <v>0</v>
      </c>
      <c r="BF35" s="193">
        <f t="shared" si="16"/>
        <v>0</v>
      </c>
      <c r="BI35" s="193">
        <f t="shared" si="17"/>
        <v>0</v>
      </c>
      <c r="BL35" s="193">
        <f t="shared" si="18"/>
        <v>0</v>
      </c>
      <c r="BO35" s="193">
        <f t="shared" si="19"/>
        <v>0</v>
      </c>
      <c r="BR35" s="193">
        <f t="shared" si="20"/>
        <v>0</v>
      </c>
      <c r="BU35" s="193">
        <f t="shared" si="21"/>
        <v>0</v>
      </c>
      <c r="BX35" s="193">
        <f t="shared" si="22"/>
        <v>0</v>
      </c>
      <c r="CA35" s="193">
        <f t="shared" si="23"/>
        <v>0</v>
      </c>
      <c r="CD35" s="193">
        <f t="shared" si="24"/>
        <v>0</v>
      </c>
      <c r="CG35" s="193">
        <f t="shared" si="25"/>
        <v>0</v>
      </c>
      <c r="CJ35" s="193">
        <f t="shared" si="26"/>
        <v>0</v>
      </c>
      <c r="CM35" s="193">
        <f t="shared" si="27"/>
        <v>0</v>
      </c>
      <c r="CP35" s="193">
        <f t="shared" si="28"/>
        <v>0</v>
      </c>
      <c r="CS35" s="193">
        <f t="shared" si="29"/>
        <v>0</v>
      </c>
      <c r="CV35" s="193">
        <f t="shared" si="30"/>
        <v>0</v>
      </c>
      <c r="CY35" s="193">
        <f t="shared" si="31"/>
        <v>0</v>
      </c>
      <c r="DB35" s="193">
        <f t="shared" si="32"/>
        <v>0</v>
      </c>
      <c r="DE35" s="193">
        <f t="shared" si="33"/>
        <v>0</v>
      </c>
      <c r="DH35" s="193">
        <f t="shared" si="34"/>
        <v>0</v>
      </c>
      <c r="DK35" s="193">
        <f t="shared" si="35"/>
        <v>0</v>
      </c>
      <c r="DN35" s="193">
        <f t="shared" si="36"/>
        <v>0</v>
      </c>
      <c r="DQ35" s="193">
        <f t="shared" si="37"/>
        <v>0</v>
      </c>
      <c r="DT35" s="193">
        <f t="shared" si="38"/>
        <v>0</v>
      </c>
      <c r="DW35" s="193">
        <f t="shared" si="39"/>
        <v>0</v>
      </c>
      <c r="DZ35" s="193"/>
      <c r="EA35" s="193"/>
      <c r="EB35" s="228">
        <f t="shared" si="40"/>
        <v>0</v>
      </c>
      <c r="EC35" s="228">
        <f t="shared" si="41"/>
        <v>0</v>
      </c>
      <c r="ED35" s="193">
        <f t="shared" si="42"/>
        <v>0</v>
      </c>
      <c r="EE35" s="194">
        <f t="shared" si="43"/>
        <v>0</v>
      </c>
      <c r="EG35" s="228">
        <f t="shared" si="44"/>
        <v>0</v>
      </c>
      <c r="EH35" s="193">
        <f t="shared" si="45"/>
        <v>0</v>
      </c>
      <c r="EI35" s="194">
        <f t="shared" si="46"/>
        <v>0</v>
      </c>
      <c r="EJ35" s="194"/>
      <c r="EK35" s="228">
        <f t="shared" si="47"/>
        <v>0</v>
      </c>
      <c r="EL35" s="228">
        <f t="shared" si="48"/>
        <v>0</v>
      </c>
      <c r="EM35" s="228">
        <f t="shared" si="49"/>
        <v>0</v>
      </c>
      <c r="EN35" s="194">
        <f t="shared" si="50"/>
        <v>0</v>
      </c>
      <c r="EP35" s="193"/>
    </row>
    <row r="36" spans="1:146" x14ac:dyDescent="0.2">
      <c r="A36" s="225">
        <f t="shared" si="51"/>
        <v>44069</v>
      </c>
      <c r="B36" s="193">
        <v>0</v>
      </c>
      <c r="C36" s="194">
        <v>7.000000000000001E-4</v>
      </c>
      <c r="D36" s="193">
        <f t="shared" si="0"/>
        <v>0</v>
      </c>
      <c r="G36" s="193">
        <f t="shared" si="1"/>
        <v>0</v>
      </c>
      <c r="J36" s="193">
        <f t="shared" si="2"/>
        <v>0</v>
      </c>
      <c r="M36" s="193">
        <f t="shared" si="3"/>
        <v>0</v>
      </c>
      <c r="P36" s="193">
        <f t="shared" si="4"/>
        <v>0</v>
      </c>
      <c r="S36" s="193">
        <f t="shared" si="5"/>
        <v>0</v>
      </c>
      <c r="V36" s="193">
        <f t="shared" si="6"/>
        <v>0</v>
      </c>
      <c r="Y36" s="193">
        <f t="shared" si="7"/>
        <v>0</v>
      </c>
      <c r="AB36" s="193">
        <f t="shared" si="8"/>
        <v>0</v>
      </c>
      <c r="AE36" s="193">
        <v>0</v>
      </c>
      <c r="AH36" s="193">
        <v>0</v>
      </c>
      <c r="AI36" s="226"/>
      <c r="AJ36" s="227"/>
      <c r="AK36" s="193">
        <f t="shared" si="9"/>
        <v>0</v>
      </c>
      <c r="AL36" s="226"/>
      <c r="AM36" s="227"/>
      <c r="AN36" s="193">
        <f t="shared" si="10"/>
        <v>0</v>
      </c>
      <c r="AO36" s="226"/>
      <c r="AP36" s="227"/>
      <c r="AQ36" s="193">
        <f t="shared" si="11"/>
        <v>0</v>
      </c>
      <c r="AR36" s="226"/>
      <c r="AS36" s="227"/>
      <c r="AT36" s="193">
        <f t="shared" si="12"/>
        <v>0</v>
      </c>
      <c r="AW36" s="193">
        <f t="shared" si="13"/>
        <v>0</v>
      </c>
      <c r="AZ36" s="193">
        <f t="shared" si="14"/>
        <v>0</v>
      </c>
      <c r="BC36" s="193">
        <f t="shared" si="15"/>
        <v>0</v>
      </c>
      <c r="BF36" s="193">
        <f t="shared" si="16"/>
        <v>0</v>
      </c>
      <c r="BI36" s="193">
        <f t="shared" si="17"/>
        <v>0</v>
      </c>
      <c r="BL36" s="193">
        <f t="shared" si="18"/>
        <v>0</v>
      </c>
      <c r="BO36" s="193">
        <f t="shared" si="19"/>
        <v>0</v>
      </c>
      <c r="BR36" s="193">
        <f t="shared" si="20"/>
        <v>0</v>
      </c>
      <c r="BU36" s="193">
        <f t="shared" si="21"/>
        <v>0</v>
      </c>
      <c r="BX36" s="193">
        <f t="shared" si="22"/>
        <v>0</v>
      </c>
      <c r="CA36" s="193">
        <f t="shared" si="23"/>
        <v>0</v>
      </c>
      <c r="CD36" s="193">
        <f t="shared" si="24"/>
        <v>0</v>
      </c>
      <c r="CG36" s="193">
        <f t="shared" si="25"/>
        <v>0</v>
      </c>
      <c r="CJ36" s="193">
        <f t="shared" si="26"/>
        <v>0</v>
      </c>
      <c r="CM36" s="193">
        <f t="shared" si="27"/>
        <v>0</v>
      </c>
      <c r="CP36" s="193">
        <f t="shared" si="28"/>
        <v>0</v>
      </c>
      <c r="CS36" s="193">
        <f t="shared" si="29"/>
        <v>0</v>
      </c>
      <c r="CV36" s="193">
        <f t="shared" si="30"/>
        <v>0</v>
      </c>
      <c r="CY36" s="193">
        <f t="shared" si="31"/>
        <v>0</v>
      </c>
      <c r="DB36" s="193">
        <f t="shared" si="32"/>
        <v>0</v>
      </c>
      <c r="DE36" s="193">
        <f t="shared" si="33"/>
        <v>0</v>
      </c>
      <c r="DH36" s="193">
        <f t="shared" si="34"/>
        <v>0</v>
      </c>
      <c r="DK36" s="193">
        <f t="shared" si="35"/>
        <v>0</v>
      </c>
      <c r="DN36" s="193">
        <f t="shared" si="36"/>
        <v>0</v>
      </c>
      <c r="DQ36" s="193">
        <f t="shared" si="37"/>
        <v>0</v>
      </c>
      <c r="DT36" s="193">
        <f t="shared" si="38"/>
        <v>0</v>
      </c>
      <c r="DW36" s="193">
        <f t="shared" si="39"/>
        <v>0</v>
      </c>
      <c r="DZ36" s="193"/>
      <c r="EA36" s="193"/>
      <c r="EB36" s="228">
        <f t="shared" si="40"/>
        <v>0</v>
      </c>
      <c r="EC36" s="228">
        <f t="shared" si="41"/>
        <v>0</v>
      </c>
      <c r="ED36" s="193">
        <f t="shared" si="42"/>
        <v>0</v>
      </c>
      <c r="EE36" s="194">
        <f t="shared" si="43"/>
        <v>0</v>
      </c>
      <c r="EG36" s="228">
        <f t="shared" si="44"/>
        <v>0</v>
      </c>
      <c r="EH36" s="193">
        <f t="shared" si="45"/>
        <v>0</v>
      </c>
      <c r="EI36" s="194">
        <f t="shared" si="46"/>
        <v>0</v>
      </c>
      <c r="EJ36" s="194"/>
      <c r="EK36" s="228">
        <f t="shared" si="47"/>
        <v>0</v>
      </c>
      <c r="EL36" s="228">
        <f t="shared" si="48"/>
        <v>0</v>
      </c>
      <c r="EM36" s="228">
        <f t="shared" si="49"/>
        <v>0</v>
      </c>
      <c r="EN36" s="194">
        <f t="shared" si="50"/>
        <v>0</v>
      </c>
      <c r="EP36" s="193"/>
    </row>
    <row r="37" spans="1:146" x14ac:dyDescent="0.2">
      <c r="A37" s="225">
        <f t="shared" si="51"/>
        <v>44070</v>
      </c>
      <c r="B37" s="193">
        <v>0</v>
      </c>
      <c r="C37" s="194">
        <v>8.0000000000000004E-4</v>
      </c>
      <c r="D37" s="193">
        <f t="shared" si="0"/>
        <v>0</v>
      </c>
      <c r="G37" s="193">
        <f t="shared" si="1"/>
        <v>0</v>
      </c>
      <c r="J37" s="193">
        <f t="shared" si="2"/>
        <v>0</v>
      </c>
      <c r="M37" s="193">
        <f t="shared" si="3"/>
        <v>0</v>
      </c>
      <c r="P37" s="193">
        <f t="shared" si="4"/>
        <v>0</v>
      </c>
      <c r="S37" s="193">
        <f t="shared" si="5"/>
        <v>0</v>
      </c>
      <c r="V37" s="193">
        <f t="shared" si="6"/>
        <v>0</v>
      </c>
      <c r="Y37" s="193">
        <f t="shared" si="7"/>
        <v>0</v>
      </c>
      <c r="AB37" s="193">
        <f t="shared" si="8"/>
        <v>0</v>
      </c>
      <c r="AE37" s="193">
        <v>0</v>
      </c>
      <c r="AH37" s="193">
        <v>0</v>
      </c>
      <c r="AI37" s="226"/>
      <c r="AJ37" s="227"/>
      <c r="AK37" s="193">
        <f t="shared" si="9"/>
        <v>0</v>
      </c>
      <c r="AL37" s="226"/>
      <c r="AM37" s="227"/>
      <c r="AN37" s="193">
        <f t="shared" si="10"/>
        <v>0</v>
      </c>
      <c r="AO37" s="226"/>
      <c r="AP37" s="227"/>
      <c r="AQ37" s="193">
        <f t="shared" si="11"/>
        <v>0</v>
      </c>
      <c r="AR37" s="226"/>
      <c r="AS37" s="227"/>
      <c r="AT37" s="193">
        <f t="shared" si="12"/>
        <v>0</v>
      </c>
      <c r="AW37" s="193">
        <f t="shared" si="13"/>
        <v>0</v>
      </c>
      <c r="AZ37" s="193">
        <f t="shared" si="14"/>
        <v>0</v>
      </c>
      <c r="BC37" s="193">
        <f t="shared" si="15"/>
        <v>0</v>
      </c>
      <c r="BF37" s="193">
        <f t="shared" si="16"/>
        <v>0</v>
      </c>
      <c r="BI37" s="193">
        <f t="shared" si="17"/>
        <v>0</v>
      </c>
      <c r="BL37" s="193">
        <f t="shared" si="18"/>
        <v>0</v>
      </c>
      <c r="BO37" s="193">
        <f t="shared" si="19"/>
        <v>0</v>
      </c>
      <c r="BR37" s="193">
        <f t="shared" si="20"/>
        <v>0</v>
      </c>
      <c r="BU37" s="193">
        <f t="shared" si="21"/>
        <v>0</v>
      </c>
      <c r="BX37" s="193">
        <f t="shared" si="22"/>
        <v>0</v>
      </c>
      <c r="CA37" s="193">
        <f t="shared" si="23"/>
        <v>0</v>
      </c>
      <c r="CD37" s="193">
        <f t="shared" si="24"/>
        <v>0</v>
      </c>
      <c r="CG37" s="193">
        <f t="shared" si="25"/>
        <v>0</v>
      </c>
      <c r="CJ37" s="193">
        <f t="shared" si="26"/>
        <v>0</v>
      </c>
      <c r="CM37" s="193">
        <f t="shared" si="27"/>
        <v>0</v>
      </c>
      <c r="CP37" s="193">
        <f t="shared" si="28"/>
        <v>0</v>
      </c>
      <c r="CS37" s="193">
        <f t="shared" si="29"/>
        <v>0</v>
      </c>
      <c r="CV37" s="193">
        <f t="shared" si="30"/>
        <v>0</v>
      </c>
      <c r="CY37" s="193">
        <f t="shared" si="31"/>
        <v>0</v>
      </c>
      <c r="DB37" s="193">
        <f t="shared" si="32"/>
        <v>0</v>
      </c>
      <c r="DE37" s="193">
        <f t="shared" si="33"/>
        <v>0</v>
      </c>
      <c r="DH37" s="193">
        <f t="shared" si="34"/>
        <v>0</v>
      </c>
      <c r="DK37" s="193">
        <f t="shared" si="35"/>
        <v>0</v>
      </c>
      <c r="DN37" s="193">
        <f t="shared" si="36"/>
        <v>0</v>
      </c>
      <c r="DQ37" s="193">
        <f t="shared" si="37"/>
        <v>0</v>
      </c>
      <c r="DT37" s="193">
        <f t="shared" si="38"/>
        <v>0</v>
      </c>
      <c r="DW37" s="193">
        <f t="shared" si="39"/>
        <v>0</v>
      </c>
      <c r="DZ37" s="193"/>
      <c r="EA37" s="193"/>
      <c r="EB37" s="228">
        <f t="shared" si="40"/>
        <v>0</v>
      </c>
      <c r="EC37" s="228">
        <f t="shared" si="41"/>
        <v>0</v>
      </c>
      <c r="ED37" s="193">
        <f t="shared" si="42"/>
        <v>0</v>
      </c>
      <c r="EE37" s="194">
        <f t="shared" si="43"/>
        <v>0</v>
      </c>
      <c r="EG37" s="228">
        <f t="shared" si="44"/>
        <v>0</v>
      </c>
      <c r="EH37" s="193">
        <f t="shared" si="45"/>
        <v>0</v>
      </c>
      <c r="EI37" s="194">
        <f t="shared" si="46"/>
        <v>0</v>
      </c>
      <c r="EJ37" s="194"/>
      <c r="EK37" s="228">
        <f t="shared" si="47"/>
        <v>0</v>
      </c>
      <c r="EL37" s="228">
        <f t="shared" si="48"/>
        <v>0</v>
      </c>
      <c r="EM37" s="228">
        <f t="shared" si="49"/>
        <v>0</v>
      </c>
      <c r="EN37" s="194">
        <f t="shared" si="50"/>
        <v>0</v>
      </c>
      <c r="EP37" s="193"/>
    </row>
    <row r="38" spans="1:146" x14ac:dyDescent="0.2">
      <c r="A38" s="225">
        <f t="shared" si="51"/>
        <v>44071</v>
      </c>
      <c r="B38" s="193">
        <v>0</v>
      </c>
      <c r="C38" s="194">
        <v>8.0000000000000004E-4</v>
      </c>
      <c r="D38" s="193">
        <f t="shared" si="0"/>
        <v>0</v>
      </c>
      <c r="G38" s="193">
        <f t="shared" si="1"/>
        <v>0</v>
      </c>
      <c r="J38" s="193">
        <f t="shared" si="2"/>
        <v>0</v>
      </c>
      <c r="M38" s="193">
        <f t="shared" si="3"/>
        <v>0</v>
      </c>
      <c r="P38" s="193">
        <f t="shared" si="4"/>
        <v>0</v>
      </c>
      <c r="S38" s="193">
        <f t="shared" si="5"/>
        <v>0</v>
      </c>
      <c r="V38" s="193">
        <f t="shared" si="6"/>
        <v>0</v>
      </c>
      <c r="Y38" s="193">
        <f t="shared" si="7"/>
        <v>0</v>
      </c>
      <c r="AB38" s="193">
        <f t="shared" si="8"/>
        <v>0</v>
      </c>
      <c r="AE38" s="193">
        <v>0</v>
      </c>
      <c r="AH38" s="193">
        <v>0</v>
      </c>
      <c r="AI38" s="226"/>
      <c r="AJ38" s="227"/>
      <c r="AK38" s="193">
        <f t="shared" si="9"/>
        <v>0</v>
      </c>
      <c r="AL38" s="226"/>
      <c r="AM38" s="227"/>
      <c r="AN38" s="193">
        <f t="shared" si="10"/>
        <v>0</v>
      </c>
      <c r="AO38" s="226"/>
      <c r="AP38" s="227"/>
      <c r="AQ38" s="193">
        <f t="shared" si="11"/>
        <v>0</v>
      </c>
      <c r="AR38" s="226"/>
      <c r="AS38" s="227"/>
      <c r="AT38" s="193">
        <f t="shared" si="12"/>
        <v>0</v>
      </c>
      <c r="AW38" s="193">
        <f t="shared" si="13"/>
        <v>0</v>
      </c>
      <c r="AZ38" s="193">
        <f t="shared" si="14"/>
        <v>0</v>
      </c>
      <c r="BC38" s="193">
        <f t="shared" si="15"/>
        <v>0</v>
      </c>
      <c r="BF38" s="193">
        <f t="shared" si="16"/>
        <v>0</v>
      </c>
      <c r="BI38" s="193">
        <f t="shared" si="17"/>
        <v>0</v>
      </c>
      <c r="BL38" s="193">
        <f t="shared" si="18"/>
        <v>0</v>
      </c>
      <c r="BO38" s="193">
        <f t="shared" si="19"/>
        <v>0</v>
      </c>
      <c r="BR38" s="193">
        <f t="shared" si="20"/>
        <v>0</v>
      </c>
      <c r="BU38" s="193">
        <f t="shared" si="21"/>
        <v>0</v>
      </c>
      <c r="BX38" s="193">
        <f t="shared" si="22"/>
        <v>0</v>
      </c>
      <c r="CA38" s="193">
        <f t="shared" si="23"/>
        <v>0</v>
      </c>
      <c r="CD38" s="193">
        <f t="shared" si="24"/>
        <v>0</v>
      </c>
      <c r="CG38" s="193">
        <f t="shared" si="25"/>
        <v>0</v>
      </c>
      <c r="CJ38" s="193">
        <f t="shared" si="26"/>
        <v>0</v>
      </c>
      <c r="CM38" s="193">
        <f t="shared" si="27"/>
        <v>0</v>
      </c>
      <c r="CP38" s="193">
        <f t="shared" si="28"/>
        <v>0</v>
      </c>
      <c r="CS38" s="193">
        <f t="shared" si="29"/>
        <v>0</v>
      </c>
      <c r="CV38" s="193">
        <f t="shared" si="30"/>
        <v>0</v>
      </c>
      <c r="CY38" s="193">
        <f t="shared" si="31"/>
        <v>0</v>
      </c>
      <c r="DB38" s="193">
        <f t="shared" si="32"/>
        <v>0</v>
      </c>
      <c r="DE38" s="193">
        <f t="shared" si="33"/>
        <v>0</v>
      </c>
      <c r="DH38" s="193">
        <f t="shared" si="34"/>
        <v>0</v>
      </c>
      <c r="DK38" s="193">
        <f t="shared" si="35"/>
        <v>0</v>
      </c>
      <c r="DN38" s="193">
        <f t="shared" si="36"/>
        <v>0</v>
      </c>
      <c r="DQ38" s="193">
        <f t="shared" si="37"/>
        <v>0</v>
      </c>
      <c r="DT38" s="193">
        <f t="shared" si="38"/>
        <v>0</v>
      </c>
      <c r="DW38" s="193">
        <f t="shared" si="39"/>
        <v>0</v>
      </c>
      <c r="DZ38" s="193"/>
      <c r="EA38" s="193"/>
      <c r="EB38" s="228">
        <f t="shared" si="40"/>
        <v>0</v>
      </c>
      <c r="EC38" s="228">
        <f t="shared" si="41"/>
        <v>0</v>
      </c>
      <c r="ED38" s="193">
        <f t="shared" si="42"/>
        <v>0</v>
      </c>
      <c r="EE38" s="194">
        <f t="shared" si="43"/>
        <v>0</v>
      </c>
      <c r="EG38" s="228">
        <f t="shared" si="44"/>
        <v>0</v>
      </c>
      <c r="EH38" s="193">
        <f t="shared" si="45"/>
        <v>0</v>
      </c>
      <c r="EI38" s="194">
        <f t="shared" si="46"/>
        <v>0</v>
      </c>
      <c r="EJ38" s="194"/>
      <c r="EK38" s="228">
        <f t="shared" si="47"/>
        <v>0</v>
      </c>
      <c r="EL38" s="228">
        <f t="shared" si="48"/>
        <v>0</v>
      </c>
      <c r="EM38" s="228">
        <f t="shared" si="49"/>
        <v>0</v>
      </c>
      <c r="EN38" s="194">
        <f t="shared" si="50"/>
        <v>0</v>
      </c>
      <c r="EP38" s="193"/>
    </row>
    <row r="39" spans="1:146" x14ac:dyDescent="0.2">
      <c r="A39" s="225">
        <f t="shared" si="51"/>
        <v>44072</v>
      </c>
      <c r="B39" s="193">
        <v>0</v>
      </c>
      <c r="C39" s="194">
        <v>8.0000000000000004E-4</v>
      </c>
      <c r="D39" s="193">
        <f t="shared" si="0"/>
        <v>0</v>
      </c>
      <c r="G39" s="193">
        <f t="shared" si="1"/>
        <v>0</v>
      </c>
      <c r="J39" s="193">
        <f t="shared" si="2"/>
        <v>0</v>
      </c>
      <c r="M39" s="193">
        <f t="shared" si="3"/>
        <v>0</v>
      </c>
      <c r="P39" s="193">
        <f t="shared" si="4"/>
        <v>0</v>
      </c>
      <c r="S39" s="193">
        <f t="shared" si="5"/>
        <v>0</v>
      </c>
      <c r="V39" s="193">
        <f t="shared" si="6"/>
        <v>0</v>
      </c>
      <c r="Y39" s="193">
        <f t="shared" si="7"/>
        <v>0</v>
      </c>
      <c r="AB39" s="193">
        <f t="shared" si="8"/>
        <v>0</v>
      </c>
      <c r="AE39" s="193">
        <v>0</v>
      </c>
      <c r="AH39" s="193">
        <v>0</v>
      </c>
      <c r="AI39" s="226"/>
      <c r="AJ39" s="227"/>
      <c r="AK39" s="193">
        <f t="shared" si="9"/>
        <v>0</v>
      </c>
      <c r="AL39" s="226"/>
      <c r="AM39" s="227"/>
      <c r="AN39" s="193">
        <f t="shared" si="10"/>
        <v>0</v>
      </c>
      <c r="AO39" s="226"/>
      <c r="AP39" s="227"/>
      <c r="AQ39" s="193">
        <f t="shared" si="11"/>
        <v>0</v>
      </c>
      <c r="AR39" s="226"/>
      <c r="AS39" s="227"/>
      <c r="AT39" s="193">
        <f t="shared" si="12"/>
        <v>0</v>
      </c>
      <c r="AW39" s="193">
        <f t="shared" si="13"/>
        <v>0</v>
      </c>
      <c r="AZ39" s="193">
        <f t="shared" si="14"/>
        <v>0</v>
      </c>
      <c r="BC39" s="193">
        <f t="shared" si="15"/>
        <v>0</v>
      </c>
      <c r="BF39" s="193">
        <f t="shared" si="16"/>
        <v>0</v>
      </c>
      <c r="BI39" s="193">
        <f t="shared" si="17"/>
        <v>0</v>
      </c>
      <c r="BL39" s="193">
        <f t="shared" si="18"/>
        <v>0</v>
      </c>
      <c r="BO39" s="193">
        <f t="shared" si="19"/>
        <v>0</v>
      </c>
      <c r="BR39" s="193">
        <f t="shared" si="20"/>
        <v>0</v>
      </c>
      <c r="BU39" s="193">
        <f t="shared" si="21"/>
        <v>0</v>
      </c>
      <c r="BX39" s="193">
        <f t="shared" si="22"/>
        <v>0</v>
      </c>
      <c r="CA39" s="193">
        <f t="shared" si="23"/>
        <v>0</v>
      </c>
      <c r="CD39" s="193">
        <f t="shared" si="24"/>
        <v>0</v>
      </c>
      <c r="CG39" s="193">
        <f t="shared" si="25"/>
        <v>0</v>
      </c>
      <c r="CJ39" s="193">
        <f t="shared" si="26"/>
        <v>0</v>
      </c>
      <c r="CM39" s="193">
        <f t="shared" si="27"/>
        <v>0</v>
      </c>
      <c r="CP39" s="193">
        <f t="shared" si="28"/>
        <v>0</v>
      </c>
      <c r="CS39" s="193">
        <f t="shared" si="29"/>
        <v>0</v>
      </c>
      <c r="CV39" s="193">
        <f t="shared" si="30"/>
        <v>0</v>
      </c>
      <c r="CY39" s="193">
        <f t="shared" si="31"/>
        <v>0</v>
      </c>
      <c r="DB39" s="193">
        <f t="shared" si="32"/>
        <v>0</v>
      </c>
      <c r="DE39" s="193">
        <f t="shared" si="33"/>
        <v>0</v>
      </c>
      <c r="DH39" s="193">
        <f t="shared" si="34"/>
        <v>0</v>
      </c>
      <c r="DK39" s="193">
        <f t="shared" si="35"/>
        <v>0</v>
      </c>
      <c r="DN39" s="193">
        <f t="shared" si="36"/>
        <v>0</v>
      </c>
      <c r="DQ39" s="193">
        <f t="shared" si="37"/>
        <v>0</v>
      </c>
      <c r="DT39" s="193">
        <f t="shared" si="38"/>
        <v>0</v>
      </c>
      <c r="DW39" s="193">
        <f t="shared" si="39"/>
        <v>0</v>
      </c>
      <c r="DZ39" s="193"/>
      <c r="EA39" s="193"/>
      <c r="EB39" s="228">
        <f t="shared" si="40"/>
        <v>0</v>
      </c>
      <c r="EC39" s="228">
        <f t="shared" si="41"/>
        <v>0</v>
      </c>
      <c r="ED39" s="193">
        <f t="shared" si="42"/>
        <v>0</v>
      </c>
      <c r="EE39" s="194">
        <f t="shared" si="43"/>
        <v>0</v>
      </c>
      <c r="EG39" s="228">
        <f t="shared" si="44"/>
        <v>0</v>
      </c>
      <c r="EH39" s="193">
        <f t="shared" si="45"/>
        <v>0</v>
      </c>
      <c r="EI39" s="194">
        <f t="shared" si="46"/>
        <v>0</v>
      </c>
      <c r="EJ39" s="194"/>
      <c r="EK39" s="228">
        <f t="shared" si="47"/>
        <v>0</v>
      </c>
      <c r="EL39" s="228">
        <f t="shared" si="48"/>
        <v>0</v>
      </c>
      <c r="EM39" s="228">
        <f t="shared" si="49"/>
        <v>0</v>
      </c>
      <c r="EN39" s="194">
        <f t="shared" si="50"/>
        <v>0</v>
      </c>
      <c r="EP39" s="193"/>
    </row>
    <row r="40" spans="1:146" x14ac:dyDescent="0.2">
      <c r="A40" s="225">
        <f t="shared" si="51"/>
        <v>44073</v>
      </c>
      <c r="B40" s="193">
        <v>0</v>
      </c>
      <c r="C40" s="194">
        <v>8.0000000000000004E-4</v>
      </c>
      <c r="D40" s="193">
        <f t="shared" si="0"/>
        <v>0</v>
      </c>
      <c r="G40" s="193">
        <f t="shared" si="1"/>
        <v>0</v>
      </c>
      <c r="J40" s="193">
        <f t="shared" si="2"/>
        <v>0</v>
      </c>
      <c r="M40" s="193">
        <f t="shared" si="3"/>
        <v>0</v>
      </c>
      <c r="P40" s="193">
        <f t="shared" si="4"/>
        <v>0</v>
      </c>
      <c r="S40" s="193">
        <f t="shared" si="5"/>
        <v>0</v>
      </c>
      <c r="V40" s="193">
        <f t="shared" si="6"/>
        <v>0</v>
      </c>
      <c r="Y40" s="193">
        <f t="shared" si="7"/>
        <v>0</v>
      </c>
      <c r="AB40" s="193">
        <f t="shared" si="8"/>
        <v>0</v>
      </c>
      <c r="AE40" s="193">
        <v>0</v>
      </c>
      <c r="AH40" s="193">
        <v>0</v>
      </c>
      <c r="AI40" s="226"/>
      <c r="AJ40" s="227"/>
      <c r="AK40" s="193">
        <f t="shared" si="9"/>
        <v>0</v>
      </c>
      <c r="AL40" s="226"/>
      <c r="AM40" s="227"/>
      <c r="AN40" s="193">
        <f t="shared" si="10"/>
        <v>0</v>
      </c>
      <c r="AO40" s="226"/>
      <c r="AP40" s="227"/>
      <c r="AQ40" s="193">
        <f t="shared" si="11"/>
        <v>0</v>
      </c>
      <c r="AR40" s="226"/>
      <c r="AS40" s="227"/>
      <c r="AT40" s="193">
        <f t="shared" si="12"/>
        <v>0</v>
      </c>
      <c r="AW40" s="193">
        <f t="shared" si="13"/>
        <v>0</v>
      </c>
      <c r="AZ40" s="193">
        <f t="shared" si="14"/>
        <v>0</v>
      </c>
      <c r="BC40" s="193">
        <f t="shared" si="15"/>
        <v>0</v>
      </c>
      <c r="BF40" s="193">
        <f t="shared" si="16"/>
        <v>0</v>
      </c>
      <c r="BI40" s="193">
        <f t="shared" si="17"/>
        <v>0</v>
      </c>
      <c r="BL40" s="193">
        <f t="shared" si="18"/>
        <v>0</v>
      </c>
      <c r="BO40" s="193">
        <f t="shared" si="19"/>
        <v>0</v>
      </c>
      <c r="BR40" s="193">
        <f t="shared" si="20"/>
        <v>0</v>
      </c>
      <c r="BU40" s="193">
        <f t="shared" si="21"/>
        <v>0</v>
      </c>
      <c r="BX40" s="193">
        <f t="shared" si="22"/>
        <v>0</v>
      </c>
      <c r="CA40" s="193">
        <f t="shared" si="23"/>
        <v>0</v>
      </c>
      <c r="CD40" s="193">
        <f t="shared" si="24"/>
        <v>0</v>
      </c>
      <c r="CG40" s="193">
        <f t="shared" si="25"/>
        <v>0</v>
      </c>
      <c r="CJ40" s="193">
        <f t="shared" si="26"/>
        <v>0</v>
      </c>
      <c r="CM40" s="193">
        <f t="shared" si="27"/>
        <v>0</v>
      </c>
      <c r="CP40" s="193">
        <f t="shared" si="28"/>
        <v>0</v>
      </c>
      <c r="CS40" s="193">
        <f t="shared" si="29"/>
        <v>0</v>
      </c>
      <c r="CV40" s="193">
        <f t="shared" si="30"/>
        <v>0</v>
      </c>
      <c r="CY40" s="193">
        <f t="shared" si="31"/>
        <v>0</v>
      </c>
      <c r="DB40" s="193">
        <f t="shared" si="32"/>
        <v>0</v>
      </c>
      <c r="DE40" s="193">
        <f t="shared" si="33"/>
        <v>0</v>
      </c>
      <c r="DH40" s="193">
        <f t="shared" si="34"/>
        <v>0</v>
      </c>
      <c r="DK40" s="193">
        <f t="shared" si="35"/>
        <v>0</v>
      </c>
      <c r="DN40" s="193">
        <f t="shared" si="36"/>
        <v>0</v>
      </c>
      <c r="DQ40" s="193">
        <f t="shared" si="37"/>
        <v>0</v>
      </c>
      <c r="DT40" s="193">
        <f t="shared" si="38"/>
        <v>0</v>
      </c>
      <c r="DW40" s="193">
        <f t="shared" si="39"/>
        <v>0</v>
      </c>
      <c r="DZ40" s="191"/>
      <c r="EA40" s="193"/>
      <c r="EB40" s="228">
        <f t="shared" si="40"/>
        <v>0</v>
      </c>
      <c r="EC40" s="228">
        <f t="shared" si="41"/>
        <v>0</v>
      </c>
      <c r="ED40" s="193">
        <f t="shared" si="42"/>
        <v>0</v>
      </c>
      <c r="EE40" s="194">
        <f t="shared" si="43"/>
        <v>0</v>
      </c>
      <c r="EG40" s="228">
        <f t="shared" si="44"/>
        <v>0</v>
      </c>
      <c r="EH40" s="193">
        <f t="shared" si="45"/>
        <v>0</v>
      </c>
      <c r="EI40" s="194">
        <f t="shared" si="46"/>
        <v>0</v>
      </c>
      <c r="EJ40" s="194"/>
      <c r="EK40" s="228">
        <f t="shared" si="47"/>
        <v>0</v>
      </c>
      <c r="EL40" s="228">
        <f t="shared" si="48"/>
        <v>0</v>
      </c>
      <c r="EM40" s="228">
        <f t="shared" si="49"/>
        <v>0</v>
      </c>
      <c r="EN40" s="194">
        <f t="shared" si="50"/>
        <v>0</v>
      </c>
      <c r="EP40" s="193"/>
    </row>
    <row r="41" spans="1:146" x14ac:dyDescent="0.2">
      <c r="A41" s="225">
        <f t="shared" si="51"/>
        <v>44074</v>
      </c>
      <c r="B41" s="193">
        <v>0</v>
      </c>
      <c r="C41" s="194">
        <v>8.0000000000000004E-4</v>
      </c>
      <c r="D41" s="193">
        <f t="shared" si="0"/>
        <v>0</v>
      </c>
      <c r="G41" s="193">
        <f t="shared" si="1"/>
        <v>0</v>
      </c>
      <c r="J41" s="193">
        <f t="shared" si="2"/>
        <v>0</v>
      </c>
      <c r="M41" s="193">
        <f t="shared" si="3"/>
        <v>0</v>
      </c>
      <c r="P41" s="193">
        <f t="shared" si="4"/>
        <v>0</v>
      </c>
      <c r="S41" s="193">
        <f t="shared" si="5"/>
        <v>0</v>
      </c>
      <c r="V41" s="193">
        <f t="shared" si="6"/>
        <v>0</v>
      </c>
      <c r="Y41" s="193">
        <f t="shared" si="7"/>
        <v>0</v>
      </c>
      <c r="AB41" s="193">
        <f t="shared" si="8"/>
        <v>0</v>
      </c>
      <c r="AE41" s="193">
        <v>0</v>
      </c>
      <c r="AH41" s="193">
        <v>0</v>
      </c>
      <c r="AI41" s="226"/>
      <c r="AJ41" s="227"/>
      <c r="AK41" s="193">
        <f t="shared" si="9"/>
        <v>0</v>
      </c>
      <c r="AL41" s="226"/>
      <c r="AM41" s="227"/>
      <c r="AN41" s="193">
        <f t="shared" si="10"/>
        <v>0</v>
      </c>
      <c r="AO41" s="226"/>
      <c r="AP41" s="227"/>
      <c r="AQ41" s="193">
        <f t="shared" si="11"/>
        <v>0</v>
      </c>
      <c r="AR41" s="226"/>
      <c r="AS41" s="227"/>
      <c r="AT41" s="193">
        <f t="shared" si="12"/>
        <v>0</v>
      </c>
      <c r="AW41" s="193">
        <f t="shared" si="13"/>
        <v>0</v>
      </c>
      <c r="AZ41" s="193">
        <f t="shared" si="14"/>
        <v>0</v>
      </c>
      <c r="BC41" s="193">
        <f t="shared" si="15"/>
        <v>0</v>
      </c>
      <c r="BF41" s="193">
        <f t="shared" si="16"/>
        <v>0</v>
      </c>
      <c r="BI41" s="193">
        <f t="shared" si="17"/>
        <v>0</v>
      </c>
      <c r="BL41" s="193">
        <f t="shared" si="18"/>
        <v>0</v>
      </c>
      <c r="BO41" s="193">
        <f t="shared" si="19"/>
        <v>0</v>
      </c>
      <c r="BR41" s="193">
        <f t="shared" si="20"/>
        <v>0</v>
      </c>
      <c r="BU41" s="193">
        <f t="shared" si="21"/>
        <v>0</v>
      </c>
      <c r="BX41" s="193">
        <f t="shared" si="22"/>
        <v>0</v>
      </c>
      <c r="CA41" s="193">
        <f t="shared" si="23"/>
        <v>0</v>
      </c>
      <c r="CD41" s="193">
        <f t="shared" si="24"/>
        <v>0</v>
      </c>
      <c r="CG41" s="193">
        <f t="shared" si="25"/>
        <v>0</v>
      </c>
      <c r="CJ41" s="193">
        <f t="shared" si="26"/>
        <v>0</v>
      </c>
      <c r="CM41" s="193">
        <f t="shared" si="27"/>
        <v>0</v>
      </c>
      <c r="CP41" s="193">
        <f t="shared" si="28"/>
        <v>0</v>
      </c>
      <c r="CS41" s="193">
        <f t="shared" si="29"/>
        <v>0</v>
      </c>
      <c r="CV41" s="193">
        <f t="shared" si="30"/>
        <v>0</v>
      </c>
      <c r="CY41" s="193">
        <f t="shared" si="31"/>
        <v>0</v>
      </c>
      <c r="DB41" s="193">
        <f t="shared" si="32"/>
        <v>0</v>
      </c>
      <c r="DE41" s="193">
        <f t="shared" si="33"/>
        <v>0</v>
      </c>
      <c r="DH41" s="193">
        <f t="shared" si="34"/>
        <v>0</v>
      </c>
      <c r="DK41" s="193">
        <f t="shared" si="35"/>
        <v>0</v>
      </c>
      <c r="DN41" s="193">
        <f t="shared" si="36"/>
        <v>0</v>
      </c>
      <c r="DQ41" s="193">
        <f t="shared" si="37"/>
        <v>0</v>
      </c>
      <c r="DT41" s="193">
        <f t="shared" si="38"/>
        <v>0</v>
      </c>
      <c r="DW41" s="193">
        <f t="shared" si="39"/>
        <v>0</v>
      </c>
      <c r="DZ41" s="191"/>
      <c r="EA41" s="193"/>
      <c r="EB41" s="228">
        <f t="shared" si="40"/>
        <v>0</v>
      </c>
      <c r="EC41" s="228">
        <f t="shared" si="41"/>
        <v>0</v>
      </c>
      <c r="ED41" s="193">
        <f t="shared" si="42"/>
        <v>0</v>
      </c>
      <c r="EE41" s="194">
        <f t="shared" si="43"/>
        <v>0</v>
      </c>
      <c r="EG41" s="228">
        <f t="shared" si="44"/>
        <v>0</v>
      </c>
      <c r="EH41" s="193">
        <f t="shared" si="45"/>
        <v>0</v>
      </c>
      <c r="EI41" s="194">
        <f t="shared" si="46"/>
        <v>0</v>
      </c>
      <c r="EJ41" s="194"/>
      <c r="EK41" s="228">
        <f t="shared" si="47"/>
        <v>0</v>
      </c>
      <c r="EL41" s="228">
        <f t="shared" si="48"/>
        <v>0</v>
      </c>
      <c r="EM41" s="228">
        <f t="shared" si="49"/>
        <v>0</v>
      </c>
      <c r="EN41" s="194">
        <f t="shared" si="50"/>
        <v>0</v>
      </c>
      <c r="EP41" s="193"/>
    </row>
    <row r="42" spans="1:146" x14ac:dyDescent="0.2">
      <c r="A42" s="229" t="s">
        <v>76</v>
      </c>
      <c r="D42" s="230">
        <f>SUM(D11:D41)</f>
        <v>1748.2666666666667</v>
      </c>
      <c r="G42" s="230">
        <f>SUM(G11:G41)</f>
        <v>0</v>
      </c>
      <c r="J42" s="230">
        <f>SUM(J11:J41)</f>
        <v>0</v>
      </c>
      <c r="M42" s="230">
        <f>SUM(M11:M41)</f>
        <v>0</v>
      </c>
      <c r="P42" s="230">
        <f>SUM(P11:P41)</f>
        <v>0</v>
      </c>
      <c r="S42" s="230">
        <f>SUM(S11:S41)</f>
        <v>0</v>
      </c>
      <c r="V42" s="230">
        <f>SUM(V11:V41)</f>
        <v>0</v>
      </c>
      <c r="Y42" s="230">
        <f>SUM(Y11:Y41)</f>
        <v>0</v>
      </c>
      <c r="AB42" s="230">
        <f>SUM(AB11:AB41)</f>
        <v>0</v>
      </c>
      <c r="AE42" s="230">
        <f>SUM(AE11:AE41)</f>
        <v>0</v>
      </c>
      <c r="AH42" s="230">
        <f>SUM(AH11:AH41)</f>
        <v>0</v>
      </c>
      <c r="AK42" s="230">
        <f>SUM(AK11:AK41)</f>
        <v>1827.7777777777781</v>
      </c>
      <c r="AN42" s="230">
        <f>SUM(AN11:AN41)</f>
        <v>0</v>
      </c>
      <c r="AQ42" s="230">
        <f>SUM(AQ11:AQ41)</f>
        <v>0</v>
      </c>
      <c r="AT42" s="230">
        <f>SUM(AT11:AT41)</f>
        <v>0</v>
      </c>
      <c r="AW42" s="230">
        <f>SUM(AW11:AW41)</f>
        <v>0</v>
      </c>
      <c r="AZ42" s="230">
        <f>SUM(AZ11:AZ41)</f>
        <v>0</v>
      </c>
      <c r="BC42" s="230">
        <f>SUM(BC11:BC41)</f>
        <v>0</v>
      </c>
      <c r="BF42" s="230">
        <f>SUM(BF11:BF41)</f>
        <v>0</v>
      </c>
      <c r="BI42" s="230">
        <f>SUM(BI11:BI41)</f>
        <v>0</v>
      </c>
      <c r="BL42" s="230">
        <f>SUM(BL11:BL41)</f>
        <v>0</v>
      </c>
      <c r="BO42" s="230">
        <f>SUM(BO11:BO41)</f>
        <v>0</v>
      </c>
      <c r="BR42" s="230">
        <f>SUM(BR11:BR41)</f>
        <v>0</v>
      </c>
      <c r="BU42" s="230">
        <f>SUM(BU11:BU41)</f>
        <v>0</v>
      </c>
      <c r="BX42" s="230">
        <f>SUM(BX11:BX41)</f>
        <v>0</v>
      </c>
      <c r="CA42" s="230">
        <f>SUM(CA11:CA41)</f>
        <v>0</v>
      </c>
      <c r="CD42" s="230">
        <f>SUM(CD11:CD41)</f>
        <v>0</v>
      </c>
      <c r="CG42" s="230">
        <f>SUM(CG11:CG41)</f>
        <v>0</v>
      </c>
      <c r="CJ42" s="230">
        <f>SUM(CJ11:CJ41)</f>
        <v>0</v>
      </c>
      <c r="CM42" s="230">
        <f>SUM(CM11:CM41)</f>
        <v>0</v>
      </c>
      <c r="CP42" s="230">
        <f>SUM(CP11:CP41)</f>
        <v>0</v>
      </c>
      <c r="CS42" s="230">
        <f>SUM(CS11:CS41)</f>
        <v>0</v>
      </c>
      <c r="CV42" s="230">
        <f>SUM(CV11:CV41)</f>
        <v>0</v>
      </c>
      <c r="CY42" s="230">
        <f>SUM(CY11:CY41)</f>
        <v>0</v>
      </c>
      <c r="DB42" s="230">
        <f>SUM(DB11:DB41)</f>
        <v>0</v>
      </c>
      <c r="DE42" s="230">
        <f>SUM(DE11:DE41)</f>
        <v>0</v>
      </c>
      <c r="DH42" s="230">
        <f>SUM(DH11:DH41)</f>
        <v>0</v>
      </c>
      <c r="DK42" s="230">
        <f>SUM(DK11:DK41)</f>
        <v>0</v>
      </c>
      <c r="DN42" s="230">
        <f>SUM(DN11:DN41)</f>
        <v>0</v>
      </c>
      <c r="DQ42" s="230">
        <f>SUM(DQ11:DQ41)</f>
        <v>0</v>
      </c>
      <c r="DT42" s="230">
        <f>SUM(DT11:DT41)</f>
        <v>0</v>
      </c>
      <c r="DW42" s="230">
        <f>SUM(DW11:DW41)</f>
        <v>0</v>
      </c>
      <c r="DZ42" s="191"/>
      <c r="EA42" s="191"/>
      <c r="EB42" s="193"/>
      <c r="EC42" s="193"/>
      <c r="ED42" s="230">
        <f>SUM(ED11:ED41)</f>
        <v>3576.0444444444461</v>
      </c>
      <c r="EE42" s="194"/>
      <c r="EG42" s="193"/>
      <c r="EH42" s="230">
        <f>SUM(EH11:EH41)</f>
        <v>0</v>
      </c>
      <c r="EI42" s="194"/>
      <c r="EJ42" s="194"/>
      <c r="EK42" s="193"/>
      <c r="EL42" s="193"/>
      <c r="EM42" s="230">
        <f>SUM(EM11:EM41)</f>
        <v>1827.7777777777781</v>
      </c>
      <c r="EN42" s="194"/>
    </row>
    <row r="44" spans="1:146" x14ac:dyDescent="0.2">
      <c r="EM44" s="231"/>
    </row>
    <row r="46" spans="1:146" x14ac:dyDescent="0.2">
      <c r="EM46" s="193"/>
    </row>
    <row r="48" spans="1:146" x14ac:dyDescent="0.2">
      <c r="EM48" s="19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2.75" x14ac:dyDescent="0.2"/>
  <cols>
    <col min="1" max="1" width="14.5703125" style="195" bestFit="1" customWidth="1"/>
    <col min="2" max="2" width="15.5703125" style="193" bestFit="1" customWidth="1"/>
    <col min="3" max="3" width="15.42578125" style="194" bestFit="1" customWidth="1"/>
    <col min="4" max="4" width="15.42578125" style="195" bestFit="1" customWidth="1"/>
    <col min="5" max="5" width="15.5703125" style="193" bestFit="1" customWidth="1"/>
    <col min="6" max="6" width="12.28515625" style="194" bestFit="1" customWidth="1"/>
    <col min="7" max="7" width="15.42578125" style="195" bestFit="1" customWidth="1"/>
    <col min="8" max="8" width="15.42578125" style="193" hidden="1" customWidth="1"/>
    <col min="9" max="9" width="10.28515625" style="194" hidden="1" customWidth="1"/>
    <col min="10" max="10" width="13.42578125" style="195" hidden="1" customWidth="1"/>
    <col min="11" max="11" width="14.42578125" style="193" hidden="1" customWidth="1"/>
    <col min="12" max="12" width="10.28515625" style="194" hidden="1" customWidth="1"/>
    <col min="13" max="13" width="11.7109375" style="195" hidden="1" customWidth="1"/>
    <col min="14" max="14" width="14.42578125" style="193" hidden="1" customWidth="1"/>
    <col min="15" max="15" width="10.28515625" style="194" hidden="1" customWidth="1"/>
    <col min="16" max="16" width="11.7109375" style="195" hidden="1" customWidth="1"/>
    <col min="17" max="17" width="15.42578125" style="193" hidden="1" customWidth="1"/>
    <col min="18" max="18" width="10.28515625" style="194" hidden="1" customWidth="1"/>
    <col min="19" max="19" width="11.7109375" style="195" hidden="1" customWidth="1"/>
    <col min="20" max="20" width="15.42578125" style="193" hidden="1" customWidth="1"/>
    <col min="21" max="21" width="10.28515625" style="194" hidden="1" customWidth="1"/>
    <col min="22" max="22" width="11.7109375" style="195" hidden="1" customWidth="1"/>
    <col min="23" max="23" width="15.42578125" style="193" hidden="1" customWidth="1"/>
    <col min="24" max="24" width="10.28515625" style="194" hidden="1" customWidth="1"/>
    <col min="25" max="25" width="11.7109375" style="195" hidden="1" customWidth="1"/>
    <col min="26" max="26" width="15.42578125" style="193" hidden="1" customWidth="1"/>
    <col min="27" max="27" width="10.28515625" style="194" hidden="1" customWidth="1"/>
    <col min="28" max="28" width="11.7109375" style="195" hidden="1" customWidth="1"/>
    <col min="29" max="29" width="15.42578125" style="193" hidden="1" customWidth="1"/>
    <col min="30" max="30" width="10.28515625" style="194" hidden="1" customWidth="1"/>
    <col min="31" max="31" width="11.7109375" style="195" hidden="1" customWidth="1"/>
    <col min="32" max="32" width="14.42578125" style="193" hidden="1" customWidth="1"/>
    <col min="33" max="33" width="10.28515625" style="194" hidden="1" customWidth="1"/>
    <col min="34" max="34" width="10.7109375" style="195" hidden="1" customWidth="1"/>
    <col min="35" max="35" width="14.42578125" style="193" customWidth="1"/>
    <col min="36" max="36" width="10.28515625" style="194" customWidth="1"/>
    <col min="37" max="37" width="11.7109375" style="195" bestFit="1" customWidth="1"/>
    <col min="38" max="38" width="14.42578125" style="193" customWidth="1"/>
    <col min="39" max="39" width="10.28515625" style="194" customWidth="1"/>
    <col min="40" max="40" width="10.7109375" style="195" customWidth="1"/>
    <col min="41" max="41" width="15.42578125" style="193" bestFit="1" customWidth="1"/>
    <col min="42" max="42" width="12.28515625" style="194" bestFit="1" customWidth="1"/>
    <col min="43" max="43" width="11.7109375" style="195" bestFit="1" customWidth="1"/>
    <col min="44" max="44" width="15.42578125" style="193" bestFit="1" customWidth="1"/>
    <col min="45" max="45" width="10.28515625" style="194" bestFit="1" customWidth="1"/>
    <col min="46" max="46" width="11.7109375" style="195" bestFit="1" customWidth="1"/>
    <col min="47" max="47" width="14.42578125" style="193" customWidth="1"/>
    <col min="48" max="48" width="10.28515625" style="194" customWidth="1"/>
    <col min="49" max="49" width="10.7109375" style="195" customWidth="1"/>
    <col min="50" max="50" width="14.42578125" style="193" customWidth="1"/>
    <col min="51" max="51" width="10.28515625" style="194" customWidth="1"/>
    <col min="52" max="52" width="10.7109375" style="195" customWidth="1"/>
    <col min="53" max="53" width="14.42578125" style="193" customWidth="1"/>
    <col min="54" max="54" width="10.28515625" style="194" customWidth="1"/>
    <col min="55" max="55" width="10.7109375" style="195" customWidth="1"/>
    <col min="56" max="56" width="14.42578125" style="193" customWidth="1"/>
    <col min="57" max="57" width="10.28515625" style="194" customWidth="1"/>
    <col min="58" max="58" width="10.7109375" style="195" customWidth="1"/>
    <col min="59" max="59" width="14.42578125" style="193" customWidth="1"/>
    <col min="60" max="60" width="10.28515625" style="194" customWidth="1"/>
    <col min="61" max="61" width="10.7109375" style="195" customWidth="1"/>
    <col min="62" max="62" width="14.42578125" style="193" customWidth="1"/>
    <col min="63" max="63" width="10.28515625" style="194" customWidth="1"/>
    <col min="64" max="64" width="10.7109375" style="195" customWidth="1"/>
    <col min="65" max="65" width="14.42578125" style="193" hidden="1" customWidth="1"/>
    <col min="66" max="66" width="10.28515625" style="194" hidden="1" customWidth="1"/>
    <col min="67" max="67" width="10.7109375" style="195" hidden="1" customWidth="1"/>
    <col min="68" max="68" width="14.42578125" style="193" hidden="1" customWidth="1"/>
    <col min="69" max="69" width="10.28515625" style="194" hidden="1" customWidth="1"/>
    <col min="70" max="70" width="10.7109375" style="195" hidden="1" customWidth="1"/>
    <col min="71" max="71" width="14.42578125" style="193" hidden="1" customWidth="1"/>
    <col min="72" max="72" width="10.28515625" style="194" hidden="1" customWidth="1"/>
    <col min="73" max="73" width="10.7109375" style="195" hidden="1" customWidth="1"/>
    <col min="74" max="74" width="14.42578125" style="193" hidden="1" customWidth="1"/>
    <col min="75" max="75" width="10.28515625" style="194" hidden="1" customWidth="1"/>
    <col min="76" max="76" width="10.7109375" style="195" hidden="1" customWidth="1"/>
    <col min="77" max="77" width="14.42578125" style="193" hidden="1" customWidth="1"/>
    <col min="78" max="78" width="10.28515625" style="194" hidden="1" customWidth="1"/>
    <col min="79" max="79" width="10.7109375" style="195" hidden="1" customWidth="1"/>
    <col min="80" max="80" width="14.42578125" style="193" hidden="1" customWidth="1"/>
    <col min="81" max="81" width="10.28515625" style="194" hidden="1" customWidth="1"/>
    <col min="82" max="82" width="10.7109375" style="195" hidden="1" customWidth="1"/>
    <col min="83" max="83" width="14.42578125" style="193" hidden="1" customWidth="1"/>
    <col min="84" max="84" width="10.28515625" style="194" hidden="1" customWidth="1"/>
    <col min="85" max="85" width="10.7109375" style="195" hidden="1" customWidth="1"/>
    <col min="86" max="86" width="14.42578125" style="193" hidden="1" customWidth="1"/>
    <col min="87" max="87" width="10.28515625" style="194" hidden="1" customWidth="1"/>
    <col min="88" max="88" width="10.7109375" style="195" hidden="1" customWidth="1"/>
    <col min="89" max="89" width="14.42578125" style="193" hidden="1" customWidth="1"/>
    <col min="90" max="90" width="10.28515625" style="194" hidden="1" customWidth="1"/>
    <col min="91" max="91" width="10.7109375" style="195" hidden="1" customWidth="1"/>
    <col min="92" max="92" width="14.42578125" style="193" hidden="1" customWidth="1"/>
    <col min="93" max="93" width="10.28515625" style="194" hidden="1" customWidth="1"/>
    <col min="94" max="94" width="10.7109375" style="195" hidden="1" customWidth="1"/>
    <col min="95" max="95" width="14.42578125" style="193" hidden="1" customWidth="1"/>
    <col min="96" max="96" width="10.28515625" style="194" hidden="1" customWidth="1"/>
    <col min="97" max="97" width="10.7109375" style="195" hidden="1" customWidth="1"/>
    <col min="98" max="98" width="14.42578125" style="193" hidden="1" customWidth="1"/>
    <col min="99" max="99" width="10.28515625" style="194" hidden="1" customWidth="1"/>
    <col min="100" max="100" width="10.7109375" style="195" hidden="1" customWidth="1"/>
    <col min="101" max="101" width="14.42578125" style="193" hidden="1" customWidth="1"/>
    <col min="102" max="102" width="10.28515625" style="194" hidden="1" customWidth="1"/>
    <col min="103" max="103" width="10.7109375" style="195" hidden="1" customWidth="1"/>
    <col min="104" max="104" width="14.42578125" style="193" hidden="1" customWidth="1"/>
    <col min="105" max="105" width="10.28515625" style="194" hidden="1" customWidth="1"/>
    <col min="106" max="106" width="10.7109375" style="195" hidden="1" customWidth="1"/>
    <col min="107" max="107" width="14.42578125" style="193" hidden="1" customWidth="1"/>
    <col min="108" max="108" width="10.28515625" style="194" hidden="1" customWidth="1"/>
    <col min="109" max="109" width="10.7109375" style="195" hidden="1" customWidth="1"/>
    <col min="110" max="110" width="14.42578125" style="193" hidden="1" customWidth="1"/>
    <col min="111" max="111" width="10.28515625" style="194" hidden="1" customWidth="1"/>
    <col min="112" max="112" width="10.7109375" style="195" hidden="1" customWidth="1"/>
    <col min="113" max="113" width="14.42578125" style="193" hidden="1" customWidth="1"/>
    <col min="114" max="114" width="10.28515625" style="194" hidden="1" customWidth="1"/>
    <col min="115" max="115" width="10.7109375" style="195" hidden="1" customWidth="1"/>
    <col min="116" max="116" width="14.42578125" style="193" hidden="1" customWidth="1"/>
    <col min="117" max="117" width="10.28515625" style="194" hidden="1" customWidth="1"/>
    <col min="118" max="118" width="10.7109375" style="195" hidden="1" customWidth="1"/>
    <col min="119" max="119" width="14.42578125" style="193" hidden="1" customWidth="1"/>
    <col min="120" max="120" width="10.28515625" style="194" hidden="1" customWidth="1"/>
    <col min="121" max="121" width="10.7109375" style="195" hidden="1" customWidth="1"/>
    <col min="122" max="122" width="14.42578125" style="193" hidden="1" customWidth="1"/>
    <col min="123" max="123" width="10.28515625" style="194" hidden="1" customWidth="1"/>
    <col min="124" max="124" width="10.7109375" style="195" hidden="1" customWidth="1"/>
    <col min="125" max="125" width="14.42578125" style="193" hidden="1" customWidth="1"/>
    <col min="126" max="126" width="10.28515625" style="194" hidden="1" customWidth="1"/>
    <col min="127" max="127" width="10.7109375" style="195" hidden="1" customWidth="1"/>
    <col min="128" max="128" width="14.42578125" style="193" hidden="1" customWidth="1"/>
    <col min="129" max="129" width="10.28515625" style="194" hidden="1" customWidth="1"/>
    <col min="130" max="130" width="10.7109375" style="195" hidden="1" customWidth="1"/>
    <col min="131" max="131" width="2.7109375" style="195" customWidth="1"/>
    <col min="132" max="132" width="15.42578125" style="195" bestFit="1" customWidth="1"/>
    <col min="133" max="133" width="15.42578125" style="195" hidden="1" customWidth="1"/>
    <col min="134" max="134" width="14.42578125" style="195" bestFit="1" customWidth="1"/>
    <col min="135" max="135" width="17.7109375" style="195" bestFit="1" customWidth="1"/>
    <col min="136" max="136" width="2.7109375" style="195" customWidth="1"/>
    <col min="137" max="137" width="15.42578125" style="195" hidden="1" customWidth="1"/>
    <col min="138" max="138" width="14.42578125" style="195" hidden="1" customWidth="1"/>
    <col min="139" max="139" width="12.42578125" style="195" hidden="1" customWidth="1"/>
    <col min="140" max="140" width="2.7109375" style="195" hidden="1" customWidth="1"/>
    <col min="141" max="141" width="15.42578125" style="195" bestFit="1" customWidth="1"/>
    <col min="142" max="142" width="15.42578125" style="195" hidden="1" customWidth="1"/>
    <col min="143" max="143" width="14.42578125" style="195" bestFit="1" customWidth="1"/>
    <col min="144" max="144" width="15.42578125" style="195" bestFit="1" customWidth="1"/>
    <col min="145" max="145" width="42.85546875" style="195" bestFit="1" customWidth="1"/>
    <col min="146" max="146" width="15.28515625" style="195" bestFit="1" customWidth="1"/>
    <col min="147" max="147" width="23.140625" style="195" bestFit="1" customWidth="1"/>
    <col min="148" max="16384" width="9" style="195"/>
  </cols>
  <sheetData>
    <row r="1" spans="1:147" s="185" customFormat="1" ht="15.75" x14ac:dyDescent="0.25">
      <c r="A1" s="182" t="s">
        <v>0</v>
      </c>
      <c r="B1" s="183"/>
      <c r="C1" s="184"/>
      <c r="E1" s="183"/>
      <c r="F1" s="184"/>
      <c r="H1" s="183"/>
      <c r="I1" s="184"/>
      <c r="K1" s="183"/>
      <c r="L1" s="184"/>
      <c r="N1" s="183"/>
      <c r="O1" s="184"/>
      <c r="Q1" s="183"/>
      <c r="R1" s="184"/>
      <c r="T1" s="183"/>
      <c r="U1" s="184"/>
      <c r="W1" s="183"/>
      <c r="X1" s="184"/>
      <c r="Z1" s="183"/>
      <c r="AA1" s="184"/>
      <c r="AC1" s="183"/>
      <c r="AD1" s="184"/>
      <c r="AF1" s="183"/>
      <c r="AG1" s="184"/>
      <c r="AI1" s="183"/>
      <c r="AJ1" s="184"/>
      <c r="AL1" s="183"/>
      <c r="AM1" s="184"/>
      <c r="AO1" s="183"/>
      <c r="AP1" s="184"/>
      <c r="AR1" s="183"/>
      <c r="AS1" s="184"/>
      <c r="AU1" s="183"/>
      <c r="AV1" s="184"/>
      <c r="AX1" s="183"/>
      <c r="AY1" s="184"/>
      <c r="BA1" s="183"/>
      <c r="BB1" s="184"/>
      <c r="BD1" s="183"/>
      <c r="BE1" s="184"/>
      <c r="BG1" s="183"/>
      <c r="BH1" s="184"/>
      <c r="BJ1" s="183"/>
      <c r="BK1" s="184"/>
      <c r="BM1" s="183"/>
      <c r="BN1" s="184"/>
      <c r="BP1" s="183"/>
      <c r="BQ1" s="184"/>
      <c r="BS1" s="183"/>
      <c r="BT1" s="184"/>
      <c r="BV1" s="183"/>
      <c r="BW1" s="184"/>
      <c r="BY1" s="183"/>
      <c r="BZ1" s="184"/>
      <c r="CB1" s="183"/>
      <c r="CC1" s="184"/>
      <c r="CE1" s="183"/>
      <c r="CF1" s="184"/>
      <c r="CH1" s="183"/>
      <c r="CI1" s="184"/>
      <c r="CK1" s="183"/>
      <c r="CL1" s="184"/>
      <c r="CN1" s="183"/>
      <c r="CO1" s="184"/>
      <c r="CQ1" s="183"/>
      <c r="CR1" s="184"/>
      <c r="CT1" s="183"/>
      <c r="CU1" s="184"/>
      <c r="CW1" s="183"/>
      <c r="CX1" s="184"/>
      <c r="CZ1" s="183"/>
      <c r="DA1" s="184"/>
      <c r="DC1" s="183"/>
      <c r="DD1" s="184"/>
      <c r="DF1" s="183"/>
      <c r="DG1" s="184"/>
      <c r="DI1" s="183"/>
      <c r="DJ1" s="184"/>
      <c r="DL1" s="183"/>
      <c r="DM1" s="184"/>
      <c r="DO1" s="183"/>
      <c r="DP1" s="184"/>
      <c r="DR1" s="183"/>
      <c r="DS1" s="184"/>
      <c r="DU1" s="183"/>
      <c r="DV1" s="184"/>
      <c r="DX1" s="183"/>
      <c r="DY1" s="184"/>
      <c r="DZ1" s="186"/>
      <c r="ED1" s="187"/>
      <c r="EE1" s="188" t="s">
        <v>95</v>
      </c>
      <c r="EI1" s="187" t="s">
        <v>96</v>
      </c>
      <c r="EM1" s="187"/>
      <c r="EN1" s="187" t="s">
        <v>97</v>
      </c>
      <c r="EO1" s="182" t="s">
        <v>98</v>
      </c>
      <c r="EP1" s="182" t="s">
        <v>99</v>
      </c>
      <c r="EQ1" s="182" t="s">
        <v>100</v>
      </c>
    </row>
    <row r="2" spans="1:147" s="185" customFormat="1" ht="16.5" thickBot="1" x14ac:dyDescent="0.3">
      <c r="A2" s="182" t="s">
        <v>101</v>
      </c>
      <c r="B2" s="183"/>
      <c r="C2" s="184"/>
      <c r="E2" s="189"/>
      <c r="F2" s="184"/>
      <c r="G2" s="187"/>
      <c r="H2" s="183"/>
      <c r="I2" s="184"/>
      <c r="K2" s="183"/>
      <c r="L2" s="184"/>
      <c r="N2" s="183"/>
      <c r="O2" s="184"/>
      <c r="Q2" s="183"/>
      <c r="R2" s="184"/>
      <c r="T2" s="183"/>
      <c r="U2" s="184"/>
      <c r="W2" s="183"/>
      <c r="X2" s="184"/>
      <c r="Z2" s="183"/>
      <c r="AA2" s="184"/>
      <c r="AC2" s="183"/>
      <c r="AD2" s="184"/>
      <c r="AF2" s="183"/>
      <c r="AG2" s="184"/>
      <c r="AI2" s="183"/>
      <c r="AJ2" s="184"/>
      <c r="AL2" s="183"/>
      <c r="AM2" s="184"/>
      <c r="AO2" s="183"/>
      <c r="AP2" s="184"/>
      <c r="AR2" s="183"/>
      <c r="AS2" s="184"/>
      <c r="AU2" s="183"/>
      <c r="AV2" s="184"/>
      <c r="AX2" s="183"/>
      <c r="AY2" s="184"/>
      <c r="BA2" s="183"/>
      <c r="BB2" s="184"/>
      <c r="BD2" s="183"/>
      <c r="BE2" s="184"/>
      <c r="BG2" s="183"/>
      <c r="BH2" s="184"/>
      <c r="BJ2" s="183"/>
      <c r="BK2" s="184"/>
      <c r="BM2" s="183"/>
      <c r="BN2" s="184"/>
      <c r="BP2" s="183"/>
      <c r="BQ2" s="184"/>
      <c r="BS2" s="183"/>
      <c r="BT2" s="184"/>
      <c r="BV2" s="183"/>
      <c r="BW2" s="184"/>
      <c r="BY2" s="183"/>
      <c r="BZ2" s="184"/>
      <c r="CB2" s="183"/>
      <c r="CC2" s="184"/>
      <c r="CE2" s="183"/>
      <c r="CF2" s="184"/>
      <c r="CH2" s="183"/>
      <c r="CI2" s="184"/>
      <c r="CK2" s="183"/>
      <c r="CL2" s="184"/>
      <c r="CN2" s="183"/>
      <c r="CO2" s="184"/>
      <c r="CQ2" s="183"/>
      <c r="CR2" s="184"/>
      <c r="CT2" s="183"/>
      <c r="CU2" s="184"/>
      <c r="CW2" s="183"/>
      <c r="CX2" s="184"/>
      <c r="CZ2" s="183"/>
      <c r="DA2" s="184"/>
      <c r="DC2" s="183"/>
      <c r="DD2" s="184"/>
      <c r="DF2" s="183"/>
      <c r="DG2" s="184"/>
      <c r="DI2" s="183"/>
      <c r="DJ2" s="184"/>
      <c r="DL2" s="183"/>
      <c r="DM2" s="184"/>
      <c r="DO2" s="183"/>
      <c r="DP2" s="184"/>
      <c r="DR2" s="183"/>
      <c r="DS2" s="184"/>
      <c r="DU2" s="183"/>
      <c r="DV2" s="184"/>
      <c r="DX2" s="183"/>
      <c r="DY2" s="184"/>
      <c r="EB2" s="190" t="s">
        <v>102</v>
      </c>
      <c r="EC2" s="190"/>
      <c r="ED2" s="191"/>
      <c r="EE2" s="191">
        <f>EB40</f>
        <v>0</v>
      </c>
      <c r="EI2" s="191">
        <f>EG40</f>
        <v>0</v>
      </c>
      <c r="EM2" s="191"/>
      <c r="EN2" s="191">
        <f>EK40</f>
        <v>0</v>
      </c>
      <c r="EO2" s="183">
        <v>0</v>
      </c>
      <c r="EP2" s="183">
        <f>EN2+EO2</f>
        <v>0</v>
      </c>
      <c r="EQ2" s="183">
        <f>EE2+EO2</f>
        <v>0</v>
      </c>
    </row>
    <row r="3" spans="1:147" ht="16.5" thickTop="1" x14ac:dyDescent="0.25">
      <c r="A3" s="192" t="s">
        <v>191</v>
      </c>
      <c r="E3" s="196" t="s">
        <v>104</v>
      </c>
      <c r="F3" s="197"/>
      <c r="G3" s="198"/>
      <c r="EB3" s="190" t="s">
        <v>105</v>
      </c>
      <c r="EC3" s="190"/>
      <c r="ED3" s="191"/>
      <c r="EE3" s="191">
        <f>AVERAGE(EB11:EB40)</f>
        <v>6182500</v>
      </c>
      <c r="EI3" s="191">
        <f>AVERAGE(EG11:EG40)</f>
        <v>0</v>
      </c>
      <c r="EM3" s="191"/>
      <c r="EN3" s="191">
        <f>AVERAGE(EK11:EK40)</f>
        <v>1056666.6666666667</v>
      </c>
    </row>
    <row r="4" spans="1:147" x14ac:dyDescent="0.2">
      <c r="D4" s="190"/>
      <c r="E4" s="199" t="s">
        <v>102</v>
      </c>
      <c r="F4" s="191"/>
      <c r="G4" s="200">
        <f>EQ2</f>
        <v>0</v>
      </c>
      <c r="AI4" s="201" t="s">
        <v>106</v>
      </c>
      <c r="EB4" s="190" t="s">
        <v>107</v>
      </c>
      <c r="EC4" s="190"/>
      <c r="ED4" s="202"/>
      <c r="EE4" s="202">
        <f>IF(EE3=0,0,360*(AVERAGE(ED11:ED40)/EE3))</f>
        <v>1.2391562205148943E-3</v>
      </c>
      <c r="EI4" s="202">
        <f>IF(EI3=0,0,360*(AVERAGE(EH11:EH40)/EI3))</f>
        <v>0</v>
      </c>
      <c r="EM4" s="202"/>
      <c r="EN4" s="202">
        <f>IF(EN3=0,0,360*(AVERAGE(EM11:EM40)/EN3))</f>
        <v>1.9999999999999996E-3</v>
      </c>
      <c r="EO4" s="203" t="s">
        <v>108</v>
      </c>
      <c r="EQ4" s="204" t="s">
        <v>106</v>
      </c>
    </row>
    <row r="5" spans="1:147" ht="15.75" x14ac:dyDescent="0.25">
      <c r="D5" s="190"/>
      <c r="E5" s="199" t="s">
        <v>105</v>
      </c>
      <c r="F5" s="191"/>
      <c r="G5" s="200">
        <f>EE3</f>
        <v>6182500</v>
      </c>
      <c r="AI5" s="205" t="s">
        <v>97</v>
      </c>
      <c r="EB5" s="206" t="s">
        <v>109</v>
      </c>
      <c r="EC5" s="206"/>
      <c r="ED5" s="191"/>
      <c r="EE5" s="191">
        <f>MAX(EB11:EB40)</f>
        <v>33475000</v>
      </c>
      <c r="EI5" s="191">
        <f>MAX(EG11:EG40)</f>
        <v>0</v>
      </c>
      <c r="EM5" s="191"/>
      <c r="EN5" s="191">
        <f>MAX(EK11:EK40)</f>
        <v>31700000</v>
      </c>
    </row>
    <row r="6" spans="1:147" x14ac:dyDescent="0.2">
      <c r="D6" s="190"/>
      <c r="E6" s="199" t="s">
        <v>107</v>
      </c>
      <c r="F6" s="191"/>
      <c r="G6" s="207">
        <f>EE4</f>
        <v>1.2391562205148943E-3</v>
      </c>
    </row>
    <row r="7" spans="1:147" ht="16.5" thickBot="1" x14ac:dyDescent="0.3">
      <c r="D7" s="190"/>
      <c r="E7" s="208" t="s">
        <v>109</v>
      </c>
      <c r="F7" s="209"/>
      <c r="G7" s="210">
        <f>EE5</f>
        <v>33475000</v>
      </c>
      <c r="AI7" s="205" t="s">
        <v>97</v>
      </c>
      <c r="EB7" s="211" t="s">
        <v>110</v>
      </c>
      <c r="EC7" s="211"/>
      <c r="ED7" s="212"/>
      <c r="EE7" s="212"/>
      <c r="EG7" s="211" t="s">
        <v>111</v>
      </c>
      <c r="EH7" s="212"/>
      <c r="EI7" s="212"/>
      <c r="EJ7" s="213"/>
      <c r="EK7" s="211" t="s">
        <v>112</v>
      </c>
      <c r="EL7" s="211"/>
      <c r="EM7" s="212"/>
      <c r="EN7" s="212"/>
    </row>
    <row r="8" spans="1:147" ht="13.5" thickTop="1" x14ac:dyDescent="0.2">
      <c r="AI8" s="214" t="s">
        <v>113</v>
      </c>
      <c r="AL8" s="214" t="s">
        <v>113</v>
      </c>
      <c r="AO8" s="214" t="s">
        <v>113</v>
      </c>
      <c r="AR8" s="214" t="s">
        <v>113</v>
      </c>
      <c r="AU8" s="214" t="s">
        <v>113</v>
      </c>
      <c r="AX8" s="214" t="s">
        <v>113</v>
      </c>
      <c r="BA8" s="214" t="s">
        <v>113</v>
      </c>
      <c r="BD8" s="214" t="s">
        <v>113</v>
      </c>
      <c r="BG8" s="214" t="s">
        <v>113</v>
      </c>
      <c r="BJ8" s="214" t="s">
        <v>113</v>
      </c>
      <c r="BM8" s="214" t="s">
        <v>113</v>
      </c>
      <c r="BP8" s="214" t="s">
        <v>113</v>
      </c>
      <c r="BS8" s="214" t="s">
        <v>113</v>
      </c>
      <c r="BV8" s="214" t="s">
        <v>113</v>
      </c>
      <c r="BY8" s="214" t="s">
        <v>113</v>
      </c>
      <c r="CB8" s="214" t="s">
        <v>113</v>
      </c>
      <c r="CE8" s="214" t="s">
        <v>113</v>
      </c>
      <c r="CH8" s="214" t="s">
        <v>113</v>
      </c>
      <c r="CK8" s="214" t="s">
        <v>113</v>
      </c>
      <c r="CN8" s="214" t="s">
        <v>113</v>
      </c>
      <c r="CQ8" s="214" t="s">
        <v>113</v>
      </c>
      <c r="CT8" s="214" t="s">
        <v>113</v>
      </c>
      <c r="CW8" s="214" t="s">
        <v>113</v>
      </c>
      <c r="CZ8" s="214" t="s">
        <v>113</v>
      </c>
      <c r="DC8" s="214" t="s">
        <v>113</v>
      </c>
      <c r="DF8" s="214" t="s">
        <v>113</v>
      </c>
      <c r="DI8" s="214" t="s">
        <v>113</v>
      </c>
      <c r="DL8" s="214" t="s">
        <v>113</v>
      </c>
      <c r="DO8" s="214" t="s">
        <v>113</v>
      </c>
      <c r="DR8" s="214" t="s">
        <v>113</v>
      </c>
      <c r="EB8" s="215"/>
      <c r="EC8" s="215"/>
      <c r="ED8" s="215"/>
      <c r="EE8" s="215" t="s">
        <v>114</v>
      </c>
      <c r="EG8" s="215"/>
      <c r="EH8" s="216" t="s">
        <v>96</v>
      </c>
      <c r="EI8" s="215" t="s">
        <v>114</v>
      </c>
      <c r="EJ8" s="215"/>
      <c r="EK8" s="204" t="s">
        <v>115</v>
      </c>
      <c r="EL8" s="204" t="s">
        <v>116</v>
      </c>
      <c r="EM8" s="216" t="s">
        <v>117</v>
      </c>
      <c r="EN8" s="215" t="s">
        <v>114</v>
      </c>
    </row>
    <row r="9" spans="1:147" x14ac:dyDescent="0.2">
      <c r="B9" s="217" t="s">
        <v>118</v>
      </c>
      <c r="C9" s="218"/>
      <c r="D9" s="212"/>
      <c r="E9" s="217" t="s">
        <v>119</v>
      </c>
      <c r="F9" s="218"/>
      <c r="G9" s="212"/>
      <c r="H9" s="217" t="s">
        <v>120</v>
      </c>
      <c r="I9" s="218"/>
      <c r="J9" s="212"/>
      <c r="K9" s="217" t="s">
        <v>121</v>
      </c>
      <c r="L9" s="218"/>
      <c r="M9" s="212"/>
      <c r="N9" s="217" t="s">
        <v>122</v>
      </c>
      <c r="O9" s="218"/>
      <c r="P9" s="212"/>
      <c r="Q9" s="217" t="s">
        <v>123</v>
      </c>
      <c r="R9" s="218"/>
      <c r="S9" s="212"/>
      <c r="T9" s="217" t="s">
        <v>124</v>
      </c>
      <c r="U9" s="218"/>
      <c r="V9" s="212"/>
      <c r="W9" s="217" t="s">
        <v>125</v>
      </c>
      <c r="X9" s="218"/>
      <c r="Y9" s="212"/>
      <c r="Z9" s="217" t="s">
        <v>126</v>
      </c>
      <c r="AA9" s="218"/>
      <c r="AB9" s="212"/>
      <c r="AC9" s="219" t="s">
        <v>127</v>
      </c>
      <c r="AD9" s="218"/>
      <c r="AE9" s="212"/>
      <c r="AF9" s="219" t="s">
        <v>128</v>
      </c>
      <c r="AG9" s="218"/>
      <c r="AH9" s="212"/>
      <c r="AI9" s="217" t="s">
        <v>129</v>
      </c>
      <c r="AJ9" s="218"/>
      <c r="AK9" s="212"/>
      <c r="AL9" s="217" t="s">
        <v>130</v>
      </c>
      <c r="AM9" s="218"/>
      <c r="AN9" s="212"/>
      <c r="AO9" s="217" t="s">
        <v>131</v>
      </c>
      <c r="AP9" s="218"/>
      <c r="AQ9" s="212"/>
      <c r="AR9" s="217" t="s">
        <v>132</v>
      </c>
      <c r="AS9" s="218"/>
      <c r="AT9" s="212"/>
      <c r="AU9" s="217" t="s">
        <v>133</v>
      </c>
      <c r="AV9" s="218"/>
      <c r="AW9" s="212"/>
      <c r="AX9" s="217" t="s">
        <v>134</v>
      </c>
      <c r="AY9" s="218"/>
      <c r="AZ9" s="212"/>
      <c r="BA9" s="217" t="s">
        <v>135</v>
      </c>
      <c r="BB9" s="218"/>
      <c r="BC9" s="212"/>
      <c r="BD9" s="217" t="s">
        <v>136</v>
      </c>
      <c r="BE9" s="218"/>
      <c r="BF9" s="212"/>
      <c r="BG9" s="217" t="s">
        <v>137</v>
      </c>
      <c r="BH9" s="218"/>
      <c r="BI9" s="212"/>
      <c r="BJ9" s="217" t="s">
        <v>138</v>
      </c>
      <c r="BK9" s="218"/>
      <c r="BL9" s="212"/>
      <c r="BM9" s="217" t="s">
        <v>139</v>
      </c>
      <c r="BN9" s="218"/>
      <c r="BO9" s="212"/>
      <c r="BP9" s="217" t="s">
        <v>140</v>
      </c>
      <c r="BQ9" s="218"/>
      <c r="BR9" s="212"/>
      <c r="BS9" s="217" t="s">
        <v>141</v>
      </c>
      <c r="BT9" s="218"/>
      <c r="BU9" s="212"/>
      <c r="BV9" s="217" t="s">
        <v>142</v>
      </c>
      <c r="BW9" s="218"/>
      <c r="BX9" s="212"/>
      <c r="BY9" s="217" t="s">
        <v>143</v>
      </c>
      <c r="BZ9" s="218"/>
      <c r="CA9" s="212"/>
      <c r="CB9" s="217" t="s">
        <v>144</v>
      </c>
      <c r="CC9" s="218"/>
      <c r="CD9" s="212"/>
      <c r="CE9" s="217" t="s">
        <v>145</v>
      </c>
      <c r="CF9" s="218"/>
      <c r="CG9" s="212"/>
      <c r="CH9" s="217" t="s">
        <v>146</v>
      </c>
      <c r="CI9" s="218"/>
      <c r="CJ9" s="212"/>
      <c r="CK9" s="217" t="s">
        <v>147</v>
      </c>
      <c r="CL9" s="218"/>
      <c r="CM9" s="212"/>
      <c r="CN9" s="217" t="s">
        <v>148</v>
      </c>
      <c r="CO9" s="218"/>
      <c r="CP9" s="212"/>
      <c r="CQ9" s="217" t="s">
        <v>149</v>
      </c>
      <c r="CR9" s="218"/>
      <c r="CS9" s="212"/>
      <c r="CT9" s="217" t="s">
        <v>150</v>
      </c>
      <c r="CU9" s="218"/>
      <c r="CV9" s="212"/>
      <c r="CW9" s="217" t="s">
        <v>151</v>
      </c>
      <c r="CX9" s="218"/>
      <c r="CY9" s="212"/>
      <c r="CZ9" s="217" t="s">
        <v>152</v>
      </c>
      <c r="DA9" s="218"/>
      <c r="DB9" s="212"/>
      <c r="DC9" s="217" t="s">
        <v>153</v>
      </c>
      <c r="DD9" s="218"/>
      <c r="DE9" s="212"/>
      <c r="DF9" s="217" t="s">
        <v>154</v>
      </c>
      <c r="DG9" s="218"/>
      <c r="DH9" s="212"/>
      <c r="DI9" s="217" t="s">
        <v>155</v>
      </c>
      <c r="DJ9" s="218"/>
      <c r="DK9" s="212"/>
      <c r="DL9" s="217" t="s">
        <v>156</v>
      </c>
      <c r="DM9" s="218"/>
      <c r="DN9" s="212"/>
      <c r="DO9" s="217" t="s">
        <v>157</v>
      </c>
      <c r="DP9" s="218"/>
      <c r="DQ9" s="212"/>
      <c r="DR9" s="217" t="s">
        <v>158</v>
      </c>
      <c r="DS9" s="218"/>
      <c r="DT9" s="212"/>
      <c r="DU9" s="217" t="s">
        <v>159</v>
      </c>
      <c r="DV9" s="218"/>
      <c r="DW9" s="212"/>
      <c r="DX9" s="220" t="s">
        <v>160</v>
      </c>
      <c r="DY9" s="218"/>
      <c r="DZ9" s="212"/>
      <c r="EA9" s="213"/>
      <c r="EB9" s="204" t="s">
        <v>161</v>
      </c>
      <c r="EC9" s="204" t="s">
        <v>162</v>
      </c>
      <c r="ED9" s="215" t="s">
        <v>163</v>
      </c>
      <c r="EE9" s="215" t="s">
        <v>164</v>
      </c>
      <c r="EG9" s="216" t="s">
        <v>165</v>
      </c>
      <c r="EH9" s="215" t="s">
        <v>163</v>
      </c>
      <c r="EI9" s="215" t="s">
        <v>164</v>
      </c>
      <c r="EJ9" s="215"/>
      <c r="EK9" s="216" t="s">
        <v>117</v>
      </c>
      <c r="EL9" s="216" t="s">
        <v>117</v>
      </c>
      <c r="EM9" s="215" t="s">
        <v>163</v>
      </c>
      <c r="EN9" s="215" t="s">
        <v>164</v>
      </c>
    </row>
    <row r="10" spans="1:147" x14ac:dyDescent="0.2">
      <c r="A10" s="215" t="s">
        <v>166</v>
      </c>
      <c r="B10" s="221" t="s">
        <v>167</v>
      </c>
      <c r="C10" s="222" t="s">
        <v>168</v>
      </c>
      <c r="D10" s="223" t="s">
        <v>19</v>
      </c>
      <c r="E10" s="221" t="s">
        <v>167</v>
      </c>
      <c r="F10" s="222" t="s">
        <v>168</v>
      </c>
      <c r="G10" s="223" t="s">
        <v>19</v>
      </c>
      <c r="H10" s="221" t="s">
        <v>167</v>
      </c>
      <c r="I10" s="222" t="s">
        <v>168</v>
      </c>
      <c r="J10" s="223" t="s">
        <v>19</v>
      </c>
      <c r="K10" s="221" t="s">
        <v>167</v>
      </c>
      <c r="L10" s="222" t="s">
        <v>168</v>
      </c>
      <c r="M10" s="223" t="s">
        <v>19</v>
      </c>
      <c r="N10" s="221" t="s">
        <v>167</v>
      </c>
      <c r="O10" s="222" t="s">
        <v>168</v>
      </c>
      <c r="P10" s="223" t="s">
        <v>19</v>
      </c>
      <c r="Q10" s="221" t="s">
        <v>167</v>
      </c>
      <c r="R10" s="222" t="s">
        <v>168</v>
      </c>
      <c r="S10" s="223" t="s">
        <v>19</v>
      </c>
      <c r="T10" s="221" t="s">
        <v>167</v>
      </c>
      <c r="U10" s="222" t="s">
        <v>168</v>
      </c>
      <c r="V10" s="223" t="s">
        <v>19</v>
      </c>
      <c r="W10" s="221" t="s">
        <v>167</v>
      </c>
      <c r="X10" s="222" t="s">
        <v>168</v>
      </c>
      <c r="Y10" s="223" t="s">
        <v>19</v>
      </c>
      <c r="Z10" s="221" t="s">
        <v>167</v>
      </c>
      <c r="AA10" s="222" t="s">
        <v>168</v>
      </c>
      <c r="AB10" s="223" t="s">
        <v>19</v>
      </c>
      <c r="AC10" s="221" t="s">
        <v>167</v>
      </c>
      <c r="AD10" s="222" t="s">
        <v>168</v>
      </c>
      <c r="AE10" s="223" t="s">
        <v>19</v>
      </c>
      <c r="AF10" s="221" t="s">
        <v>167</v>
      </c>
      <c r="AG10" s="222" t="s">
        <v>168</v>
      </c>
      <c r="AH10" s="223" t="s">
        <v>19</v>
      </c>
      <c r="AI10" s="221" t="s">
        <v>167</v>
      </c>
      <c r="AJ10" s="222" t="s">
        <v>168</v>
      </c>
      <c r="AK10" s="223" t="s">
        <v>19</v>
      </c>
      <c r="AL10" s="221" t="s">
        <v>167</v>
      </c>
      <c r="AM10" s="222" t="s">
        <v>168</v>
      </c>
      <c r="AN10" s="223" t="s">
        <v>19</v>
      </c>
      <c r="AO10" s="221" t="s">
        <v>167</v>
      </c>
      <c r="AP10" s="222" t="s">
        <v>168</v>
      </c>
      <c r="AQ10" s="223" t="s">
        <v>19</v>
      </c>
      <c r="AR10" s="221" t="s">
        <v>167</v>
      </c>
      <c r="AS10" s="222" t="s">
        <v>168</v>
      </c>
      <c r="AT10" s="223" t="s">
        <v>19</v>
      </c>
      <c r="AU10" s="221" t="s">
        <v>167</v>
      </c>
      <c r="AV10" s="222" t="s">
        <v>168</v>
      </c>
      <c r="AW10" s="223" t="s">
        <v>19</v>
      </c>
      <c r="AX10" s="221" t="s">
        <v>167</v>
      </c>
      <c r="AY10" s="222" t="s">
        <v>168</v>
      </c>
      <c r="AZ10" s="223" t="s">
        <v>19</v>
      </c>
      <c r="BA10" s="221" t="s">
        <v>167</v>
      </c>
      <c r="BB10" s="222" t="s">
        <v>168</v>
      </c>
      <c r="BC10" s="223" t="s">
        <v>19</v>
      </c>
      <c r="BD10" s="221" t="s">
        <v>167</v>
      </c>
      <c r="BE10" s="222" t="s">
        <v>168</v>
      </c>
      <c r="BF10" s="223" t="s">
        <v>19</v>
      </c>
      <c r="BG10" s="221" t="s">
        <v>167</v>
      </c>
      <c r="BH10" s="222" t="s">
        <v>168</v>
      </c>
      <c r="BI10" s="223" t="s">
        <v>19</v>
      </c>
      <c r="BJ10" s="221" t="s">
        <v>167</v>
      </c>
      <c r="BK10" s="222" t="s">
        <v>168</v>
      </c>
      <c r="BL10" s="223" t="s">
        <v>19</v>
      </c>
      <c r="BM10" s="221" t="s">
        <v>167</v>
      </c>
      <c r="BN10" s="222" t="s">
        <v>168</v>
      </c>
      <c r="BO10" s="223" t="s">
        <v>19</v>
      </c>
      <c r="BP10" s="221" t="s">
        <v>167</v>
      </c>
      <c r="BQ10" s="222" t="s">
        <v>168</v>
      </c>
      <c r="BR10" s="223" t="s">
        <v>19</v>
      </c>
      <c r="BS10" s="221" t="s">
        <v>167</v>
      </c>
      <c r="BT10" s="222" t="s">
        <v>168</v>
      </c>
      <c r="BU10" s="223" t="s">
        <v>19</v>
      </c>
      <c r="BV10" s="221" t="s">
        <v>167</v>
      </c>
      <c r="BW10" s="222" t="s">
        <v>168</v>
      </c>
      <c r="BX10" s="223" t="s">
        <v>19</v>
      </c>
      <c r="BY10" s="221" t="s">
        <v>167</v>
      </c>
      <c r="BZ10" s="222" t="s">
        <v>168</v>
      </c>
      <c r="CA10" s="223" t="s">
        <v>19</v>
      </c>
      <c r="CB10" s="221" t="s">
        <v>167</v>
      </c>
      <c r="CC10" s="222" t="s">
        <v>168</v>
      </c>
      <c r="CD10" s="223" t="s">
        <v>19</v>
      </c>
      <c r="CE10" s="221" t="s">
        <v>167</v>
      </c>
      <c r="CF10" s="222" t="s">
        <v>168</v>
      </c>
      <c r="CG10" s="223" t="s">
        <v>19</v>
      </c>
      <c r="CH10" s="221" t="s">
        <v>167</v>
      </c>
      <c r="CI10" s="222" t="s">
        <v>168</v>
      </c>
      <c r="CJ10" s="223" t="s">
        <v>19</v>
      </c>
      <c r="CK10" s="221" t="s">
        <v>167</v>
      </c>
      <c r="CL10" s="222" t="s">
        <v>168</v>
      </c>
      <c r="CM10" s="223" t="s">
        <v>19</v>
      </c>
      <c r="CN10" s="221" t="s">
        <v>167</v>
      </c>
      <c r="CO10" s="222" t="s">
        <v>168</v>
      </c>
      <c r="CP10" s="223" t="s">
        <v>19</v>
      </c>
      <c r="CQ10" s="221" t="s">
        <v>167</v>
      </c>
      <c r="CR10" s="222" t="s">
        <v>168</v>
      </c>
      <c r="CS10" s="223" t="s">
        <v>19</v>
      </c>
      <c r="CT10" s="221" t="s">
        <v>167</v>
      </c>
      <c r="CU10" s="222" t="s">
        <v>168</v>
      </c>
      <c r="CV10" s="223" t="s">
        <v>19</v>
      </c>
      <c r="CW10" s="221" t="s">
        <v>167</v>
      </c>
      <c r="CX10" s="222" t="s">
        <v>168</v>
      </c>
      <c r="CY10" s="223" t="s">
        <v>19</v>
      </c>
      <c r="CZ10" s="221" t="s">
        <v>167</v>
      </c>
      <c r="DA10" s="222" t="s">
        <v>168</v>
      </c>
      <c r="DB10" s="223" t="s">
        <v>19</v>
      </c>
      <c r="DC10" s="221" t="s">
        <v>167</v>
      </c>
      <c r="DD10" s="222" t="s">
        <v>168</v>
      </c>
      <c r="DE10" s="223" t="s">
        <v>19</v>
      </c>
      <c r="DF10" s="221" t="s">
        <v>167</v>
      </c>
      <c r="DG10" s="222" t="s">
        <v>168</v>
      </c>
      <c r="DH10" s="223" t="s">
        <v>19</v>
      </c>
      <c r="DI10" s="221" t="s">
        <v>167</v>
      </c>
      <c r="DJ10" s="222" t="s">
        <v>168</v>
      </c>
      <c r="DK10" s="223" t="s">
        <v>19</v>
      </c>
      <c r="DL10" s="221" t="s">
        <v>167</v>
      </c>
      <c r="DM10" s="222" t="s">
        <v>168</v>
      </c>
      <c r="DN10" s="223" t="s">
        <v>19</v>
      </c>
      <c r="DO10" s="221" t="s">
        <v>167</v>
      </c>
      <c r="DP10" s="222" t="s">
        <v>168</v>
      </c>
      <c r="DQ10" s="223" t="s">
        <v>19</v>
      </c>
      <c r="DR10" s="221" t="s">
        <v>167</v>
      </c>
      <c r="DS10" s="222" t="s">
        <v>168</v>
      </c>
      <c r="DT10" s="223" t="s">
        <v>19</v>
      </c>
      <c r="DU10" s="221" t="s">
        <v>167</v>
      </c>
      <c r="DV10" s="222" t="s">
        <v>168</v>
      </c>
      <c r="DW10" s="223" t="s">
        <v>19</v>
      </c>
      <c r="DX10" s="221" t="s">
        <v>167</v>
      </c>
      <c r="DY10" s="222"/>
      <c r="DZ10" s="223"/>
      <c r="EA10" s="223"/>
      <c r="EB10" s="223" t="s">
        <v>169</v>
      </c>
      <c r="EC10" s="223" t="s">
        <v>169</v>
      </c>
      <c r="ED10" s="223" t="s">
        <v>19</v>
      </c>
      <c r="EE10" s="224" t="s">
        <v>168</v>
      </c>
      <c r="EG10" s="223" t="s">
        <v>169</v>
      </c>
      <c r="EH10" s="223" t="s">
        <v>19</v>
      </c>
      <c r="EI10" s="224" t="s">
        <v>168</v>
      </c>
      <c r="EJ10" s="224"/>
      <c r="EK10" s="223" t="s">
        <v>169</v>
      </c>
      <c r="EL10" s="223" t="s">
        <v>169</v>
      </c>
      <c r="EM10" s="223" t="s">
        <v>19</v>
      </c>
      <c r="EN10" s="224" t="s">
        <v>168</v>
      </c>
    </row>
    <row r="11" spans="1:147" x14ac:dyDescent="0.2">
      <c r="A11" s="225">
        <v>44075</v>
      </c>
      <c r="B11" s="193">
        <v>0</v>
      </c>
      <c r="C11" s="194">
        <v>8.9999999999999998E-4</v>
      </c>
      <c r="D11" s="193">
        <f>(B11*C11)/360</f>
        <v>0</v>
      </c>
      <c r="G11" s="193">
        <f>(E11*F11)/360</f>
        <v>0</v>
      </c>
      <c r="J11" s="193">
        <f>(H11*I11)/360</f>
        <v>0</v>
      </c>
      <c r="M11" s="193">
        <f>(K11*L11)/360</f>
        <v>0</v>
      </c>
      <c r="P11" s="193">
        <f>(N11*O11)/360</f>
        <v>0</v>
      </c>
      <c r="S11" s="193">
        <f>(Q11*R11)/360</f>
        <v>0</v>
      </c>
      <c r="V11" s="193">
        <f>(T11*U11)/360</f>
        <v>0</v>
      </c>
      <c r="Y11" s="193">
        <f>(W11*X11)/360</f>
        <v>0</v>
      </c>
      <c r="AB11" s="193">
        <f>(Z11*AA11)/360</f>
        <v>0</v>
      </c>
      <c r="AE11" s="193">
        <v>0</v>
      </c>
      <c r="AH11" s="193">
        <v>0</v>
      </c>
      <c r="AI11" s="226"/>
      <c r="AJ11" s="227"/>
      <c r="AK11" s="193">
        <f>(AI11*AJ11)/360</f>
        <v>0</v>
      </c>
      <c r="AL11" s="226"/>
      <c r="AM11" s="227"/>
      <c r="AN11" s="193">
        <f>(AL11*AM11)/360</f>
        <v>0</v>
      </c>
      <c r="AO11" s="226"/>
      <c r="AP11" s="227"/>
      <c r="AQ11" s="193">
        <f>(AO11*AP11)/360</f>
        <v>0</v>
      </c>
      <c r="AR11" s="226"/>
      <c r="AS11" s="227"/>
      <c r="AT11" s="193">
        <f>(AR11*AS11)/360</f>
        <v>0</v>
      </c>
      <c r="AW11" s="193">
        <f>(AU11*AV11)/360</f>
        <v>0</v>
      </c>
      <c r="AZ11" s="193">
        <f>(AX11*AY11)/360</f>
        <v>0</v>
      </c>
      <c r="BC11" s="193">
        <f>(BA11*BB11)/360</f>
        <v>0</v>
      </c>
      <c r="BF11" s="193">
        <f>(BD11*BE11)/360</f>
        <v>0</v>
      </c>
      <c r="BI11" s="193">
        <f>(BG11*BH11)/360</f>
        <v>0</v>
      </c>
      <c r="BL11" s="193">
        <f>(BJ11*BK11)/360</f>
        <v>0</v>
      </c>
      <c r="BO11" s="193">
        <f>(BM11*BN11)/360</f>
        <v>0</v>
      </c>
      <c r="BR11" s="193">
        <f>(BP11*BQ11)/360</f>
        <v>0</v>
      </c>
      <c r="BU11" s="193">
        <f>(BS11*BT11)/360</f>
        <v>0</v>
      </c>
      <c r="BX11" s="193">
        <f>(BV11*BW11)/360</f>
        <v>0</v>
      </c>
      <c r="CA11" s="193">
        <f>(BY11*BZ11)/360</f>
        <v>0</v>
      </c>
      <c r="CD11" s="193">
        <f>(CB11*CC11)/360</f>
        <v>0</v>
      </c>
      <c r="CG11" s="193">
        <f>(CE11*CF11)/360</f>
        <v>0</v>
      </c>
      <c r="CJ11" s="193">
        <f>(CH11*CI11)/360</f>
        <v>0</v>
      </c>
      <c r="CM11" s="193">
        <f>(CK11*CL11)/360</f>
        <v>0</v>
      </c>
      <c r="CP11" s="193">
        <f>(CN11*CO11)/360</f>
        <v>0</v>
      </c>
      <c r="CS11" s="193">
        <f>(CQ11*CR11)/360</f>
        <v>0</v>
      </c>
      <c r="CV11" s="193">
        <f>(CT11*CU11)/360</f>
        <v>0</v>
      </c>
      <c r="CY11" s="193">
        <f>(CW11*CX11)/360</f>
        <v>0</v>
      </c>
      <c r="DB11" s="193">
        <f>(CZ11*DA11)/360</f>
        <v>0</v>
      </c>
      <c r="DE11" s="193">
        <f>(DC11*DD11)/360</f>
        <v>0</v>
      </c>
      <c r="DH11" s="193">
        <f>(DF11*DG11)/360</f>
        <v>0</v>
      </c>
      <c r="DK11" s="193">
        <f>(DI11*DJ11)/360</f>
        <v>0</v>
      </c>
      <c r="DN11" s="193">
        <f>(DL11*DM11)/360</f>
        <v>0</v>
      </c>
      <c r="DQ11" s="193">
        <f>(DO11*DP11)/360</f>
        <v>0</v>
      </c>
      <c r="DT11" s="193">
        <f>(DR11*DS11)/360</f>
        <v>0</v>
      </c>
      <c r="DW11" s="193">
        <f>(DU11*DV11)/360</f>
        <v>0</v>
      </c>
      <c r="DZ11" s="193"/>
      <c r="EA11" s="193"/>
      <c r="EB11" s="228">
        <f>B11+E11+H11+K11+N11+Q11+T11+W11+Z11+AC11+AF11+AL11+AO11+AR11+AU11+AX11+BA11+BD11+BG11+DU11+AI11+DR11+DO11+DL11+DI11+DF11+DC11+CZ11+CW11+CT11+CQ11+CN11+CK11+CH11+CE11+CB11+BY11+BV11+BS11+BP11+BM11+BJ11</f>
        <v>0</v>
      </c>
      <c r="EC11" s="228">
        <f>EB11-EK11+EL11</f>
        <v>0</v>
      </c>
      <c r="ED11" s="193">
        <f>D11+G11+J11+M11+P11+S11+V11+Y11+AB11+AE11+AH11+AK11+AN11+AQ11+AT11+AW11+AZ11+BC11+BF11+BI11+DW11+DT11+DQ11+DN11+DK11+DH11+DE11+DB11+CY11+CV11+CS11+CP11+CM11+CJ11+CG11+CD11+CA11+BX11+BU11+BR11+BO11+BL11</f>
        <v>0</v>
      </c>
      <c r="EE11" s="194">
        <f>IF(EB11&lt;&gt;0,((ED11/EB11)*360),0)</f>
        <v>0</v>
      </c>
      <c r="EG11" s="228">
        <f>Q11+T11+W11+Z11+AC11+AF11</f>
        <v>0</v>
      </c>
      <c r="EH11" s="193">
        <f>S11+V11+Y11+AB11+AE11+AH11</f>
        <v>0</v>
      </c>
      <c r="EI11" s="194">
        <f>IF(EG11&lt;&gt;0,((EH11/EG11)*360),0)</f>
        <v>0</v>
      </c>
      <c r="EJ11" s="194"/>
      <c r="EK11" s="228">
        <f>DR11+DL11+DI11+DF11+DC11+CZ11+CW11+CT11+CQ11+CN11+CK11+CH11+CE11+CB11+BY11+BV11+BS11+BP11+BM11+BJ11+BG11+BD11+BA11+AX11+AU11+AR11+AO11+AL11+AI11+DO11</f>
        <v>0</v>
      </c>
      <c r="EL11" s="228">
        <f>DX11</f>
        <v>0</v>
      </c>
      <c r="EM11" s="228">
        <f>DT11+DQ11+DN11+DK11+DH11+DE11+DB11+CY11+CV11+CS11+CP11+CM11+CJ11+CG11+CD11+CA11+BX11+BU11+BR11+BO11+BL11+BI11+BF11+BC11+AZ11+AW11+AT11+AQ11+AN11+AK11</f>
        <v>0</v>
      </c>
      <c r="EN11" s="194">
        <f>IF(EK11&lt;&gt;0,((EM11/EK11)*360),0)</f>
        <v>0</v>
      </c>
      <c r="EP11" s="193"/>
    </row>
    <row r="12" spans="1:147" x14ac:dyDescent="0.2">
      <c r="A12" s="225">
        <f>1+A11</f>
        <v>44076</v>
      </c>
      <c r="B12" s="193">
        <v>0</v>
      </c>
      <c r="C12" s="194">
        <v>8.9999999999999998E-4</v>
      </c>
      <c r="D12" s="193">
        <f t="shared" ref="D12:D40" si="0">(B12*C12)/360</f>
        <v>0</v>
      </c>
      <c r="G12" s="193">
        <f t="shared" ref="G12:G40" si="1">(E12*F12)/360</f>
        <v>0</v>
      </c>
      <c r="J12" s="193">
        <f t="shared" ref="J12:J40" si="2">(H12*I12)/360</f>
        <v>0</v>
      </c>
      <c r="M12" s="193">
        <f t="shared" ref="M12:M40" si="3">(K12*L12)/360</f>
        <v>0</v>
      </c>
      <c r="P12" s="193">
        <f t="shared" ref="P12:P40" si="4">(N12*O12)/360</f>
        <v>0</v>
      </c>
      <c r="S12" s="193">
        <f t="shared" ref="S12:S40" si="5">(Q12*R12)/360</f>
        <v>0</v>
      </c>
      <c r="V12" s="193">
        <f t="shared" ref="V12:V40" si="6">(T12*U12)/360</f>
        <v>0</v>
      </c>
      <c r="Y12" s="193">
        <f t="shared" ref="Y12:Y40" si="7">(W12*X12)/360</f>
        <v>0</v>
      </c>
      <c r="AB12" s="193">
        <f t="shared" ref="AB12:AB40" si="8">(Z12*AA12)/360</f>
        <v>0</v>
      </c>
      <c r="AE12" s="193">
        <v>0</v>
      </c>
      <c r="AH12" s="193">
        <v>0</v>
      </c>
      <c r="AI12" s="226"/>
      <c r="AJ12" s="227"/>
      <c r="AK12" s="193">
        <f t="shared" ref="AK12:AK40" si="9">(AI12*AJ12)/360</f>
        <v>0</v>
      </c>
      <c r="AL12" s="226"/>
      <c r="AM12" s="227"/>
      <c r="AN12" s="193">
        <f t="shared" ref="AN12:AN40" si="10">(AL12*AM12)/360</f>
        <v>0</v>
      </c>
      <c r="AO12" s="226"/>
      <c r="AP12" s="227"/>
      <c r="AQ12" s="193">
        <f t="shared" ref="AQ12:AQ40" si="11">(AO12*AP12)/360</f>
        <v>0</v>
      </c>
      <c r="AR12" s="226"/>
      <c r="AS12" s="227"/>
      <c r="AT12" s="193">
        <f t="shared" ref="AT12:AT40" si="12">(AR12*AS12)/360</f>
        <v>0</v>
      </c>
      <c r="AW12" s="193">
        <f t="shared" ref="AW12:AW40" si="13">(AU12*AV12)/360</f>
        <v>0</v>
      </c>
      <c r="AZ12" s="193">
        <f t="shared" ref="AZ12:AZ40" si="14">(AX12*AY12)/360</f>
        <v>0</v>
      </c>
      <c r="BC12" s="193">
        <f t="shared" ref="BC12:BC40" si="15">(BA12*BB12)/360</f>
        <v>0</v>
      </c>
      <c r="BF12" s="193">
        <f t="shared" ref="BF12:BF40" si="16">(BD12*BE12)/360</f>
        <v>0</v>
      </c>
      <c r="BI12" s="193">
        <f t="shared" ref="BI12:BI40" si="17">(BG12*BH12)/360</f>
        <v>0</v>
      </c>
      <c r="BL12" s="193">
        <f t="shared" ref="BL12:BL40" si="18">(BJ12*BK12)/360</f>
        <v>0</v>
      </c>
      <c r="BO12" s="193">
        <f t="shared" ref="BO12:BO40" si="19">(BM12*BN12)/360</f>
        <v>0</v>
      </c>
      <c r="BR12" s="193">
        <f t="shared" ref="BR12:BR40" si="20">(BP12*BQ12)/360</f>
        <v>0</v>
      </c>
      <c r="BU12" s="193">
        <f t="shared" ref="BU12:BU40" si="21">(BS12*BT12)/360</f>
        <v>0</v>
      </c>
      <c r="BX12" s="193">
        <f t="shared" ref="BX12:BX40" si="22">(BV12*BW12)/360</f>
        <v>0</v>
      </c>
      <c r="CA12" s="193">
        <f t="shared" ref="CA12:CA40" si="23">(BY12*BZ12)/360</f>
        <v>0</v>
      </c>
      <c r="CD12" s="193">
        <f t="shared" ref="CD12:CD40" si="24">(CB12*CC12)/360</f>
        <v>0</v>
      </c>
      <c r="CG12" s="193">
        <f t="shared" ref="CG12:CG40" si="25">(CE12*CF12)/360</f>
        <v>0</v>
      </c>
      <c r="CJ12" s="193">
        <f t="shared" ref="CJ12:CJ40" si="26">(CH12*CI12)/360</f>
        <v>0</v>
      </c>
      <c r="CM12" s="193">
        <f t="shared" ref="CM12:CM40" si="27">(CK12*CL12)/360</f>
        <v>0</v>
      </c>
      <c r="CP12" s="193">
        <f t="shared" ref="CP12:CP40" si="28">(CN12*CO12)/360</f>
        <v>0</v>
      </c>
      <c r="CS12" s="193">
        <f t="shared" ref="CS12:CS40" si="29">(CQ12*CR12)/360</f>
        <v>0</v>
      </c>
      <c r="CV12" s="193">
        <f t="shared" ref="CV12:CV40" si="30">(CT12*CU12)/360</f>
        <v>0</v>
      </c>
      <c r="CY12" s="193">
        <f t="shared" ref="CY12:CY40" si="31">(CW12*CX12)/360</f>
        <v>0</v>
      </c>
      <c r="DB12" s="193">
        <f t="shared" ref="DB12:DB40" si="32">(CZ12*DA12)/360</f>
        <v>0</v>
      </c>
      <c r="DE12" s="193">
        <f t="shared" ref="DE12:DE40" si="33">(DC12*DD12)/360</f>
        <v>0</v>
      </c>
      <c r="DH12" s="193">
        <f t="shared" ref="DH12:DH40" si="34">(DF12*DG12)/360</f>
        <v>0</v>
      </c>
      <c r="DK12" s="193">
        <f t="shared" ref="DK12:DK40" si="35">(DI12*DJ12)/360</f>
        <v>0</v>
      </c>
      <c r="DN12" s="193">
        <f t="shared" ref="DN12:DN40" si="36">(DL12*DM12)/360</f>
        <v>0</v>
      </c>
      <c r="DQ12" s="193">
        <f t="shared" ref="DQ12:DQ40" si="37">(DO12*DP12)/360</f>
        <v>0</v>
      </c>
      <c r="DT12" s="193">
        <f t="shared" ref="DT12:DT40" si="38">(DR12*DS12)/360</f>
        <v>0</v>
      </c>
      <c r="DW12" s="193">
        <f t="shared" ref="DW12:DW40" si="39">(DU12*DV12)/360</f>
        <v>0</v>
      </c>
      <c r="DZ12" s="193"/>
      <c r="EA12" s="193"/>
      <c r="EB12" s="228">
        <f t="shared" ref="EB12:EB40" si="40">B12+E12+H12+K12+N12+Q12+T12+W12+Z12+AC12+AF12+AL12+AO12+AR12+AU12+AX12+BA12+BD12+BG12+DU12+AI12+DR12+DO12+DL12+DI12+DF12+DC12+CZ12+CW12+CT12+CQ12+CN12+CK12+CH12+CE12+CB12+BY12+BV12+BS12+BP12+BM12+BJ12</f>
        <v>0</v>
      </c>
      <c r="EC12" s="228">
        <f t="shared" ref="EC12:EC40" si="41">EB12-EK12+EL12</f>
        <v>0</v>
      </c>
      <c r="ED12" s="193">
        <f t="shared" ref="ED12:ED40" si="42">D12+G12+J12+M12+P12+S12+V12+Y12+AB12+AE12+AH12+AK12+AN12+AQ12+AT12+AW12+AZ12+BC12+BF12+BI12+DW12+DT12+DQ12+DN12+DK12+DH12+DE12+DB12+CY12+CV12+CS12+CP12+CM12+CJ12+CG12+CD12+CA12+BX12+BU12+BR12+BO12+BL12</f>
        <v>0</v>
      </c>
      <c r="EE12" s="194">
        <f t="shared" ref="EE12:EE40" si="43">IF(EB12&lt;&gt;0,((ED12/EB12)*360),0)</f>
        <v>0</v>
      </c>
      <c r="EG12" s="228">
        <f t="shared" ref="EG12:EG40" si="44">Q12+T12+W12+Z12+AC12+AF12</f>
        <v>0</v>
      </c>
      <c r="EH12" s="193">
        <f t="shared" ref="EH12:EH40" si="45">S12+V12+Y12+AB12+AE12+AH12</f>
        <v>0</v>
      </c>
      <c r="EI12" s="194">
        <f t="shared" ref="EI12:EI40" si="46">IF(EG12&lt;&gt;0,((EH12/EG12)*360),0)</f>
        <v>0</v>
      </c>
      <c r="EJ12" s="194"/>
      <c r="EK12" s="228">
        <f t="shared" ref="EK12:EK40" si="47">DR12+DL12+DI12+DF12+DC12+CZ12+CW12+CT12+CQ12+CN12+CK12+CH12+CE12+CB12+BY12+BV12+BS12+BP12+BM12+BJ12+BG12+BD12+BA12+AX12+AU12+AR12+AO12+AL12+AI12+DO12</f>
        <v>0</v>
      </c>
      <c r="EL12" s="228">
        <f t="shared" ref="EL12:EL40" si="48">DX12</f>
        <v>0</v>
      </c>
      <c r="EM12" s="228">
        <f t="shared" ref="EM12:EM40" si="49">DT12+DQ12+DN12+DK12+DH12+DE12+DB12+CY12+CV12+CS12+CP12+CM12+CJ12+CG12+CD12+CA12+BX12+BU12+BR12+BO12+BL12+BI12+BF12+BC12+AZ12+AW12+AT12+AQ12+AN12+AK12</f>
        <v>0</v>
      </c>
      <c r="EN12" s="194">
        <f t="shared" ref="EN12:EN40" si="50">IF(EK12&lt;&gt;0,((EM12/EK12)*360),0)</f>
        <v>0</v>
      </c>
      <c r="EP12" s="193"/>
    </row>
    <row r="13" spans="1:147" x14ac:dyDescent="0.2">
      <c r="A13" s="225">
        <f t="shared" ref="A13:A40" si="51">1+A12</f>
        <v>44077</v>
      </c>
      <c r="B13" s="193">
        <v>0</v>
      </c>
      <c r="C13" s="194">
        <v>8.9999999999999998E-4</v>
      </c>
      <c r="D13" s="193">
        <f t="shared" si="0"/>
        <v>0</v>
      </c>
      <c r="G13" s="193">
        <f t="shared" si="1"/>
        <v>0</v>
      </c>
      <c r="J13" s="193">
        <f t="shared" si="2"/>
        <v>0</v>
      </c>
      <c r="M13" s="193">
        <f t="shared" si="3"/>
        <v>0</v>
      </c>
      <c r="P13" s="193">
        <f t="shared" si="4"/>
        <v>0</v>
      </c>
      <c r="S13" s="193">
        <f t="shared" si="5"/>
        <v>0</v>
      </c>
      <c r="V13" s="193">
        <f t="shared" si="6"/>
        <v>0</v>
      </c>
      <c r="Y13" s="193">
        <f t="shared" si="7"/>
        <v>0</v>
      </c>
      <c r="AB13" s="193">
        <f t="shared" si="8"/>
        <v>0</v>
      </c>
      <c r="AE13" s="193">
        <v>0</v>
      </c>
      <c r="AH13" s="193">
        <v>0</v>
      </c>
      <c r="AI13" s="226"/>
      <c r="AJ13" s="227"/>
      <c r="AK13" s="193">
        <f t="shared" si="9"/>
        <v>0</v>
      </c>
      <c r="AL13" s="226"/>
      <c r="AM13" s="227"/>
      <c r="AN13" s="193">
        <f t="shared" si="10"/>
        <v>0</v>
      </c>
      <c r="AO13" s="226"/>
      <c r="AP13" s="227"/>
      <c r="AQ13" s="193">
        <f t="shared" si="11"/>
        <v>0</v>
      </c>
      <c r="AR13" s="226"/>
      <c r="AS13" s="227"/>
      <c r="AT13" s="193">
        <f t="shared" si="12"/>
        <v>0</v>
      </c>
      <c r="AW13" s="193">
        <f t="shared" si="13"/>
        <v>0</v>
      </c>
      <c r="AZ13" s="193">
        <f t="shared" si="14"/>
        <v>0</v>
      </c>
      <c r="BC13" s="193">
        <f t="shared" si="15"/>
        <v>0</v>
      </c>
      <c r="BF13" s="193">
        <f t="shared" si="16"/>
        <v>0</v>
      </c>
      <c r="BI13" s="193">
        <f t="shared" si="17"/>
        <v>0</v>
      </c>
      <c r="BL13" s="193">
        <f t="shared" si="18"/>
        <v>0</v>
      </c>
      <c r="BO13" s="193">
        <f t="shared" si="19"/>
        <v>0</v>
      </c>
      <c r="BR13" s="193">
        <f t="shared" si="20"/>
        <v>0</v>
      </c>
      <c r="BU13" s="193">
        <f t="shared" si="21"/>
        <v>0</v>
      </c>
      <c r="BX13" s="193">
        <f t="shared" si="22"/>
        <v>0</v>
      </c>
      <c r="CA13" s="193">
        <f t="shared" si="23"/>
        <v>0</v>
      </c>
      <c r="CD13" s="193">
        <f t="shared" si="24"/>
        <v>0</v>
      </c>
      <c r="CG13" s="193">
        <f t="shared" si="25"/>
        <v>0</v>
      </c>
      <c r="CJ13" s="193">
        <f t="shared" si="26"/>
        <v>0</v>
      </c>
      <c r="CM13" s="193">
        <f t="shared" si="27"/>
        <v>0</v>
      </c>
      <c r="CP13" s="193">
        <f t="shared" si="28"/>
        <v>0</v>
      </c>
      <c r="CS13" s="193">
        <f t="shared" si="29"/>
        <v>0</v>
      </c>
      <c r="CV13" s="193">
        <f t="shared" si="30"/>
        <v>0</v>
      </c>
      <c r="CY13" s="193">
        <f t="shared" si="31"/>
        <v>0</v>
      </c>
      <c r="DB13" s="193">
        <f t="shared" si="32"/>
        <v>0</v>
      </c>
      <c r="DE13" s="193">
        <f t="shared" si="33"/>
        <v>0</v>
      </c>
      <c r="DH13" s="193">
        <f t="shared" si="34"/>
        <v>0</v>
      </c>
      <c r="DK13" s="193">
        <f t="shared" si="35"/>
        <v>0</v>
      </c>
      <c r="DN13" s="193">
        <f t="shared" si="36"/>
        <v>0</v>
      </c>
      <c r="DQ13" s="193">
        <f t="shared" si="37"/>
        <v>0</v>
      </c>
      <c r="DT13" s="193">
        <f t="shared" si="38"/>
        <v>0</v>
      </c>
      <c r="DW13" s="193">
        <f t="shared" si="39"/>
        <v>0</v>
      </c>
      <c r="DZ13" s="193"/>
      <c r="EA13" s="193"/>
      <c r="EB13" s="228">
        <f t="shared" si="40"/>
        <v>0</v>
      </c>
      <c r="EC13" s="228">
        <f t="shared" si="41"/>
        <v>0</v>
      </c>
      <c r="ED13" s="193">
        <f t="shared" si="42"/>
        <v>0</v>
      </c>
      <c r="EE13" s="194">
        <f t="shared" si="43"/>
        <v>0</v>
      </c>
      <c r="EG13" s="228">
        <f t="shared" si="44"/>
        <v>0</v>
      </c>
      <c r="EH13" s="193">
        <f t="shared" si="45"/>
        <v>0</v>
      </c>
      <c r="EI13" s="194">
        <f t="shared" si="46"/>
        <v>0</v>
      </c>
      <c r="EJ13" s="194"/>
      <c r="EK13" s="228">
        <f t="shared" si="47"/>
        <v>0</v>
      </c>
      <c r="EL13" s="228">
        <f t="shared" si="48"/>
        <v>0</v>
      </c>
      <c r="EM13" s="228">
        <f t="shared" si="49"/>
        <v>0</v>
      </c>
      <c r="EN13" s="194">
        <f t="shared" si="50"/>
        <v>0</v>
      </c>
      <c r="EP13" s="193"/>
    </row>
    <row r="14" spans="1:147" x14ac:dyDescent="0.2">
      <c r="A14" s="225">
        <f t="shared" si="51"/>
        <v>44078</v>
      </c>
      <c r="B14" s="193">
        <v>0</v>
      </c>
      <c r="C14" s="194">
        <v>8.9999999999999998E-4</v>
      </c>
      <c r="D14" s="193">
        <f t="shared" si="0"/>
        <v>0</v>
      </c>
      <c r="G14" s="193">
        <f t="shared" si="1"/>
        <v>0</v>
      </c>
      <c r="J14" s="193">
        <f t="shared" si="2"/>
        <v>0</v>
      </c>
      <c r="M14" s="193">
        <f t="shared" si="3"/>
        <v>0</v>
      </c>
      <c r="P14" s="193">
        <f t="shared" si="4"/>
        <v>0</v>
      </c>
      <c r="S14" s="193">
        <f t="shared" si="5"/>
        <v>0</v>
      </c>
      <c r="V14" s="193">
        <f t="shared" si="6"/>
        <v>0</v>
      </c>
      <c r="Y14" s="193">
        <f t="shared" si="7"/>
        <v>0</v>
      </c>
      <c r="AB14" s="193">
        <f t="shared" si="8"/>
        <v>0</v>
      </c>
      <c r="AE14" s="193">
        <v>0</v>
      </c>
      <c r="AH14" s="193">
        <v>0</v>
      </c>
      <c r="AI14" s="226"/>
      <c r="AJ14" s="227"/>
      <c r="AK14" s="193">
        <f t="shared" si="9"/>
        <v>0</v>
      </c>
      <c r="AL14" s="226"/>
      <c r="AM14" s="227"/>
      <c r="AN14" s="193">
        <f t="shared" si="10"/>
        <v>0</v>
      </c>
      <c r="AO14" s="226"/>
      <c r="AP14" s="227"/>
      <c r="AQ14" s="193">
        <f t="shared" si="11"/>
        <v>0</v>
      </c>
      <c r="AR14" s="226"/>
      <c r="AS14" s="227"/>
      <c r="AT14" s="193">
        <f t="shared" si="12"/>
        <v>0</v>
      </c>
      <c r="AW14" s="193">
        <f t="shared" si="13"/>
        <v>0</v>
      </c>
      <c r="AZ14" s="193">
        <f t="shared" si="14"/>
        <v>0</v>
      </c>
      <c r="BC14" s="193">
        <f t="shared" si="15"/>
        <v>0</v>
      </c>
      <c r="BF14" s="193">
        <f t="shared" si="16"/>
        <v>0</v>
      </c>
      <c r="BI14" s="193">
        <f t="shared" si="17"/>
        <v>0</v>
      </c>
      <c r="BL14" s="193">
        <f t="shared" si="18"/>
        <v>0</v>
      </c>
      <c r="BO14" s="193">
        <f t="shared" si="19"/>
        <v>0</v>
      </c>
      <c r="BR14" s="193">
        <f t="shared" si="20"/>
        <v>0</v>
      </c>
      <c r="BU14" s="193">
        <f t="shared" si="21"/>
        <v>0</v>
      </c>
      <c r="BX14" s="193">
        <f t="shared" si="22"/>
        <v>0</v>
      </c>
      <c r="CA14" s="193">
        <f t="shared" si="23"/>
        <v>0</v>
      </c>
      <c r="CD14" s="193">
        <f t="shared" si="24"/>
        <v>0</v>
      </c>
      <c r="CG14" s="193">
        <f t="shared" si="25"/>
        <v>0</v>
      </c>
      <c r="CJ14" s="193">
        <f t="shared" si="26"/>
        <v>0</v>
      </c>
      <c r="CM14" s="193">
        <f t="shared" si="27"/>
        <v>0</v>
      </c>
      <c r="CP14" s="193">
        <f t="shared" si="28"/>
        <v>0</v>
      </c>
      <c r="CS14" s="193">
        <f t="shared" si="29"/>
        <v>0</v>
      </c>
      <c r="CV14" s="193">
        <f t="shared" si="30"/>
        <v>0</v>
      </c>
      <c r="CY14" s="193">
        <f t="shared" si="31"/>
        <v>0</v>
      </c>
      <c r="DB14" s="193">
        <f t="shared" si="32"/>
        <v>0</v>
      </c>
      <c r="DE14" s="193">
        <f t="shared" si="33"/>
        <v>0</v>
      </c>
      <c r="DH14" s="193">
        <f t="shared" si="34"/>
        <v>0</v>
      </c>
      <c r="DK14" s="193">
        <f t="shared" si="35"/>
        <v>0</v>
      </c>
      <c r="DN14" s="193">
        <f t="shared" si="36"/>
        <v>0</v>
      </c>
      <c r="DQ14" s="193">
        <f t="shared" si="37"/>
        <v>0</v>
      </c>
      <c r="DT14" s="193">
        <f t="shared" si="38"/>
        <v>0</v>
      </c>
      <c r="DW14" s="193">
        <f t="shared" si="39"/>
        <v>0</v>
      </c>
      <c r="DZ14" s="193"/>
      <c r="EA14" s="193"/>
      <c r="EB14" s="228">
        <f t="shared" si="40"/>
        <v>0</v>
      </c>
      <c r="EC14" s="228">
        <f t="shared" si="41"/>
        <v>0</v>
      </c>
      <c r="ED14" s="193">
        <f t="shared" si="42"/>
        <v>0</v>
      </c>
      <c r="EE14" s="194">
        <f t="shared" si="43"/>
        <v>0</v>
      </c>
      <c r="EG14" s="228">
        <f t="shared" si="44"/>
        <v>0</v>
      </c>
      <c r="EH14" s="193">
        <f t="shared" si="45"/>
        <v>0</v>
      </c>
      <c r="EI14" s="194">
        <f t="shared" si="46"/>
        <v>0</v>
      </c>
      <c r="EJ14" s="194"/>
      <c r="EK14" s="228">
        <f t="shared" si="47"/>
        <v>0</v>
      </c>
      <c r="EL14" s="228">
        <f t="shared" si="48"/>
        <v>0</v>
      </c>
      <c r="EM14" s="228">
        <f t="shared" si="49"/>
        <v>0</v>
      </c>
      <c r="EN14" s="194">
        <f t="shared" si="50"/>
        <v>0</v>
      </c>
      <c r="EP14" s="193"/>
    </row>
    <row r="15" spans="1:147" x14ac:dyDescent="0.2">
      <c r="A15" s="225">
        <f t="shared" si="51"/>
        <v>44079</v>
      </c>
      <c r="B15" s="193">
        <v>0</v>
      </c>
      <c r="C15" s="194">
        <v>8.9999999999999998E-4</v>
      </c>
      <c r="D15" s="193">
        <f t="shared" si="0"/>
        <v>0</v>
      </c>
      <c r="G15" s="193">
        <f t="shared" si="1"/>
        <v>0</v>
      </c>
      <c r="J15" s="193">
        <f t="shared" si="2"/>
        <v>0</v>
      </c>
      <c r="M15" s="193">
        <f t="shared" si="3"/>
        <v>0</v>
      </c>
      <c r="P15" s="193">
        <f t="shared" si="4"/>
        <v>0</v>
      </c>
      <c r="S15" s="193">
        <f t="shared" si="5"/>
        <v>0</v>
      </c>
      <c r="V15" s="193">
        <f t="shared" si="6"/>
        <v>0</v>
      </c>
      <c r="Y15" s="193">
        <f t="shared" si="7"/>
        <v>0</v>
      </c>
      <c r="AB15" s="193">
        <f t="shared" si="8"/>
        <v>0</v>
      </c>
      <c r="AE15" s="193">
        <v>0</v>
      </c>
      <c r="AH15" s="193">
        <v>0</v>
      </c>
      <c r="AI15" s="226"/>
      <c r="AJ15" s="227"/>
      <c r="AK15" s="193">
        <f t="shared" si="9"/>
        <v>0</v>
      </c>
      <c r="AL15" s="226"/>
      <c r="AM15" s="227"/>
      <c r="AN15" s="193">
        <f t="shared" si="10"/>
        <v>0</v>
      </c>
      <c r="AO15" s="226"/>
      <c r="AP15" s="227"/>
      <c r="AQ15" s="193">
        <f t="shared" si="11"/>
        <v>0</v>
      </c>
      <c r="AR15" s="226"/>
      <c r="AS15" s="227"/>
      <c r="AT15" s="193">
        <f t="shared" si="12"/>
        <v>0</v>
      </c>
      <c r="AW15" s="193">
        <f t="shared" si="13"/>
        <v>0</v>
      </c>
      <c r="AZ15" s="193">
        <f t="shared" si="14"/>
        <v>0</v>
      </c>
      <c r="BC15" s="193">
        <f t="shared" si="15"/>
        <v>0</v>
      </c>
      <c r="BF15" s="193">
        <f t="shared" si="16"/>
        <v>0</v>
      </c>
      <c r="BI15" s="193">
        <f t="shared" si="17"/>
        <v>0</v>
      </c>
      <c r="BL15" s="193">
        <f t="shared" si="18"/>
        <v>0</v>
      </c>
      <c r="BO15" s="193">
        <f t="shared" si="19"/>
        <v>0</v>
      </c>
      <c r="BR15" s="193">
        <f t="shared" si="20"/>
        <v>0</v>
      </c>
      <c r="BU15" s="193">
        <f t="shared" si="21"/>
        <v>0</v>
      </c>
      <c r="BX15" s="193">
        <f t="shared" si="22"/>
        <v>0</v>
      </c>
      <c r="CA15" s="193">
        <f t="shared" si="23"/>
        <v>0</v>
      </c>
      <c r="CD15" s="193">
        <f t="shared" si="24"/>
        <v>0</v>
      </c>
      <c r="CG15" s="193">
        <f t="shared" si="25"/>
        <v>0</v>
      </c>
      <c r="CJ15" s="193">
        <f t="shared" si="26"/>
        <v>0</v>
      </c>
      <c r="CM15" s="193">
        <f t="shared" si="27"/>
        <v>0</v>
      </c>
      <c r="CP15" s="193">
        <f t="shared" si="28"/>
        <v>0</v>
      </c>
      <c r="CS15" s="193">
        <f t="shared" si="29"/>
        <v>0</v>
      </c>
      <c r="CV15" s="193">
        <f t="shared" si="30"/>
        <v>0</v>
      </c>
      <c r="CY15" s="193">
        <f t="shared" si="31"/>
        <v>0</v>
      </c>
      <c r="DB15" s="193">
        <f t="shared" si="32"/>
        <v>0</v>
      </c>
      <c r="DE15" s="193">
        <f t="shared" si="33"/>
        <v>0</v>
      </c>
      <c r="DH15" s="193">
        <f t="shared" si="34"/>
        <v>0</v>
      </c>
      <c r="DK15" s="193">
        <f t="shared" si="35"/>
        <v>0</v>
      </c>
      <c r="DN15" s="193">
        <f t="shared" si="36"/>
        <v>0</v>
      </c>
      <c r="DQ15" s="193">
        <f t="shared" si="37"/>
        <v>0</v>
      </c>
      <c r="DT15" s="193">
        <f t="shared" si="38"/>
        <v>0</v>
      </c>
      <c r="DW15" s="193">
        <f t="shared" si="39"/>
        <v>0</v>
      </c>
      <c r="DZ15" s="193"/>
      <c r="EA15" s="193"/>
      <c r="EB15" s="228">
        <f t="shared" si="40"/>
        <v>0</v>
      </c>
      <c r="EC15" s="228">
        <f t="shared" si="41"/>
        <v>0</v>
      </c>
      <c r="ED15" s="193">
        <f t="shared" si="42"/>
        <v>0</v>
      </c>
      <c r="EE15" s="194">
        <f t="shared" si="43"/>
        <v>0</v>
      </c>
      <c r="EG15" s="228">
        <f t="shared" si="44"/>
        <v>0</v>
      </c>
      <c r="EH15" s="193">
        <f t="shared" si="45"/>
        <v>0</v>
      </c>
      <c r="EI15" s="194">
        <f t="shared" si="46"/>
        <v>0</v>
      </c>
      <c r="EJ15" s="194"/>
      <c r="EK15" s="228">
        <f t="shared" si="47"/>
        <v>0</v>
      </c>
      <c r="EL15" s="228">
        <f t="shared" si="48"/>
        <v>0</v>
      </c>
      <c r="EM15" s="228">
        <f t="shared" si="49"/>
        <v>0</v>
      </c>
      <c r="EN15" s="194">
        <f t="shared" si="50"/>
        <v>0</v>
      </c>
      <c r="EP15" s="193"/>
    </row>
    <row r="16" spans="1:147" x14ac:dyDescent="0.2">
      <c r="A16" s="225">
        <f t="shared" si="51"/>
        <v>44080</v>
      </c>
      <c r="B16" s="193">
        <v>0</v>
      </c>
      <c r="C16" s="194">
        <v>8.9999999999999998E-4</v>
      </c>
      <c r="D16" s="193">
        <f t="shared" si="0"/>
        <v>0</v>
      </c>
      <c r="G16" s="193">
        <f t="shared" si="1"/>
        <v>0</v>
      </c>
      <c r="J16" s="193">
        <f t="shared" si="2"/>
        <v>0</v>
      </c>
      <c r="M16" s="193">
        <f t="shared" si="3"/>
        <v>0</v>
      </c>
      <c r="P16" s="193">
        <f t="shared" si="4"/>
        <v>0</v>
      </c>
      <c r="S16" s="193">
        <f t="shared" si="5"/>
        <v>0</v>
      </c>
      <c r="V16" s="193">
        <f t="shared" si="6"/>
        <v>0</v>
      </c>
      <c r="Y16" s="193">
        <f t="shared" si="7"/>
        <v>0</v>
      </c>
      <c r="AB16" s="193">
        <f t="shared" si="8"/>
        <v>0</v>
      </c>
      <c r="AE16" s="193">
        <v>0</v>
      </c>
      <c r="AH16" s="193">
        <v>0</v>
      </c>
      <c r="AI16" s="226"/>
      <c r="AJ16" s="227"/>
      <c r="AK16" s="193">
        <f t="shared" si="9"/>
        <v>0</v>
      </c>
      <c r="AL16" s="226"/>
      <c r="AM16" s="227"/>
      <c r="AN16" s="193">
        <f t="shared" si="10"/>
        <v>0</v>
      </c>
      <c r="AO16" s="226"/>
      <c r="AP16" s="227"/>
      <c r="AQ16" s="193">
        <f t="shared" si="11"/>
        <v>0</v>
      </c>
      <c r="AR16" s="226"/>
      <c r="AS16" s="227"/>
      <c r="AT16" s="193">
        <f t="shared" si="12"/>
        <v>0</v>
      </c>
      <c r="AW16" s="193">
        <f t="shared" si="13"/>
        <v>0</v>
      </c>
      <c r="AZ16" s="193">
        <f t="shared" si="14"/>
        <v>0</v>
      </c>
      <c r="BC16" s="193">
        <f t="shared" si="15"/>
        <v>0</v>
      </c>
      <c r="BF16" s="193">
        <f t="shared" si="16"/>
        <v>0</v>
      </c>
      <c r="BI16" s="193">
        <f t="shared" si="17"/>
        <v>0</v>
      </c>
      <c r="BL16" s="193">
        <f t="shared" si="18"/>
        <v>0</v>
      </c>
      <c r="BO16" s="193">
        <f t="shared" si="19"/>
        <v>0</v>
      </c>
      <c r="BR16" s="193">
        <f t="shared" si="20"/>
        <v>0</v>
      </c>
      <c r="BU16" s="193">
        <f t="shared" si="21"/>
        <v>0</v>
      </c>
      <c r="BX16" s="193">
        <f t="shared" si="22"/>
        <v>0</v>
      </c>
      <c r="CA16" s="193">
        <f t="shared" si="23"/>
        <v>0</v>
      </c>
      <c r="CD16" s="193">
        <f t="shared" si="24"/>
        <v>0</v>
      </c>
      <c r="CG16" s="193">
        <f t="shared" si="25"/>
        <v>0</v>
      </c>
      <c r="CJ16" s="193">
        <f t="shared" si="26"/>
        <v>0</v>
      </c>
      <c r="CM16" s="193">
        <f t="shared" si="27"/>
        <v>0</v>
      </c>
      <c r="CP16" s="193">
        <f t="shared" si="28"/>
        <v>0</v>
      </c>
      <c r="CS16" s="193">
        <f t="shared" si="29"/>
        <v>0</v>
      </c>
      <c r="CV16" s="193">
        <f t="shared" si="30"/>
        <v>0</v>
      </c>
      <c r="CY16" s="193">
        <f t="shared" si="31"/>
        <v>0</v>
      </c>
      <c r="DB16" s="193">
        <f t="shared" si="32"/>
        <v>0</v>
      </c>
      <c r="DE16" s="193">
        <f t="shared" si="33"/>
        <v>0</v>
      </c>
      <c r="DH16" s="193">
        <f t="shared" si="34"/>
        <v>0</v>
      </c>
      <c r="DK16" s="193">
        <f t="shared" si="35"/>
        <v>0</v>
      </c>
      <c r="DN16" s="193">
        <f t="shared" si="36"/>
        <v>0</v>
      </c>
      <c r="DQ16" s="193">
        <f t="shared" si="37"/>
        <v>0</v>
      </c>
      <c r="DT16" s="193">
        <f t="shared" si="38"/>
        <v>0</v>
      </c>
      <c r="DW16" s="193">
        <f t="shared" si="39"/>
        <v>0</v>
      </c>
      <c r="DZ16" s="193"/>
      <c r="EA16" s="193"/>
      <c r="EB16" s="228">
        <f t="shared" si="40"/>
        <v>0</v>
      </c>
      <c r="EC16" s="228">
        <f t="shared" si="41"/>
        <v>0</v>
      </c>
      <c r="ED16" s="193">
        <f t="shared" si="42"/>
        <v>0</v>
      </c>
      <c r="EE16" s="194">
        <f t="shared" si="43"/>
        <v>0</v>
      </c>
      <c r="EG16" s="228">
        <f t="shared" si="44"/>
        <v>0</v>
      </c>
      <c r="EH16" s="193">
        <f t="shared" si="45"/>
        <v>0</v>
      </c>
      <c r="EI16" s="194">
        <f t="shared" si="46"/>
        <v>0</v>
      </c>
      <c r="EJ16" s="194"/>
      <c r="EK16" s="228">
        <f t="shared" si="47"/>
        <v>0</v>
      </c>
      <c r="EL16" s="228">
        <f t="shared" si="48"/>
        <v>0</v>
      </c>
      <c r="EM16" s="228">
        <f t="shared" si="49"/>
        <v>0</v>
      </c>
      <c r="EN16" s="194">
        <f t="shared" si="50"/>
        <v>0</v>
      </c>
      <c r="EP16" s="193"/>
    </row>
    <row r="17" spans="1:146" x14ac:dyDescent="0.2">
      <c r="A17" s="225">
        <f t="shared" si="51"/>
        <v>44081</v>
      </c>
      <c r="B17" s="193">
        <v>0</v>
      </c>
      <c r="C17" s="194">
        <v>8.9999999999999998E-4</v>
      </c>
      <c r="D17" s="193">
        <f t="shared" si="0"/>
        <v>0</v>
      </c>
      <c r="G17" s="193">
        <f t="shared" si="1"/>
        <v>0</v>
      </c>
      <c r="J17" s="193">
        <f t="shared" si="2"/>
        <v>0</v>
      </c>
      <c r="M17" s="193">
        <f t="shared" si="3"/>
        <v>0</v>
      </c>
      <c r="P17" s="193">
        <f t="shared" si="4"/>
        <v>0</v>
      </c>
      <c r="S17" s="193">
        <f t="shared" si="5"/>
        <v>0</v>
      </c>
      <c r="V17" s="193">
        <f t="shared" si="6"/>
        <v>0</v>
      </c>
      <c r="Y17" s="193">
        <f t="shared" si="7"/>
        <v>0</v>
      </c>
      <c r="AB17" s="193">
        <f t="shared" si="8"/>
        <v>0</v>
      </c>
      <c r="AE17" s="193">
        <v>0</v>
      </c>
      <c r="AH17" s="193">
        <v>0</v>
      </c>
      <c r="AI17" s="226"/>
      <c r="AJ17" s="227"/>
      <c r="AK17" s="193">
        <f t="shared" si="9"/>
        <v>0</v>
      </c>
      <c r="AL17" s="226"/>
      <c r="AM17" s="227"/>
      <c r="AN17" s="193">
        <f t="shared" si="10"/>
        <v>0</v>
      </c>
      <c r="AO17" s="226"/>
      <c r="AP17" s="227"/>
      <c r="AQ17" s="193">
        <f t="shared" si="11"/>
        <v>0</v>
      </c>
      <c r="AR17" s="226"/>
      <c r="AS17" s="227"/>
      <c r="AT17" s="193">
        <f t="shared" si="12"/>
        <v>0</v>
      </c>
      <c r="AW17" s="193">
        <f t="shared" si="13"/>
        <v>0</v>
      </c>
      <c r="AZ17" s="193">
        <f t="shared" si="14"/>
        <v>0</v>
      </c>
      <c r="BC17" s="193">
        <f t="shared" si="15"/>
        <v>0</v>
      </c>
      <c r="BF17" s="193">
        <f t="shared" si="16"/>
        <v>0</v>
      </c>
      <c r="BI17" s="193">
        <f t="shared" si="17"/>
        <v>0</v>
      </c>
      <c r="BL17" s="193">
        <f t="shared" si="18"/>
        <v>0</v>
      </c>
      <c r="BO17" s="193">
        <f t="shared" si="19"/>
        <v>0</v>
      </c>
      <c r="BR17" s="193">
        <f t="shared" si="20"/>
        <v>0</v>
      </c>
      <c r="BU17" s="193">
        <f t="shared" si="21"/>
        <v>0</v>
      </c>
      <c r="BX17" s="193">
        <f t="shared" si="22"/>
        <v>0</v>
      </c>
      <c r="CA17" s="193">
        <f t="shared" si="23"/>
        <v>0</v>
      </c>
      <c r="CD17" s="193">
        <f t="shared" si="24"/>
        <v>0</v>
      </c>
      <c r="CG17" s="193">
        <f t="shared" si="25"/>
        <v>0</v>
      </c>
      <c r="CJ17" s="193">
        <f t="shared" si="26"/>
        <v>0</v>
      </c>
      <c r="CM17" s="193">
        <f t="shared" si="27"/>
        <v>0</v>
      </c>
      <c r="CP17" s="193">
        <f t="shared" si="28"/>
        <v>0</v>
      </c>
      <c r="CS17" s="193">
        <f t="shared" si="29"/>
        <v>0</v>
      </c>
      <c r="CV17" s="193">
        <f t="shared" si="30"/>
        <v>0</v>
      </c>
      <c r="CY17" s="193">
        <f t="shared" si="31"/>
        <v>0</v>
      </c>
      <c r="DB17" s="193">
        <f t="shared" si="32"/>
        <v>0</v>
      </c>
      <c r="DE17" s="193">
        <f t="shared" si="33"/>
        <v>0</v>
      </c>
      <c r="DH17" s="193">
        <f t="shared" si="34"/>
        <v>0</v>
      </c>
      <c r="DK17" s="193">
        <f t="shared" si="35"/>
        <v>0</v>
      </c>
      <c r="DN17" s="193">
        <f t="shared" si="36"/>
        <v>0</v>
      </c>
      <c r="DQ17" s="193">
        <f t="shared" si="37"/>
        <v>0</v>
      </c>
      <c r="DT17" s="193">
        <f t="shared" si="38"/>
        <v>0</v>
      </c>
      <c r="DW17" s="193">
        <f t="shared" si="39"/>
        <v>0</v>
      </c>
      <c r="DZ17" s="193"/>
      <c r="EA17" s="193"/>
      <c r="EB17" s="228">
        <f t="shared" si="40"/>
        <v>0</v>
      </c>
      <c r="EC17" s="228">
        <f t="shared" si="41"/>
        <v>0</v>
      </c>
      <c r="ED17" s="193">
        <f t="shared" si="42"/>
        <v>0</v>
      </c>
      <c r="EE17" s="194">
        <f t="shared" si="43"/>
        <v>0</v>
      </c>
      <c r="EG17" s="228">
        <f t="shared" si="44"/>
        <v>0</v>
      </c>
      <c r="EH17" s="193">
        <f t="shared" si="45"/>
        <v>0</v>
      </c>
      <c r="EI17" s="194">
        <f t="shared" si="46"/>
        <v>0</v>
      </c>
      <c r="EJ17" s="194"/>
      <c r="EK17" s="228">
        <f t="shared" si="47"/>
        <v>0</v>
      </c>
      <c r="EL17" s="228">
        <f t="shared" si="48"/>
        <v>0</v>
      </c>
      <c r="EM17" s="228">
        <f t="shared" si="49"/>
        <v>0</v>
      </c>
      <c r="EN17" s="194">
        <f t="shared" si="50"/>
        <v>0</v>
      </c>
      <c r="EP17" s="193"/>
    </row>
    <row r="18" spans="1:146" x14ac:dyDescent="0.2">
      <c r="A18" s="225">
        <f t="shared" si="51"/>
        <v>44082</v>
      </c>
      <c r="B18" s="193">
        <v>0</v>
      </c>
      <c r="C18" s="194">
        <v>8.9999999999999998E-4</v>
      </c>
      <c r="D18" s="193">
        <f t="shared" si="0"/>
        <v>0</v>
      </c>
      <c r="G18" s="193">
        <f t="shared" si="1"/>
        <v>0</v>
      </c>
      <c r="J18" s="193">
        <f t="shared" si="2"/>
        <v>0</v>
      </c>
      <c r="M18" s="193">
        <f t="shared" si="3"/>
        <v>0</v>
      </c>
      <c r="P18" s="193">
        <f t="shared" si="4"/>
        <v>0</v>
      </c>
      <c r="S18" s="193">
        <f t="shared" si="5"/>
        <v>0</v>
      </c>
      <c r="V18" s="193">
        <f t="shared" si="6"/>
        <v>0</v>
      </c>
      <c r="Y18" s="193">
        <f t="shared" si="7"/>
        <v>0</v>
      </c>
      <c r="AB18" s="193">
        <f t="shared" si="8"/>
        <v>0</v>
      </c>
      <c r="AE18" s="193">
        <v>0</v>
      </c>
      <c r="AH18" s="193">
        <v>0</v>
      </c>
      <c r="AI18" s="226"/>
      <c r="AJ18" s="227"/>
      <c r="AK18" s="193">
        <f t="shared" si="9"/>
        <v>0</v>
      </c>
      <c r="AL18" s="226"/>
      <c r="AM18" s="227"/>
      <c r="AN18" s="193">
        <f t="shared" si="10"/>
        <v>0</v>
      </c>
      <c r="AO18" s="226"/>
      <c r="AP18" s="227"/>
      <c r="AQ18" s="193">
        <f t="shared" si="11"/>
        <v>0</v>
      </c>
      <c r="AR18" s="226"/>
      <c r="AS18" s="227"/>
      <c r="AT18" s="193">
        <f t="shared" si="12"/>
        <v>0</v>
      </c>
      <c r="AW18" s="193">
        <f t="shared" si="13"/>
        <v>0</v>
      </c>
      <c r="AZ18" s="193">
        <f t="shared" si="14"/>
        <v>0</v>
      </c>
      <c r="BC18" s="193">
        <f t="shared" si="15"/>
        <v>0</v>
      </c>
      <c r="BF18" s="193">
        <f t="shared" si="16"/>
        <v>0</v>
      </c>
      <c r="BI18" s="193">
        <f t="shared" si="17"/>
        <v>0</v>
      </c>
      <c r="BL18" s="193">
        <f t="shared" si="18"/>
        <v>0</v>
      </c>
      <c r="BO18" s="193">
        <f t="shared" si="19"/>
        <v>0</v>
      </c>
      <c r="BR18" s="193">
        <f t="shared" si="20"/>
        <v>0</v>
      </c>
      <c r="BU18" s="193">
        <f t="shared" si="21"/>
        <v>0</v>
      </c>
      <c r="BX18" s="193">
        <f t="shared" si="22"/>
        <v>0</v>
      </c>
      <c r="CA18" s="193">
        <f t="shared" si="23"/>
        <v>0</v>
      </c>
      <c r="CD18" s="193">
        <f t="shared" si="24"/>
        <v>0</v>
      </c>
      <c r="CG18" s="193">
        <f t="shared" si="25"/>
        <v>0</v>
      </c>
      <c r="CJ18" s="193">
        <f t="shared" si="26"/>
        <v>0</v>
      </c>
      <c r="CM18" s="193">
        <f t="shared" si="27"/>
        <v>0</v>
      </c>
      <c r="CP18" s="193">
        <f t="shared" si="28"/>
        <v>0</v>
      </c>
      <c r="CS18" s="193">
        <f t="shared" si="29"/>
        <v>0</v>
      </c>
      <c r="CV18" s="193">
        <f t="shared" si="30"/>
        <v>0</v>
      </c>
      <c r="CY18" s="193">
        <f t="shared" si="31"/>
        <v>0</v>
      </c>
      <c r="DB18" s="193">
        <f t="shared" si="32"/>
        <v>0</v>
      </c>
      <c r="DE18" s="193">
        <f t="shared" si="33"/>
        <v>0</v>
      </c>
      <c r="DH18" s="193">
        <f t="shared" si="34"/>
        <v>0</v>
      </c>
      <c r="DK18" s="193">
        <f t="shared" si="35"/>
        <v>0</v>
      </c>
      <c r="DN18" s="193">
        <f t="shared" si="36"/>
        <v>0</v>
      </c>
      <c r="DQ18" s="193">
        <f t="shared" si="37"/>
        <v>0</v>
      </c>
      <c r="DT18" s="193">
        <f t="shared" si="38"/>
        <v>0</v>
      </c>
      <c r="DW18" s="193">
        <f t="shared" si="39"/>
        <v>0</v>
      </c>
      <c r="DZ18" s="193"/>
      <c r="EA18" s="193"/>
      <c r="EB18" s="228">
        <f t="shared" si="40"/>
        <v>0</v>
      </c>
      <c r="EC18" s="228">
        <f t="shared" si="41"/>
        <v>0</v>
      </c>
      <c r="ED18" s="193">
        <f t="shared" si="42"/>
        <v>0</v>
      </c>
      <c r="EE18" s="194">
        <f t="shared" si="43"/>
        <v>0</v>
      </c>
      <c r="EG18" s="228">
        <f t="shared" si="44"/>
        <v>0</v>
      </c>
      <c r="EH18" s="193">
        <f t="shared" si="45"/>
        <v>0</v>
      </c>
      <c r="EI18" s="194">
        <f t="shared" si="46"/>
        <v>0</v>
      </c>
      <c r="EJ18" s="194"/>
      <c r="EK18" s="228">
        <f t="shared" si="47"/>
        <v>0</v>
      </c>
      <c r="EL18" s="228">
        <f t="shared" si="48"/>
        <v>0</v>
      </c>
      <c r="EM18" s="228">
        <f t="shared" si="49"/>
        <v>0</v>
      </c>
      <c r="EN18" s="194">
        <f t="shared" si="50"/>
        <v>0</v>
      </c>
      <c r="EP18" s="193"/>
    </row>
    <row r="19" spans="1:146" x14ac:dyDescent="0.2">
      <c r="A19" s="225">
        <f t="shared" si="51"/>
        <v>44083</v>
      </c>
      <c r="B19" s="193">
        <v>0</v>
      </c>
      <c r="C19" s="194">
        <v>8.9999999999999998E-4</v>
      </c>
      <c r="D19" s="193">
        <f t="shared" si="0"/>
        <v>0</v>
      </c>
      <c r="G19" s="193">
        <f t="shared" si="1"/>
        <v>0</v>
      </c>
      <c r="J19" s="193">
        <f t="shared" si="2"/>
        <v>0</v>
      </c>
      <c r="M19" s="193">
        <f t="shared" si="3"/>
        <v>0</v>
      </c>
      <c r="P19" s="193">
        <f t="shared" si="4"/>
        <v>0</v>
      </c>
      <c r="S19" s="193">
        <f t="shared" si="5"/>
        <v>0</v>
      </c>
      <c r="V19" s="193">
        <f t="shared" si="6"/>
        <v>0</v>
      </c>
      <c r="Y19" s="193">
        <f t="shared" si="7"/>
        <v>0</v>
      </c>
      <c r="AB19" s="193">
        <f t="shared" si="8"/>
        <v>0</v>
      </c>
      <c r="AE19" s="193">
        <v>0</v>
      </c>
      <c r="AH19" s="193">
        <v>0</v>
      </c>
      <c r="AI19" s="226"/>
      <c r="AJ19" s="227"/>
      <c r="AK19" s="193">
        <f t="shared" si="9"/>
        <v>0</v>
      </c>
      <c r="AL19" s="226"/>
      <c r="AM19" s="227"/>
      <c r="AN19" s="193">
        <f t="shared" si="10"/>
        <v>0</v>
      </c>
      <c r="AO19" s="226"/>
      <c r="AP19" s="227"/>
      <c r="AQ19" s="193">
        <f t="shared" si="11"/>
        <v>0</v>
      </c>
      <c r="AR19" s="226"/>
      <c r="AS19" s="227"/>
      <c r="AT19" s="193">
        <f t="shared" si="12"/>
        <v>0</v>
      </c>
      <c r="AW19" s="193">
        <f t="shared" si="13"/>
        <v>0</v>
      </c>
      <c r="AZ19" s="193">
        <f t="shared" si="14"/>
        <v>0</v>
      </c>
      <c r="BC19" s="193">
        <f t="shared" si="15"/>
        <v>0</v>
      </c>
      <c r="BF19" s="193">
        <f t="shared" si="16"/>
        <v>0</v>
      </c>
      <c r="BI19" s="193">
        <f t="shared" si="17"/>
        <v>0</v>
      </c>
      <c r="BL19" s="193">
        <f t="shared" si="18"/>
        <v>0</v>
      </c>
      <c r="BO19" s="193">
        <f t="shared" si="19"/>
        <v>0</v>
      </c>
      <c r="BR19" s="193">
        <f t="shared" si="20"/>
        <v>0</v>
      </c>
      <c r="BU19" s="193">
        <f t="shared" si="21"/>
        <v>0</v>
      </c>
      <c r="BX19" s="193">
        <f t="shared" si="22"/>
        <v>0</v>
      </c>
      <c r="CA19" s="193">
        <f t="shared" si="23"/>
        <v>0</v>
      </c>
      <c r="CD19" s="193">
        <f t="shared" si="24"/>
        <v>0</v>
      </c>
      <c r="CG19" s="193">
        <f t="shared" si="25"/>
        <v>0</v>
      </c>
      <c r="CJ19" s="193">
        <f t="shared" si="26"/>
        <v>0</v>
      </c>
      <c r="CM19" s="193">
        <f t="shared" si="27"/>
        <v>0</v>
      </c>
      <c r="CP19" s="193">
        <f t="shared" si="28"/>
        <v>0</v>
      </c>
      <c r="CS19" s="193">
        <f t="shared" si="29"/>
        <v>0</v>
      </c>
      <c r="CV19" s="193">
        <f t="shared" si="30"/>
        <v>0</v>
      </c>
      <c r="CY19" s="193">
        <f t="shared" si="31"/>
        <v>0</v>
      </c>
      <c r="DB19" s="193">
        <f t="shared" si="32"/>
        <v>0</v>
      </c>
      <c r="DE19" s="193">
        <f t="shared" si="33"/>
        <v>0</v>
      </c>
      <c r="DH19" s="193">
        <f t="shared" si="34"/>
        <v>0</v>
      </c>
      <c r="DK19" s="193">
        <f t="shared" si="35"/>
        <v>0</v>
      </c>
      <c r="DN19" s="193">
        <f t="shared" si="36"/>
        <v>0</v>
      </c>
      <c r="DQ19" s="193">
        <f t="shared" si="37"/>
        <v>0</v>
      </c>
      <c r="DT19" s="193">
        <f t="shared" si="38"/>
        <v>0</v>
      </c>
      <c r="DW19" s="193">
        <f t="shared" si="39"/>
        <v>0</v>
      </c>
      <c r="DZ19" s="193"/>
      <c r="EA19" s="193"/>
      <c r="EB19" s="228">
        <f t="shared" si="40"/>
        <v>0</v>
      </c>
      <c r="EC19" s="228">
        <f t="shared" si="41"/>
        <v>0</v>
      </c>
      <c r="ED19" s="193">
        <f t="shared" si="42"/>
        <v>0</v>
      </c>
      <c r="EE19" s="194">
        <f t="shared" si="43"/>
        <v>0</v>
      </c>
      <c r="EG19" s="228">
        <f t="shared" si="44"/>
        <v>0</v>
      </c>
      <c r="EH19" s="193">
        <f t="shared" si="45"/>
        <v>0</v>
      </c>
      <c r="EI19" s="194">
        <f t="shared" si="46"/>
        <v>0</v>
      </c>
      <c r="EJ19" s="194"/>
      <c r="EK19" s="228">
        <f t="shared" si="47"/>
        <v>0</v>
      </c>
      <c r="EL19" s="228">
        <f t="shared" si="48"/>
        <v>0</v>
      </c>
      <c r="EM19" s="228">
        <f t="shared" si="49"/>
        <v>0</v>
      </c>
      <c r="EN19" s="194">
        <f t="shared" si="50"/>
        <v>0</v>
      </c>
      <c r="EP19" s="193"/>
    </row>
    <row r="20" spans="1:146" x14ac:dyDescent="0.2">
      <c r="A20" s="225">
        <f t="shared" si="51"/>
        <v>44084</v>
      </c>
      <c r="B20" s="193">
        <v>0</v>
      </c>
      <c r="C20" s="194">
        <v>8.9999999999999998E-4</v>
      </c>
      <c r="D20" s="193">
        <f t="shared" si="0"/>
        <v>0</v>
      </c>
      <c r="G20" s="193">
        <f t="shared" si="1"/>
        <v>0</v>
      </c>
      <c r="J20" s="193">
        <f t="shared" si="2"/>
        <v>0</v>
      </c>
      <c r="M20" s="193">
        <f t="shared" si="3"/>
        <v>0</v>
      </c>
      <c r="P20" s="193">
        <f t="shared" si="4"/>
        <v>0</v>
      </c>
      <c r="S20" s="193">
        <f t="shared" si="5"/>
        <v>0</v>
      </c>
      <c r="V20" s="193">
        <f t="shared" si="6"/>
        <v>0</v>
      </c>
      <c r="Y20" s="193">
        <f t="shared" si="7"/>
        <v>0</v>
      </c>
      <c r="AB20" s="193">
        <f t="shared" si="8"/>
        <v>0</v>
      </c>
      <c r="AE20" s="193">
        <v>0</v>
      </c>
      <c r="AH20" s="193">
        <v>0</v>
      </c>
      <c r="AI20" s="226"/>
      <c r="AJ20" s="227"/>
      <c r="AK20" s="193">
        <f t="shared" si="9"/>
        <v>0</v>
      </c>
      <c r="AL20" s="226"/>
      <c r="AM20" s="227"/>
      <c r="AN20" s="193">
        <f t="shared" si="10"/>
        <v>0</v>
      </c>
      <c r="AO20" s="226"/>
      <c r="AP20" s="227"/>
      <c r="AQ20" s="193">
        <f t="shared" si="11"/>
        <v>0</v>
      </c>
      <c r="AR20" s="226"/>
      <c r="AS20" s="227"/>
      <c r="AT20" s="193">
        <f t="shared" si="12"/>
        <v>0</v>
      </c>
      <c r="AW20" s="193">
        <f t="shared" si="13"/>
        <v>0</v>
      </c>
      <c r="AZ20" s="193">
        <f t="shared" si="14"/>
        <v>0</v>
      </c>
      <c r="BC20" s="193">
        <f t="shared" si="15"/>
        <v>0</v>
      </c>
      <c r="BF20" s="193">
        <f t="shared" si="16"/>
        <v>0</v>
      </c>
      <c r="BI20" s="193">
        <f t="shared" si="17"/>
        <v>0</v>
      </c>
      <c r="BL20" s="193">
        <f t="shared" si="18"/>
        <v>0</v>
      </c>
      <c r="BO20" s="193">
        <f t="shared" si="19"/>
        <v>0</v>
      </c>
      <c r="BR20" s="193">
        <f t="shared" si="20"/>
        <v>0</v>
      </c>
      <c r="BU20" s="193">
        <f t="shared" si="21"/>
        <v>0</v>
      </c>
      <c r="BX20" s="193">
        <f t="shared" si="22"/>
        <v>0</v>
      </c>
      <c r="CA20" s="193">
        <f t="shared" si="23"/>
        <v>0</v>
      </c>
      <c r="CD20" s="193">
        <f t="shared" si="24"/>
        <v>0</v>
      </c>
      <c r="CG20" s="193">
        <f t="shared" si="25"/>
        <v>0</v>
      </c>
      <c r="CJ20" s="193">
        <f t="shared" si="26"/>
        <v>0</v>
      </c>
      <c r="CM20" s="193">
        <f t="shared" si="27"/>
        <v>0</v>
      </c>
      <c r="CP20" s="193">
        <f t="shared" si="28"/>
        <v>0</v>
      </c>
      <c r="CS20" s="193">
        <f t="shared" si="29"/>
        <v>0</v>
      </c>
      <c r="CV20" s="193">
        <f t="shared" si="30"/>
        <v>0</v>
      </c>
      <c r="CY20" s="193">
        <f t="shared" si="31"/>
        <v>0</v>
      </c>
      <c r="DB20" s="193">
        <f t="shared" si="32"/>
        <v>0</v>
      </c>
      <c r="DE20" s="193">
        <f t="shared" si="33"/>
        <v>0</v>
      </c>
      <c r="DH20" s="193">
        <f t="shared" si="34"/>
        <v>0</v>
      </c>
      <c r="DK20" s="193">
        <f t="shared" si="35"/>
        <v>0</v>
      </c>
      <c r="DN20" s="193">
        <f t="shared" si="36"/>
        <v>0</v>
      </c>
      <c r="DQ20" s="193">
        <f t="shared" si="37"/>
        <v>0</v>
      </c>
      <c r="DT20" s="193">
        <f t="shared" si="38"/>
        <v>0</v>
      </c>
      <c r="DW20" s="193">
        <f t="shared" si="39"/>
        <v>0</v>
      </c>
      <c r="DZ20" s="193"/>
      <c r="EA20" s="193"/>
      <c r="EB20" s="228">
        <f t="shared" si="40"/>
        <v>0</v>
      </c>
      <c r="EC20" s="228">
        <f t="shared" si="41"/>
        <v>0</v>
      </c>
      <c r="ED20" s="193">
        <f t="shared" si="42"/>
        <v>0</v>
      </c>
      <c r="EE20" s="194">
        <f t="shared" si="43"/>
        <v>0</v>
      </c>
      <c r="EG20" s="228">
        <f t="shared" si="44"/>
        <v>0</v>
      </c>
      <c r="EH20" s="193">
        <f t="shared" si="45"/>
        <v>0</v>
      </c>
      <c r="EI20" s="194">
        <f t="shared" si="46"/>
        <v>0</v>
      </c>
      <c r="EJ20" s="194"/>
      <c r="EK20" s="228">
        <f t="shared" si="47"/>
        <v>0</v>
      </c>
      <c r="EL20" s="228">
        <f t="shared" si="48"/>
        <v>0</v>
      </c>
      <c r="EM20" s="228">
        <f t="shared" si="49"/>
        <v>0</v>
      </c>
      <c r="EN20" s="194">
        <f t="shared" si="50"/>
        <v>0</v>
      </c>
      <c r="EP20" s="193"/>
    </row>
    <row r="21" spans="1:146" x14ac:dyDescent="0.2">
      <c r="A21" s="225">
        <f t="shared" si="51"/>
        <v>44085</v>
      </c>
      <c r="B21" s="193">
        <v>0</v>
      </c>
      <c r="C21" s="194">
        <v>1E-3</v>
      </c>
      <c r="D21" s="193">
        <f t="shared" si="0"/>
        <v>0</v>
      </c>
      <c r="G21" s="193">
        <f t="shared" si="1"/>
        <v>0</v>
      </c>
      <c r="J21" s="193">
        <f t="shared" si="2"/>
        <v>0</v>
      </c>
      <c r="M21" s="193">
        <f t="shared" si="3"/>
        <v>0</v>
      </c>
      <c r="P21" s="193">
        <f t="shared" si="4"/>
        <v>0</v>
      </c>
      <c r="S21" s="193">
        <f t="shared" si="5"/>
        <v>0</v>
      </c>
      <c r="V21" s="193">
        <f t="shared" si="6"/>
        <v>0</v>
      </c>
      <c r="Y21" s="193">
        <f t="shared" si="7"/>
        <v>0</v>
      </c>
      <c r="AB21" s="193">
        <f t="shared" si="8"/>
        <v>0</v>
      </c>
      <c r="AE21" s="193">
        <v>0</v>
      </c>
      <c r="AH21" s="193">
        <v>0</v>
      </c>
      <c r="AI21" s="226"/>
      <c r="AJ21" s="227"/>
      <c r="AK21" s="193">
        <f t="shared" si="9"/>
        <v>0</v>
      </c>
      <c r="AL21" s="226"/>
      <c r="AM21" s="227"/>
      <c r="AN21" s="193">
        <f t="shared" si="10"/>
        <v>0</v>
      </c>
      <c r="AO21" s="226"/>
      <c r="AP21" s="227"/>
      <c r="AQ21" s="193">
        <f t="shared" si="11"/>
        <v>0</v>
      </c>
      <c r="AR21" s="226"/>
      <c r="AS21" s="227"/>
      <c r="AT21" s="193">
        <f t="shared" si="12"/>
        <v>0</v>
      </c>
      <c r="AW21" s="193">
        <f t="shared" si="13"/>
        <v>0</v>
      </c>
      <c r="AZ21" s="193">
        <f t="shared" si="14"/>
        <v>0</v>
      </c>
      <c r="BC21" s="193">
        <f t="shared" si="15"/>
        <v>0</v>
      </c>
      <c r="BF21" s="193">
        <f t="shared" si="16"/>
        <v>0</v>
      </c>
      <c r="BI21" s="193">
        <f t="shared" si="17"/>
        <v>0</v>
      </c>
      <c r="BL21" s="193">
        <f t="shared" si="18"/>
        <v>0</v>
      </c>
      <c r="BO21" s="193">
        <f t="shared" si="19"/>
        <v>0</v>
      </c>
      <c r="BR21" s="193">
        <f t="shared" si="20"/>
        <v>0</v>
      </c>
      <c r="BU21" s="193">
        <f t="shared" si="21"/>
        <v>0</v>
      </c>
      <c r="BX21" s="193">
        <f t="shared" si="22"/>
        <v>0</v>
      </c>
      <c r="CA21" s="193">
        <f t="shared" si="23"/>
        <v>0</v>
      </c>
      <c r="CD21" s="193">
        <f t="shared" si="24"/>
        <v>0</v>
      </c>
      <c r="CG21" s="193">
        <f t="shared" si="25"/>
        <v>0</v>
      </c>
      <c r="CJ21" s="193">
        <f t="shared" si="26"/>
        <v>0</v>
      </c>
      <c r="CM21" s="193">
        <f t="shared" si="27"/>
        <v>0</v>
      </c>
      <c r="CP21" s="193">
        <f t="shared" si="28"/>
        <v>0</v>
      </c>
      <c r="CS21" s="193">
        <f t="shared" si="29"/>
        <v>0</v>
      </c>
      <c r="CV21" s="193">
        <f t="shared" si="30"/>
        <v>0</v>
      </c>
      <c r="CY21" s="193">
        <f t="shared" si="31"/>
        <v>0</v>
      </c>
      <c r="DB21" s="193">
        <f t="shared" si="32"/>
        <v>0</v>
      </c>
      <c r="DE21" s="193">
        <f t="shared" si="33"/>
        <v>0</v>
      </c>
      <c r="DH21" s="193">
        <f t="shared" si="34"/>
        <v>0</v>
      </c>
      <c r="DK21" s="193">
        <f t="shared" si="35"/>
        <v>0</v>
      </c>
      <c r="DN21" s="193">
        <f t="shared" si="36"/>
        <v>0</v>
      </c>
      <c r="DQ21" s="193">
        <f t="shared" si="37"/>
        <v>0</v>
      </c>
      <c r="DT21" s="193">
        <f t="shared" si="38"/>
        <v>0</v>
      </c>
      <c r="DW21" s="193">
        <f t="shared" si="39"/>
        <v>0</v>
      </c>
      <c r="DZ21" s="193"/>
      <c r="EA21" s="193"/>
      <c r="EB21" s="228">
        <f t="shared" si="40"/>
        <v>0</v>
      </c>
      <c r="EC21" s="228">
        <f t="shared" si="41"/>
        <v>0</v>
      </c>
      <c r="ED21" s="193">
        <f t="shared" si="42"/>
        <v>0</v>
      </c>
      <c r="EE21" s="194">
        <f t="shared" si="43"/>
        <v>0</v>
      </c>
      <c r="EG21" s="228">
        <f t="shared" si="44"/>
        <v>0</v>
      </c>
      <c r="EH21" s="193">
        <f t="shared" si="45"/>
        <v>0</v>
      </c>
      <c r="EI21" s="194">
        <f t="shared" si="46"/>
        <v>0</v>
      </c>
      <c r="EJ21" s="194"/>
      <c r="EK21" s="228">
        <f t="shared" si="47"/>
        <v>0</v>
      </c>
      <c r="EL21" s="228">
        <f t="shared" si="48"/>
        <v>0</v>
      </c>
      <c r="EM21" s="228">
        <f t="shared" si="49"/>
        <v>0</v>
      </c>
      <c r="EN21" s="194">
        <f t="shared" si="50"/>
        <v>0</v>
      </c>
      <c r="EP21" s="193"/>
    </row>
    <row r="22" spans="1:146" x14ac:dyDescent="0.2">
      <c r="A22" s="225">
        <f t="shared" si="51"/>
        <v>44086</v>
      </c>
      <c r="B22" s="193">
        <v>0</v>
      </c>
      <c r="C22" s="194">
        <v>1E-3</v>
      </c>
      <c r="D22" s="193">
        <f t="shared" si="0"/>
        <v>0</v>
      </c>
      <c r="G22" s="193">
        <f t="shared" si="1"/>
        <v>0</v>
      </c>
      <c r="J22" s="193">
        <f t="shared" si="2"/>
        <v>0</v>
      </c>
      <c r="M22" s="193">
        <f t="shared" si="3"/>
        <v>0</v>
      </c>
      <c r="P22" s="193">
        <f t="shared" si="4"/>
        <v>0</v>
      </c>
      <c r="S22" s="193">
        <f t="shared" si="5"/>
        <v>0</v>
      </c>
      <c r="V22" s="193">
        <f t="shared" si="6"/>
        <v>0</v>
      </c>
      <c r="Y22" s="193">
        <f t="shared" si="7"/>
        <v>0</v>
      </c>
      <c r="AB22" s="193">
        <f t="shared" si="8"/>
        <v>0</v>
      </c>
      <c r="AE22" s="193">
        <v>0</v>
      </c>
      <c r="AH22" s="193">
        <v>0</v>
      </c>
      <c r="AI22" s="226"/>
      <c r="AJ22" s="227"/>
      <c r="AK22" s="193">
        <f t="shared" si="9"/>
        <v>0</v>
      </c>
      <c r="AL22" s="226"/>
      <c r="AM22" s="227"/>
      <c r="AN22" s="193">
        <f t="shared" si="10"/>
        <v>0</v>
      </c>
      <c r="AO22" s="226"/>
      <c r="AP22" s="227"/>
      <c r="AQ22" s="193">
        <f t="shared" si="11"/>
        <v>0</v>
      </c>
      <c r="AR22" s="226"/>
      <c r="AS22" s="227"/>
      <c r="AT22" s="193">
        <f t="shared" si="12"/>
        <v>0</v>
      </c>
      <c r="AW22" s="193">
        <f t="shared" si="13"/>
        <v>0</v>
      </c>
      <c r="AZ22" s="193">
        <f t="shared" si="14"/>
        <v>0</v>
      </c>
      <c r="BC22" s="193">
        <f t="shared" si="15"/>
        <v>0</v>
      </c>
      <c r="BF22" s="193">
        <f t="shared" si="16"/>
        <v>0</v>
      </c>
      <c r="BI22" s="193">
        <f t="shared" si="17"/>
        <v>0</v>
      </c>
      <c r="BL22" s="193">
        <f t="shared" si="18"/>
        <v>0</v>
      </c>
      <c r="BO22" s="193">
        <f t="shared" si="19"/>
        <v>0</v>
      </c>
      <c r="BR22" s="193">
        <f t="shared" si="20"/>
        <v>0</v>
      </c>
      <c r="BU22" s="193">
        <f t="shared" si="21"/>
        <v>0</v>
      </c>
      <c r="BX22" s="193">
        <f t="shared" si="22"/>
        <v>0</v>
      </c>
      <c r="CA22" s="193">
        <f t="shared" si="23"/>
        <v>0</v>
      </c>
      <c r="CD22" s="193">
        <f t="shared" si="24"/>
        <v>0</v>
      </c>
      <c r="CG22" s="193">
        <f t="shared" si="25"/>
        <v>0</v>
      </c>
      <c r="CJ22" s="193">
        <f t="shared" si="26"/>
        <v>0</v>
      </c>
      <c r="CM22" s="193">
        <f t="shared" si="27"/>
        <v>0</v>
      </c>
      <c r="CP22" s="193">
        <f t="shared" si="28"/>
        <v>0</v>
      </c>
      <c r="CS22" s="193">
        <f t="shared" si="29"/>
        <v>0</v>
      </c>
      <c r="CV22" s="193">
        <f t="shared" si="30"/>
        <v>0</v>
      </c>
      <c r="CY22" s="193">
        <f t="shared" si="31"/>
        <v>0</v>
      </c>
      <c r="DB22" s="193">
        <f t="shared" si="32"/>
        <v>0</v>
      </c>
      <c r="DE22" s="193">
        <f t="shared" si="33"/>
        <v>0</v>
      </c>
      <c r="DH22" s="193">
        <f t="shared" si="34"/>
        <v>0</v>
      </c>
      <c r="DK22" s="193">
        <f t="shared" si="35"/>
        <v>0</v>
      </c>
      <c r="DN22" s="193">
        <f t="shared" si="36"/>
        <v>0</v>
      </c>
      <c r="DQ22" s="193">
        <f t="shared" si="37"/>
        <v>0</v>
      </c>
      <c r="DT22" s="193">
        <f t="shared" si="38"/>
        <v>0</v>
      </c>
      <c r="DW22" s="193">
        <f t="shared" si="39"/>
        <v>0</v>
      </c>
      <c r="DZ22" s="193"/>
      <c r="EA22" s="193"/>
      <c r="EB22" s="228">
        <f t="shared" si="40"/>
        <v>0</v>
      </c>
      <c r="EC22" s="228">
        <f t="shared" si="41"/>
        <v>0</v>
      </c>
      <c r="ED22" s="193">
        <f t="shared" si="42"/>
        <v>0</v>
      </c>
      <c r="EE22" s="194">
        <f t="shared" si="43"/>
        <v>0</v>
      </c>
      <c r="EG22" s="228">
        <f t="shared" si="44"/>
        <v>0</v>
      </c>
      <c r="EH22" s="193">
        <f t="shared" si="45"/>
        <v>0</v>
      </c>
      <c r="EI22" s="194">
        <f t="shared" si="46"/>
        <v>0</v>
      </c>
      <c r="EJ22" s="194"/>
      <c r="EK22" s="228">
        <f t="shared" si="47"/>
        <v>0</v>
      </c>
      <c r="EL22" s="228">
        <f t="shared" si="48"/>
        <v>0</v>
      </c>
      <c r="EM22" s="228">
        <f t="shared" si="49"/>
        <v>0</v>
      </c>
      <c r="EN22" s="194">
        <f t="shared" si="50"/>
        <v>0</v>
      </c>
      <c r="EP22" s="193"/>
    </row>
    <row r="23" spans="1:146" x14ac:dyDescent="0.2">
      <c r="A23" s="225">
        <f t="shared" si="51"/>
        <v>44087</v>
      </c>
      <c r="B23" s="193">
        <v>0</v>
      </c>
      <c r="C23" s="194">
        <v>1E-3</v>
      </c>
      <c r="D23" s="193">
        <f t="shared" si="0"/>
        <v>0</v>
      </c>
      <c r="G23" s="193">
        <f t="shared" si="1"/>
        <v>0</v>
      </c>
      <c r="J23" s="193">
        <f t="shared" si="2"/>
        <v>0</v>
      </c>
      <c r="M23" s="193">
        <f t="shared" si="3"/>
        <v>0</v>
      </c>
      <c r="P23" s="193">
        <f t="shared" si="4"/>
        <v>0</v>
      </c>
      <c r="S23" s="193">
        <f t="shared" si="5"/>
        <v>0</v>
      </c>
      <c r="V23" s="193">
        <f t="shared" si="6"/>
        <v>0</v>
      </c>
      <c r="Y23" s="193">
        <f t="shared" si="7"/>
        <v>0</v>
      </c>
      <c r="AB23" s="193">
        <f t="shared" si="8"/>
        <v>0</v>
      </c>
      <c r="AE23" s="193">
        <v>0</v>
      </c>
      <c r="AH23" s="193">
        <v>0</v>
      </c>
      <c r="AI23" s="226"/>
      <c r="AJ23" s="227"/>
      <c r="AK23" s="193">
        <f t="shared" si="9"/>
        <v>0</v>
      </c>
      <c r="AL23" s="226"/>
      <c r="AM23" s="227"/>
      <c r="AN23" s="193">
        <f t="shared" si="10"/>
        <v>0</v>
      </c>
      <c r="AO23" s="226"/>
      <c r="AP23" s="227"/>
      <c r="AQ23" s="193">
        <f t="shared" si="11"/>
        <v>0</v>
      </c>
      <c r="AR23" s="226"/>
      <c r="AS23" s="227"/>
      <c r="AT23" s="193">
        <f t="shared" si="12"/>
        <v>0</v>
      </c>
      <c r="AW23" s="193">
        <f t="shared" si="13"/>
        <v>0</v>
      </c>
      <c r="AZ23" s="193">
        <f t="shared" si="14"/>
        <v>0</v>
      </c>
      <c r="BC23" s="193">
        <f t="shared" si="15"/>
        <v>0</v>
      </c>
      <c r="BF23" s="193">
        <f t="shared" si="16"/>
        <v>0</v>
      </c>
      <c r="BI23" s="193">
        <f t="shared" si="17"/>
        <v>0</v>
      </c>
      <c r="BL23" s="193">
        <f t="shared" si="18"/>
        <v>0</v>
      </c>
      <c r="BO23" s="193">
        <f t="shared" si="19"/>
        <v>0</v>
      </c>
      <c r="BR23" s="193">
        <f t="shared" si="20"/>
        <v>0</v>
      </c>
      <c r="BU23" s="193">
        <f t="shared" si="21"/>
        <v>0</v>
      </c>
      <c r="BX23" s="193">
        <f t="shared" si="22"/>
        <v>0</v>
      </c>
      <c r="CA23" s="193">
        <f t="shared" si="23"/>
        <v>0</v>
      </c>
      <c r="CD23" s="193">
        <f t="shared" si="24"/>
        <v>0</v>
      </c>
      <c r="CG23" s="193">
        <f t="shared" si="25"/>
        <v>0</v>
      </c>
      <c r="CJ23" s="193">
        <f t="shared" si="26"/>
        <v>0</v>
      </c>
      <c r="CM23" s="193">
        <f t="shared" si="27"/>
        <v>0</v>
      </c>
      <c r="CP23" s="193">
        <f t="shared" si="28"/>
        <v>0</v>
      </c>
      <c r="CS23" s="193">
        <f t="shared" si="29"/>
        <v>0</v>
      </c>
      <c r="CV23" s="193">
        <f t="shared" si="30"/>
        <v>0</v>
      </c>
      <c r="CY23" s="193">
        <f t="shared" si="31"/>
        <v>0</v>
      </c>
      <c r="DB23" s="193">
        <f t="shared" si="32"/>
        <v>0</v>
      </c>
      <c r="DE23" s="193">
        <f t="shared" si="33"/>
        <v>0</v>
      </c>
      <c r="DH23" s="193">
        <f t="shared" si="34"/>
        <v>0</v>
      </c>
      <c r="DK23" s="193">
        <f t="shared" si="35"/>
        <v>0</v>
      </c>
      <c r="DN23" s="193">
        <f t="shared" si="36"/>
        <v>0</v>
      </c>
      <c r="DQ23" s="193">
        <f t="shared" si="37"/>
        <v>0</v>
      </c>
      <c r="DT23" s="193">
        <f t="shared" si="38"/>
        <v>0</v>
      </c>
      <c r="DW23" s="193">
        <f t="shared" si="39"/>
        <v>0</v>
      </c>
      <c r="DZ23" s="193"/>
      <c r="EA23" s="193"/>
      <c r="EB23" s="228">
        <f t="shared" si="40"/>
        <v>0</v>
      </c>
      <c r="EC23" s="228">
        <f t="shared" si="41"/>
        <v>0</v>
      </c>
      <c r="ED23" s="193">
        <f t="shared" si="42"/>
        <v>0</v>
      </c>
      <c r="EE23" s="194">
        <f t="shared" si="43"/>
        <v>0</v>
      </c>
      <c r="EG23" s="228">
        <f t="shared" si="44"/>
        <v>0</v>
      </c>
      <c r="EH23" s="193">
        <f t="shared" si="45"/>
        <v>0</v>
      </c>
      <c r="EI23" s="194">
        <f t="shared" si="46"/>
        <v>0</v>
      </c>
      <c r="EJ23" s="194"/>
      <c r="EK23" s="228">
        <f t="shared" si="47"/>
        <v>0</v>
      </c>
      <c r="EL23" s="228">
        <f t="shared" si="48"/>
        <v>0</v>
      </c>
      <c r="EM23" s="228">
        <f t="shared" si="49"/>
        <v>0</v>
      </c>
      <c r="EN23" s="194">
        <f t="shared" si="50"/>
        <v>0</v>
      </c>
      <c r="EP23" s="193"/>
    </row>
    <row r="24" spans="1:146" x14ac:dyDescent="0.2">
      <c r="A24" s="225">
        <f t="shared" si="51"/>
        <v>44088</v>
      </c>
      <c r="B24" s="193">
        <v>0</v>
      </c>
      <c r="C24" s="194">
        <v>8.9999999999999998E-4</v>
      </c>
      <c r="D24" s="193">
        <f t="shared" si="0"/>
        <v>0</v>
      </c>
      <c r="G24" s="193">
        <f t="shared" si="1"/>
        <v>0</v>
      </c>
      <c r="J24" s="193">
        <f t="shared" si="2"/>
        <v>0</v>
      </c>
      <c r="M24" s="193">
        <f t="shared" si="3"/>
        <v>0</v>
      </c>
      <c r="P24" s="193">
        <f t="shared" si="4"/>
        <v>0</v>
      </c>
      <c r="S24" s="193">
        <f t="shared" si="5"/>
        <v>0</v>
      </c>
      <c r="V24" s="193">
        <f t="shared" si="6"/>
        <v>0</v>
      </c>
      <c r="Y24" s="193">
        <f t="shared" si="7"/>
        <v>0</v>
      </c>
      <c r="AB24" s="193">
        <f t="shared" si="8"/>
        <v>0</v>
      </c>
      <c r="AE24" s="193">
        <v>0</v>
      </c>
      <c r="AH24" s="193">
        <v>0</v>
      </c>
      <c r="AI24" s="226"/>
      <c r="AJ24" s="227"/>
      <c r="AK24" s="193">
        <f t="shared" si="9"/>
        <v>0</v>
      </c>
      <c r="AL24" s="226"/>
      <c r="AM24" s="227"/>
      <c r="AN24" s="193">
        <f t="shared" si="10"/>
        <v>0</v>
      </c>
      <c r="AO24" s="226"/>
      <c r="AP24" s="227"/>
      <c r="AQ24" s="193">
        <f t="shared" si="11"/>
        <v>0</v>
      </c>
      <c r="AR24" s="226"/>
      <c r="AS24" s="227"/>
      <c r="AT24" s="193">
        <f t="shared" si="12"/>
        <v>0</v>
      </c>
      <c r="AW24" s="193">
        <f t="shared" si="13"/>
        <v>0</v>
      </c>
      <c r="AZ24" s="193">
        <f t="shared" si="14"/>
        <v>0</v>
      </c>
      <c r="BC24" s="193">
        <f t="shared" si="15"/>
        <v>0</v>
      </c>
      <c r="BF24" s="193">
        <f t="shared" si="16"/>
        <v>0</v>
      </c>
      <c r="BI24" s="193">
        <f t="shared" si="17"/>
        <v>0</v>
      </c>
      <c r="BL24" s="193">
        <f t="shared" si="18"/>
        <v>0</v>
      </c>
      <c r="BO24" s="193">
        <f t="shared" si="19"/>
        <v>0</v>
      </c>
      <c r="BR24" s="193">
        <f t="shared" si="20"/>
        <v>0</v>
      </c>
      <c r="BU24" s="193">
        <f t="shared" si="21"/>
        <v>0</v>
      </c>
      <c r="BX24" s="193">
        <f t="shared" si="22"/>
        <v>0</v>
      </c>
      <c r="CA24" s="193">
        <f t="shared" si="23"/>
        <v>0</v>
      </c>
      <c r="CD24" s="193">
        <f t="shared" si="24"/>
        <v>0</v>
      </c>
      <c r="CG24" s="193">
        <f t="shared" si="25"/>
        <v>0</v>
      </c>
      <c r="CJ24" s="193">
        <f t="shared" si="26"/>
        <v>0</v>
      </c>
      <c r="CM24" s="193">
        <f t="shared" si="27"/>
        <v>0</v>
      </c>
      <c r="CP24" s="193">
        <f t="shared" si="28"/>
        <v>0</v>
      </c>
      <c r="CS24" s="193">
        <f t="shared" si="29"/>
        <v>0</v>
      </c>
      <c r="CV24" s="193">
        <f t="shared" si="30"/>
        <v>0</v>
      </c>
      <c r="CY24" s="193">
        <f t="shared" si="31"/>
        <v>0</v>
      </c>
      <c r="DB24" s="193">
        <f t="shared" si="32"/>
        <v>0</v>
      </c>
      <c r="DE24" s="193">
        <f t="shared" si="33"/>
        <v>0</v>
      </c>
      <c r="DH24" s="193">
        <f t="shared" si="34"/>
        <v>0</v>
      </c>
      <c r="DK24" s="193">
        <f t="shared" si="35"/>
        <v>0</v>
      </c>
      <c r="DN24" s="193">
        <f t="shared" si="36"/>
        <v>0</v>
      </c>
      <c r="DQ24" s="193">
        <f t="shared" si="37"/>
        <v>0</v>
      </c>
      <c r="DT24" s="193">
        <f t="shared" si="38"/>
        <v>0</v>
      </c>
      <c r="DW24" s="193">
        <f t="shared" si="39"/>
        <v>0</v>
      </c>
      <c r="DZ24" s="193"/>
      <c r="EA24" s="193"/>
      <c r="EB24" s="228">
        <f t="shared" si="40"/>
        <v>0</v>
      </c>
      <c r="EC24" s="228">
        <f t="shared" si="41"/>
        <v>0</v>
      </c>
      <c r="ED24" s="193">
        <f t="shared" si="42"/>
        <v>0</v>
      </c>
      <c r="EE24" s="194">
        <f t="shared" si="43"/>
        <v>0</v>
      </c>
      <c r="EG24" s="228">
        <f t="shared" si="44"/>
        <v>0</v>
      </c>
      <c r="EH24" s="193">
        <f t="shared" si="45"/>
        <v>0</v>
      </c>
      <c r="EI24" s="194">
        <f t="shared" si="46"/>
        <v>0</v>
      </c>
      <c r="EJ24" s="194"/>
      <c r="EK24" s="228">
        <f t="shared" si="47"/>
        <v>0</v>
      </c>
      <c r="EL24" s="228">
        <f t="shared" si="48"/>
        <v>0</v>
      </c>
      <c r="EM24" s="228">
        <f t="shared" si="49"/>
        <v>0</v>
      </c>
      <c r="EN24" s="194">
        <f t="shared" si="50"/>
        <v>0</v>
      </c>
      <c r="EP24" s="193"/>
    </row>
    <row r="25" spans="1:146" x14ac:dyDescent="0.2">
      <c r="A25" s="225">
        <f t="shared" si="51"/>
        <v>44089</v>
      </c>
      <c r="B25" s="193">
        <v>0</v>
      </c>
      <c r="C25" s="194">
        <v>8.9999999999999998E-4</v>
      </c>
      <c r="D25" s="193">
        <f t="shared" si="0"/>
        <v>0</v>
      </c>
      <c r="G25" s="193">
        <f t="shared" si="1"/>
        <v>0</v>
      </c>
      <c r="J25" s="193">
        <f t="shared" si="2"/>
        <v>0</v>
      </c>
      <c r="M25" s="193">
        <f t="shared" si="3"/>
        <v>0</v>
      </c>
      <c r="P25" s="193">
        <f t="shared" si="4"/>
        <v>0</v>
      </c>
      <c r="S25" s="193">
        <f t="shared" si="5"/>
        <v>0</v>
      </c>
      <c r="V25" s="193">
        <f t="shared" si="6"/>
        <v>0</v>
      </c>
      <c r="Y25" s="193">
        <f t="shared" si="7"/>
        <v>0</v>
      </c>
      <c r="AB25" s="193">
        <f t="shared" si="8"/>
        <v>0</v>
      </c>
      <c r="AE25" s="193">
        <v>0</v>
      </c>
      <c r="AH25" s="193">
        <v>0</v>
      </c>
      <c r="AI25" s="226">
        <v>31700000</v>
      </c>
      <c r="AJ25" s="227">
        <v>2E-3</v>
      </c>
      <c r="AK25" s="193">
        <f t="shared" si="9"/>
        <v>176.11111111111111</v>
      </c>
      <c r="AL25" s="226"/>
      <c r="AM25" s="227"/>
      <c r="AN25" s="193">
        <f t="shared" si="10"/>
        <v>0</v>
      </c>
      <c r="AO25" s="226"/>
      <c r="AP25" s="227"/>
      <c r="AQ25" s="193">
        <f t="shared" si="11"/>
        <v>0</v>
      </c>
      <c r="AR25" s="226"/>
      <c r="AS25" s="227"/>
      <c r="AT25" s="193">
        <f t="shared" si="12"/>
        <v>0</v>
      </c>
      <c r="AW25" s="193">
        <f t="shared" si="13"/>
        <v>0</v>
      </c>
      <c r="AZ25" s="193">
        <f t="shared" si="14"/>
        <v>0</v>
      </c>
      <c r="BC25" s="193">
        <f t="shared" si="15"/>
        <v>0</v>
      </c>
      <c r="BF25" s="193">
        <f t="shared" si="16"/>
        <v>0</v>
      </c>
      <c r="BI25" s="193">
        <f t="shared" si="17"/>
        <v>0</v>
      </c>
      <c r="BL25" s="193">
        <f t="shared" si="18"/>
        <v>0</v>
      </c>
      <c r="BO25" s="193">
        <f t="shared" si="19"/>
        <v>0</v>
      </c>
      <c r="BR25" s="193">
        <f t="shared" si="20"/>
        <v>0</v>
      </c>
      <c r="BU25" s="193">
        <f t="shared" si="21"/>
        <v>0</v>
      </c>
      <c r="BX25" s="193">
        <f t="shared" si="22"/>
        <v>0</v>
      </c>
      <c r="CA25" s="193">
        <f t="shared" si="23"/>
        <v>0</v>
      </c>
      <c r="CD25" s="193">
        <f t="shared" si="24"/>
        <v>0</v>
      </c>
      <c r="CG25" s="193">
        <f t="shared" si="25"/>
        <v>0</v>
      </c>
      <c r="CJ25" s="193">
        <f t="shared" si="26"/>
        <v>0</v>
      </c>
      <c r="CM25" s="193">
        <f t="shared" si="27"/>
        <v>0</v>
      </c>
      <c r="CP25" s="193">
        <f t="shared" si="28"/>
        <v>0</v>
      </c>
      <c r="CS25" s="193">
        <f t="shared" si="29"/>
        <v>0</v>
      </c>
      <c r="CV25" s="193">
        <f t="shared" si="30"/>
        <v>0</v>
      </c>
      <c r="CY25" s="193">
        <f t="shared" si="31"/>
        <v>0</v>
      </c>
      <c r="DB25" s="193">
        <f t="shared" si="32"/>
        <v>0</v>
      </c>
      <c r="DE25" s="193">
        <f t="shared" si="33"/>
        <v>0</v>
      </c>
      <c r="DH25" s="193">
        <f t="shared" si="34"/>
        <v>0</v>
      </c>
      <c r="DK25" s="193">
        <f t="shared" si="35"/>
        <v>0</v>
      </c>
      <c r="DN25" s="193">
        <f t="shared" si="36"/>
        <v>0</v>
      </c>
      <c r="DQ25" s="193">
        <f t="shared" si="37"/>
        <v>0</v>
      </c>
      <c r="DT25" s="193">
        <f t="shared" si="38"/>
        <v>0</v>
      </c>
      <c r="DW25" s="193">
        <f t="shared" si="39"/>
        <v>0</v>
      </c>
      <c r="DZ25" s="193"/>
      <c r="EA25" s="193"/>
      <c r="EB25" s="228">
        <f t="shared" si="40"/>
        <v>31700000</v>
      </c>
      <c r="EC25" s="228">
        <f t="shared" si="41"/>
        <v>0</v>
      </c>
      <c r="ED25" s="193">
        <f t="shared" si="42"/>
        <v>176.11111111111111</v>
      </c>
      <c r="EE25" s="194">
        <f t="shared" si="43"/>
        <v>2E-3</v>
      </c>
      <c r="EG25" s="228">
        <f t="shared" si="44"/>
        <v>0</v>
      </c>
      <c r="EH25" s="193">
        <f t="shared" si="45"/>
        <v>0</v>
      </c>
      <c r="EI25" s="194">
        <f t="shared" si="46"/>
        <v>0</v>
      </c>
      <c r="EJ25" s="194"/>
      <c r="EK25" s="228">
        <f t="shared" si="47"/>
        <v>31700000</v>
      </c>
      <c r="EL25" s="228">
        <f t="shared" si="48"/>
        <v>0</v>
      </c>
      <c r="EM25" s="228">
        <f t="shared" si="49"/>
        <v>176.11111111111111</v>
      </c>
      <c r="EN25" s="194">
        <f t="shared" si="50"/>
        <v>2E-3</v>
      </c>
      <c r="EP25" s="193"/>
    </row>
    <row r="26" spans="1:146" x14ac:dyDescent="0.2">
      <c r="A26" s="225">
        <f t="shared" si="51"/>
        <v>44090</v>
      </c>
      <c r="B26" s="193">
        <v>16800000</v>
      </c>
      <c r="C26" s="194">
        <v>1E-3</v>
      </c>
      <c r="D26" s="193">
        <f t="shared" si="0"/>
        <v>46.666666666666664</v>
      </c>
      <c r="G26" s="193">
        <f t="shared" si="1"/>
        <v>0</v>
      </c>
      <c r="J26" s="193">
        <f t="shared" si="2"/>
        <v>0</v>
      </c>
      <c r="M26" s="193">
        <f t="shared" si="3"/>
        <v>0</v>
      </c>
      <c r="P26" s="193">
        <f t="shared" si="4"/>
        <v>0</v>
      </c>
      <c r="S26" s="193">
        <f t="shared" si="5"/>
        <v>0</v>
      </c>
      <c r="V26" s="193">
        <f t="shared" si="6"/>
        <v>0</v>
      </c>
      <c r="Y26" s="193">
        <f t="shared" si="7"/>
        <v>0</v>
      </c>
      <c r="AB26" s="193">
        <f t="shared" si="8"/>
        <v>0</v>
      </c>
      <c r="AE26" s="193">
        <v>0</v>
      </c>
      <c r="AH26" s="193">
        <v>0</v>
      </c>
      <c r="AI26" s="226"/>
      <c r="AJ26" s="227"/>
      <c r="AK26" s="193">
        <f t="shared" si="9"/>
        <v>0</v>
      </c>
      <c r="AL26" s="226"/>
      <c r="AM26" s="227"/>
      <c r="AN26" s="193">
        <f t="shared" si="10"/>
        <v>0</v>
      </c>
      <c r="AO26" s="226"/>
      <c r="AP26" s="227"/>
      <c r="AQ26" s="193">
        <f t="shared" si="11"/>
        <v>0</v>
      </c>
      <c r="AR26" s="226"/>
      <c r="AS26" s="227"/>
      <c r="AT26" s="193">
        <f t="shared" si="12"/>
        <v>0</v>
      </c>
      <c r="AW26" s="193">
        <f t="shared" si="13"/>
        <v>0</v>
      </c>
      <c r="AZ26" s="193">
        <f t="shared" si="14"/>
        <v>0</v>
      </c>
      <c r="BC26" s="193">
        <f t="shared" si="15"/>
        <v>0</v>
      </c>
      <c r="BF26" s="193">
        <f t="shared" si="16"/>
        <v>0</v>
      </c>
      <c r="BI26" s="193">
        <f t="shared" si="17"/>
        <v>0</v>
      </c>
      <c r="BL26" s="193">
        <f t="shared" si="18"/>
        <v>0</v>
      </c>
      <c r="BO26" s="193">
        <f t="shared" si="19"/>
        <v>0</v>
      </c>
      <c r="BR26" s="193">
        <f t="shared" si="20"/>
        <v>0</v>
      </c>
      <c r="BU26" s="193">
        <f t="shared" si="21"/>
        <v>0</v>
      </c>
      <c r="BX26" s="193">
        <f t="shared" si="22"/>
        <v>0</v>
      </c>
      <c r="CA26" s="193">
        <f t="shared" si="23"/>
        <v>0</v>
      </c>
      <c r="CD26" s="193">
        <f t="shared" si="24"/>
        <v>0</v>
      </c>
      <c r="CG26" s="193">
        <f t="shared" si="25"/>
        <v>0</v>
      </c>
      <c r="CJ26" s="193">
        <f t="shared" si="26"/>
        <v>0</v>
      </c>
      <c r="CM26" s="193">
        <f t="shared" si="27"/>
        <v>0</v>
      </c>
      <c r="CP26" s="193">
        <f t="shared" si="28"/>
        <v>0</v>
      </c>
      <c r="CS26" s="193">
        <f t="shared" si="29"/>
        <v>0</v>
      </c>
      <c r="CV26" s="193">
        <f t="shared" si="30"/>
        <v>0</v>
      </c>
      <c r="CY26" s="193">
        <f t="shared" si="31"/>
        <v>0</v>
      </c>
      <c r="DB26" s="193">
        <f t="shared" si="32"/>
        <v>0</v>
      </c>
      <c r="DE26" s="193">
        <f t="shared" si="33"/>
        <v>0</v>
      </c>
      <c r="DH26" s="193">
        <f t="shared" si="34"/>
        <v>0</v>
      </c>
      <c r="DK26" s="193">
        <f t="shared" si="35"/>
        <v>0</v>
      </c>
      <c r="DN26" s="193">
        <f t="shared" si="36"/>
        <v>0</v>
      </c>
      <c r="DQ26" s="193">
        <f t="shared" si="37"/>
        <v>0</v>
      </c>
      <c r="DT26" s="193">
        <f t="shared" si="38"/>
        <v>0</v>
      </c>
      <c r="DW26" s="193">
        <f t="shared" si="39"/>
        <v>0</v>
      </c>
      <c r="DZ26" s="193"/>
      <c r="EA26" s="193"/>
      <c r="EB26" s="228">
        <f t="shared" si="40"/>
        <v>16800000</v>
      </c>
      <c r="EC26" s="228">
        <f t="shared" si="41"/>
        <v>16800000</v>
      </c>
      <c r="ED26" s="193">
        <f t="shared" si="42"/>
        <v>46.666666666666664</v>
      </c>
      <c r="EE26" s="194">
        <f t="shared" si="43"/>
        <v>9.999999999999998E-4</v>
      </c>
      <c r="EG26" s="228">
        <f t="shared" si="44"/>
        <v>0</v>
      </c>
      <c r="EH26" s="193">
        <f t="shared" si="45"/>
        <v>0</v>
      </c>
      <c r="EI26" s="194">
        <f t="shared" si="46"/>
        <v>0</v>
      </c>
      <c r="EJ26" s="194"/>
      <c r="EK26" s="228">
        <f t="shared" si="47"/>
        <v>0</v>
      </c>
      <c r="EL26" s="228">
        <f t="shared" si="48"/>
        <v>0</v>
      </c>
      <c r="EM26" s="228">
        <f t="shared" si="49"/>
        <v>0</v>
      </c>
      <c r="EN26" s="194">
        <f t="shared" si="50"/>
        <v>0</v>
      </c>
      <c r="EP26" s="193"/>
    </row>
    <row r="27" spans="1:146" x14ac:dyDescent="0.2">
      <c r="A27" s="225">
        <f t="shared" si="51"/>
        <v>44091</v>
      </c>
      <c r="B27" s="193">
        <v>775000</v>
      </c>
      <c r="C27" s="194">
        <v>1E-3</v>
      </c>
      <c r="D27" s="193">
        <f t="shared" si="0"/>
        <v>2.1527777777777777</v>
      </c>
      <c r="G27" s="193">
        <f t="shared" si="1"/>
        <v>0</v>
      </c>
      <c r="J27" s="193">
        <f t="shared" si="2"/>
        <v>0</v>
      </c>
      <c r="M27" s="193">
        <f t="shared" si="3"/>
        <v>0</v>
      </c>
      <c r="P27" s="193">
        <f t="shared" si="4"/>
        <v>0</v>
      </c>
      <c r="S27" s="193">
        <f t="shared" si="5"/>
        <v>0</v>
      </c>
      <c r="V27" s="193">
        <f t="shared" si="6"/>
        <v>0</v>
      </c>
      <c r="Y27" s="193">
        <f t="shared" si="7"/>
        <v>0</v>
      </c>
      <c r="AB27" s="193">
        <f t="shared" si="8"/>
        <v>0</v>
      </c>
      <c r="AE27" s="193">
        <v>0</v>
      </c>
      <c r="AH27" s="193">
        <v>0</v>
      </c>
      <c r="AI27" s="226"/>
      <c r="AJ27" s="227"/>
      <c r="AK27" s="193">
        <f t="shared" si="9"/>
        <v>0</v>
      </c>
      <c r="AL27" s="226"/>
      <c r="AM27" s="227"/>
      <c r="AN27" s="193">
        <f t="shared" si="10"/>
        <v>0</v>
      </c>
      <c r="AO27" s="226"/>
      <c r="AP27" s="227"/>
      <c r="AQ27" s="193">
        <f t="shared" si="11"/>
        <v>0</v>
      </c>
      <c r="AR27" s="226"/>
      <c r="AS27" s="227"/>
      <c r="AT27" s="193">
        <f t="shared" si="12"/>
        <v>0</v>
      </c>
      <c r="AW27" s="193">
        <f t="shared" si="13"/>
        <v>0</v>
      </c>
      <c r="AZ27" s="193">
        <f t="shared" si="14"/>
        <v>0</v>
      </c>
      <c r="BC27" s="193">
        <f t="shared" si="15"/>
        <v>0</v>
      </c>
      <c r="BF27" s="193">
        <f t="shared" si="16"/>
        <v>0</v>
      </c>
      <c r="BI27" s="193">
        <f t="shared" si="17"/>
        <v>0</v>
      </c>
      <c r="BL27" s="193">
        <f t="shared" si="18"/>
        <v>0</v>
      </c>
      <c r="BO27" s="193">
        <f t="shared" si="19"/>
        <v>0</v>
      </c>
      <c r="BR27" s="193">
        <f t="shared" si="20"/>
        <v>0</v>
      </c>
      <c r="BU27" s="193">
        <f t="shared" si="21"/>
        <v>0</v>
      </c>
      <c r="BX27" s="193">
        <f t="shared" si="22"/>
        <v>0</v>
      </c>
      <c r="CA27" s="193">
        <f t="shared" si="23"/>
        <v>0</v>
      </c>
      <c r="CD27" s="193">
        <f t="shared" si="24"/>
        <v>0</v>
      </c>
      <c r="CG27" s="193">
        <f t="shared" si="25"/>
        <v>0</v>
      </c>
      <c r="CJ27" s="193">
        <f t="shared" si="26"/>
        <v>0</v>
      </c>
      <c r="CM27" s="193">
        <f t="shared" si="27"/>
        <v>0</v>
      </c>
      <c r="CP27" s="193">
        <f t="shared" si="28"/>
        <v>0</v>
      </c>
      <c r="CS27" s="193">
        <f t="shared" si="29"/>
        <v>0</v>
      </c>
      <c r="CV27" s="193">
        <f t="shared" si="30"/>
        <v>0</v>
      </c>
      <c r="CY27" s="193">
        <f t="shared" si="31"/>
        <v>0</v>
      </c>
      <c r="DB27" s="193">
        <f t="shared" si="32"/>
        <v>0</v>
      </c>
      <c r="DE27" s="193">
        <f t="shared" si="33"/>
        <v>0</v>
      </c>
      <c r="DH27" s="193">
        <f t="shared" si="34"/>
        <v>0</v>
      </c>
      <c r="DK27" s="193">
        <f t="shared" si="35"/>
        <v>0</v>
      </c>
      <c r="DN27" s="193">
        <f t="shared" si="36"/>
        <v>0</v>
      </c>
      <c r="DQ27" s="193">
        <f t="shared" si="37"/>
        <v>0</v>
      </c>
      <c r="DT27" s="193">
        <f t="shared" si="38"/>
        <v>0</v>
      </c>
      <c r="DW27" s="193">
        <f t="shared" si="39"/>
        <v>0</v>
      </c>
      <c r="DZ27" s="193"/>
      <c r="EA27" s="193"/>
      <c r="EB27" s="228">
        <f t="shared" si="40"/>
        <v>775000</v>
      </c>
      <c r="EC27" s="228">
        <f t="shared" si="41"/>
        <v>775000</v>
      </c>
      <c r="ED27" s="193">
        <f t="shared" si="42"/>
        <v>2.1527777777777777</v>
      </c>
      <c r="EE27" s="194">
        <f t="shared" si="43"/>
        <v>9.999999999999998E-4</v>
      </c>
      <c r="EG27" s="228">
        <f t="shared" si="44"/>
        <v>0</v>
      </c>
      <c r="EH27" s="193">
        <f t="shared" si="45"/>
        <v>0</v>
      </c>
      <c r="EI27" s="194">
        <f t="shared" si="46"/>
        <v>0</v>
      </c>
      <c r="EJ27" s="194"/>
      <c r="EK27" s="228">
        <f t="shared" si="47"/>
        <v>0</v>
      </c>
      <c r="EL27" s="228">
        <f t="shared" si="48"/>
        <v>0</v>
      </c>
      <c r="EM27" s="228">
        <f t="shared" si="49"/>
        <v>0</v>
      </c>
      <c r="EN27" s="194">
        <f t="shared" si="50"/>
        <v>0</v>
      </c>
      <c r="EP27" s="193"/>
    </row>
    <row r="28" spans="1:146" x14ac:dyDescent="0.2">
      <c r="A28" s="225">
        <f t="shared" si="51"/>
        <v>44092</v>
      </c>
      <c r="B28" s="193">
        <v>24025000</v>
      </c>
      <c r="C28" s="194">
        <v>1E-3</v>
      </c>
      <c r="D28" s="193">
        <f t="shared" si="0"/>
        <v>66.736111111111114</v>
      </c>
      <c r="G28" s="193">
        <f t="shared" si="1"/>
        <v>0</v>
      </c>
      <c r="J28" s="193">
        <f t="shared" si="2"/>
        <v>0</v>
      </c>
      <c r="M28" s="193">
        <f t="shared" si="3"/>
        <v>0</v>
      </c>
      <c r="P28" s="193">
        <f t="shared" si="4"/>
        <v>0</v>
      </c>
      <c r="S28" s="193">
        <f t="shared" si="5"/>
        <v>0</v>
      </c>
      <c r="V28" s="193">
        <f t="shared" si="6"/>
        <v>0</v>
      </c>
      <c r="Y28" s="193">
        <f t="shared" si="7"/>
        <v>0</v>
      </c>
      <c r="AB28" s="193">
        <f t="shared" si="8"/>
        <v>0</v>
      </c>
      <c r="AE28" s="193">
        <v>0</v>
      </c>
      <c r="AH28" s="193">
        <v>0</v>
      </c>
      <c r="AI28" s="226"/>
      <c r="AJ28" s="227"/>
      <c r="AK28" s="193">
        <f t="shared" si="9"/>
        <v>0</v>
      </c>
      <c r="AL28" s="226"/>
      <c r="AM28" s="227"/>
      <c r="AN28" s="193">
        <f t="shared" si="10"/>
        <v>0</v>
      </c>
      <c r="AO28" s="226"/>
      <c r="AP28" s="227"/>
      <c r="AQ28" s="193">
        <f t="shared" si="11"/>
        <v>0</v>
      </c>
      <c r="AR28" s="226"/>
      <c r="AS28" s="227"/>
      <c r="AT28" s="193">
        <f t="shared" si="12"/>
        <v>0</v>
      </c>
      <c r="AW28" s="193">
        <f t="shared" si="13"/>
        <v>0</v>
      </c>
      <c r="AZ28" s="193">
        <f t="shared" si="14"/>
        <v>0</v>
      </c>
      <c r="BC28" s="193">
        <f t="shared" si="15"/>
        <v>0</v>
      </c>
      <c r="BF28" s="193">
        <f t="shared" si="16"/>
        <v>0</v>
      </c>
      <c r="BI28" s="193">
        <f t="shared" si="17"/>
        <v>0</v>
      </c>
      <c r="BL28" s="193">
        <f t="shared" si="18"/>
        <v>0</v>
      </c>
      <c r="BO28" s="193">
        <f t="shared" si="19"/>
        <v>0</v>
      </c>
      <c r="BR28" s="193">
        <f t="shared" si="20"/>
        <v>0</v>
      </c>
      <c r="BU28" s="193">
        <f t="shared" si="21"/>
        <v>0</v>
      </c>
      <c r="BX28" s="193">
        <f t="shared" si="22"/>
        <v>0</v>
      </c>
      <c r="CA28" s="193">
        <f t="shared" si="23"/>
        <v>0</v>
      </c>
      <c r="CD28" s="193">
        <f t="shared" si="24"/>
        <v>0</v>
      </c>
      <c r="CG28" s="193">
        <f t="shared" si="25"/>
        <v>0</v>
      </c>
      <c r="CJ28" s="193">
        <f t="shared" si="26"/>
        <v>0</v>
      </c>
      <c r="CM28" s="193">
        <f t="shared" si="27"/>
        <v>0</v>
      </c>
      <c r="CP28" s="193">
        <f t="shared" si="28"/>
        <v>0</v>
      </c>
      <c r="CS28" s="193">
        <f t="shared" si="29"/>
        <v>0</v>
      </c>
      <c r="CV28" s="193">
        <f t="shared" si="30"/>
        <v>0</v>
      </c>
      <c r="CY28" s="193">
        <f t="shared" si="31"/>
        <v>0</v>
      </c>
      <c r="DB28" s="193">
        <f t="shared" si="32"/>
        <v>0</v>
      </c>
      <c r="DE28" s="193">
        <f t="shared" si="33"/>
        <v>0</v>
      </c>
      <c r="DH28" s="193">
        <f t="shared" si="34"/>
        <v>0</v>
      </c>
      <c r="DK28" s="193">
        <f t="shared" si="35"/>
        <v>0</v>
      </c>
      <c r="DN28" s="193">
        <f t="shared" si="36"/>
        <v>0</v>
      </c>
      <c r="DQ28" s="193">
        <f t="shared" si="37"/>
        <v>0</v>
      </c>
      <c r="DT28" s="193">
        <f t="shared" si="38"/>
        <v>0</v>
      </c>
      <c r="DW28" s="193">
        <f t="shared" si="39"/>
        <v>0</v>
      </c>
      <c r="DZ28" s="193"/>
      <c r="EA28" s="193"/>
      <c r="EB28" s="228">
        <f t="shared" si="40"/>
        <v>24025000</v>
      </c>
      <c r="EC28" s="228">
        <f t="shared" si="41"/>
        <v>24025000</v>
      </c>
      <c r="ED28" s="193">
        <f t="shared" si="42"/>
        <v>66.736111111111114</v>
      </c>
      <c r="EE28" s="194">
        <f t="shared" si="43"/>
        <v>1E-3</v>
      </c>
      <c r="EG28" s="228">
        <f t="shared" si="44"/>
        <v>0</v>
      </c>
      <c r="EH28" s="193">
        <f t="shared" si="45"/>
        <v>0</v>
      </c>
      <c r="EI28" s="194">
        <f t="shared" si="46"/>
        <v>0</v>
      </c>
      <c r="EJ28" s="194"/>
      <c r="EK28" s="228">
        <f t="shared" si="47"/>
        <v>0</v>
      </c>
      <c r="EL28" s="228">
        <f t="shared" si="48"/>
        <v>0</v>
      </c>
      <c r="EM28" s="228">
        <f t="shared" si="49"/>
        <v>0</v>
      </c>
      <c r="EN28" s="194">
        <f t="shared" si="50"/>
        <v>0</v>
      </c>
      <c r="EP28" s="193"/>
    </row>
    <row r="29" spans="1:146" x14ac:dyDescent="0.2">
      <c r="A29" s="225">
        <f t="shared" si="51"/>
        <v>44093</v>
      </c>
      <c r="B29" s="193">
        <v>24025000</v>
      </c>
      <c r="C29" s="194">
        <v>1E-3</v>
      </c>
      <c r="D29" s="193">
        <f t="shared" si="0"/>
        <v>66.736111111111114</v>
      </c>
      <c r="G29" s="193">
        <f t="shared" si="1"/>
        <v>0</v>
      </c>
      <c r="J29" s="193">
        <f t="shared" si="2"/>
        <v>0</v>
      </c>
      <c r="M29" s="193">
        <f t="shared" si="3"/>
        <v>0</v>
      </c>
      <c r="P29" s="193">
        <f t="shared" si="4"/>
        <v>0</v>
      </c>
      <c r="S29" s="193">
        <f t="shared" si="5"/>
        <v>0</v>
      </c>
      <c r="V29" s="193">
        <f t="shared" si="6"/>
        <v>0</v>
      </c>
      <c r="Y29" s="193">
        <f t="shared" si="7"/>
        <v>0</v>
      </c>
      <c r="AB29" s="193">
        <f t="shared" si="8"/>
        <v>0</v>
      </c>
      <c r="AE29" s="193">
        <v>0</v>
      </c>
      <c r="AH29" s="193">
        <v>0</v>
      </c>
      <c r="AI29" s="226"/>
      <c r="AJ29" s="227"/>
      <c r="AK29" s="193">
        <f t="shared" si="9"/>
        <v>0</v>
      </c>
      <c r="AL29" s="226"/>
      <c r="AM29" s="227"/>
      <c r="AN29" s="193">
        <f t="shared" si="10"/>
        <v>0</v>
      </c>
      <c r="AO29" s="226"/>
      <c r="AP29" s="227"/>
      <c r="AQ29" s="193">
        <f t="shared" si="11"/>
        <v>0</v>
      </c>
      <c r="AR29" s="226"/>
      <c r="AS29" s="227"/>
      <c r="AT29" s="193">
        <f t="shared" si="12"/>
        <v>0</v>
      </c>
      <c r="AW29" s="193">
        <f t="shared" si="13"/>
        <v>0</v>
      </c>
      <c r="AZ29" s="193">
        <f t="shared" si="14"/>
        <v>0</v>
      </c>
      <c r="BC29" s="193">
        <f t="shared" si="15"/>
        <v>0</v>
      </c>
      <c r="BF29" s="193">
        <f t="shared" si="16"/>
        <v>0</v>
      </c>
      <c r="BI29" s="193">
        <f t="shared" si="17"/>
        <v>0</v>
      </c>
      <c r="BL29" s="193">
        <f t="shared" si="18"/>
        <v>0</v>
      </c>
      <c r="BO29" s="193">
        <f t="shared" si="19"/>
        <v>0</v>
      </c>
      <c r="BR29" s="193">
        <f t="shared" si="20"/>
        <v>0</v>
      </c>
      <c r="BU29" s="193">
        <f t="shared" si="21"/>
        <v>0</v>
      </c>
      <c r="BX29" s="193">
        <f t="shared" si="22"/>
        <v>0</v>
      </c>
      <c r="CA29" s="193">
        <f t="shared" si="23"/>
        <v>0</v>
      </c>
      <c r="CD29" s="193">
        <f t="shared" si="24"/>
        <v>0</v>
      </c>
      <c r="CG29" s="193">
        <f t="shared" si="25"/>
        <v>0</v>
      </c>
      <c r="CJ29" s="193">
        <f t="shared" si="26"/>
        <v>0</v>
      </c>
      <c r="CM29" s="193">
        <f t="shared" si="27"/>
        <v>0</v>
      </c>
      <c r="CP29" s="193">
        <f t="shared" si="28"/>
        <v>0</v>
      </c>
      <c r="CS29" s="193">
        <f t="shared" si="29"/>
        <v>0</v>
      </c>
      <c r="CV29" s="193">
        <f t="shared" si="30"/>
        <v>0</v>
      </c>
      <c r="CY29" s="193">
        <f t="shared" si="31"/>
        <v>0</v>
      </c>
      <c r="DB29" s="193">
        <f t="shared" si="32"/>
        <v>0</v>
      </c>
      <c r="DE29" s="193">
        <f t="shared" si="33"/>
        <v>0</v>
      </c>
      <c r="DH29" s="193">
        <f t="shared" si="34"/>
        <v>0</v>
      </c>
      <c r="DK29" s="193">
        <f t="shared" si="35"/>
        <v>0</v>
      </c>
      <c r="DN29" s="193">
        <f t="shared" si="36"/>
        <v>0</v>
      </c>
      <c r="DQ29" s="193">
        <f t="shared" si="37"/>
        <v>0</v>
      </c>
      <c r="DT29" s="193">
        <f t="shared" si="38"/>
        <v>0</v>
      </c>
      <c r="DW29" s="193">
        <f t="shared" si="39"/>
        <v>0</v>
      </c>
      <c r="DZ29" s="193"/>
      <c r="EA29" s="193"/>
      <c r="EB29" s="228">
        <f t="shared" si="40"/>
        <v>24025000</v>
      </c>
      <c r="EC29" s="228">
        <f t="shared" si="41"/>
        <v>24025000</v>
      </c>
      <c r="ED29" s="193">
        <f t="shared" si="42"/>
        <v>66.736111111111114</v>
      </c>
      <c r="EE29" s="194">
        <f t="shared" si="43"/>
        <v>1E-3</v>
      </c>
      <c r="EG29" s="228">
        <f t="shared" si="44"/>
        <v>0</v>
      </c>
      <c r="EH29" s="193">
        <f t="shared" si="45"/>
        <v>0</v>
      </c>
      <c r="EI29" s="194">
        <f t="shared" si="46"/>
        <v>0</v>
      </c>
      <c r="EJ29" s="194"/>
      <c r="EK29" s="228">
        <f t="shared" si="47"/>
        <v>0</v>
      </c>
      <c r="EL29" s="228">
        <f t="shared" si="48"/>
        <v>0</v>
      </c>
      <c r="EM29" s="228">
        <f t="shared" si="49"/>
        <v>0</v>
      </c>
      <c r="EN29" s="194">
        <f t="shared" si="50"/>
        <v>0</v>
      </c>
      <c r="EP29" s="193"/>
    </row>
    <row r="30" spans="1:146" x14ac:dyDescent="0.2">
      <c r="A30" s="225">
        <f t="shared" si="51"/>
        <v>44094</v>
      </c>
      <c r="B30" s="193">
        <v>24025000</v>
      </c>
      <c r="C30" s="194">
        <v>1E-3</v>
      </c>
      <c r="D30" s="193">
        <f t="shared" si="0"/>
        <v>66.736111111111114</v>
      </c>
      <c r="G30" s="193">
        <f t="shared" si="1"/>
        <v>0</v>
      </c>
      <c r="J30" s="193">
        <f t="shared" si="2"/>
        <v>0</v>
      </c>
      <c r="M30" s="193">
        <f t="shared" si="3"/>
        <v>0</v>
      </c>
      <c r="P30" s="193">
        <f t="shared" si="4"/>
        <v>0</v>
      </c>
      <c r="S30" s="193">
        <f t="shared" si="5"/>
        <v>0</v>
      </c>
      <c r="V30" s="193">
        <f t="shared" si="6"/>
        <v>0</v>
      </c>
      <c r="Y30" s="193">
        <f t="shared" si="7"/>
        <v>0</v>
      </c>
      <c r="AB30" s="193">
        <f t="shared" si="8"/>
        <v>0</v>
      </c>
      <c r="AE30" s="193">
        <v>0</v>
      </c>
      <c r="AH30" s="193">
        <v>0</v>
      </c>
      <c r="AI30" s="226"/>
      <c r="AJ30" s="227"/>
      <c r="AK30" s="193">
        <f t="shared" si="9"/>
        <v>0</v>
      </c>
      <c r="AL30" s="226"/>
      <c r="AM30" s="227"/>
      <c r="AN30" s="193">
        <f t="shared" si="10"/>
        <v>0</v>
      </c>
      <c r="AO30" s="226"/>
      <c r="AP30" s="227"/>
      <c r="AQ30" s="193">
        <f t="shared" si="11"/>
        <v>0</v>
      </c>
      <c r="AR30" s="226"/>
      <c r="AS30" s="227"/>
      <c r="AT30" s="193">
        <f t="shared" si="12"/>
        <v>0</v>
      </c>
      <c r="AW30" s="193">
        <f t="shared" si="13"/>
        <v>0</v>
      </c>
      <c r="AZ30" s="193">
        <f t="shared" si="14"/>
        <v>0</v>
      </c>
      <c r="BC30" s="193">
        <f t="shared" si="15"/>
        <v>0</v>
      </c>
      <c r="BF30" s="193">
        <f t="shared" si="16"/>
        <v>0</v>
      </c>
      <c r="BI30" s="193">
        <f t="shared" si="17"/>
        <v>0</v>
      </c>
      <c r="BL30" s="193">
        <f t="shared" si="18"/>
        <v>0</v>
      </c>
      <c r="BO30" s="193">
        <f t="shared" si="19"/>
        <v>0</v>
      </c>
      <c r="BR30" s="193">
        <f t="shared" si="20"/>
        <v>0</v>
      </c>
      <c r="BU30" s="193">
        <f t="shared" si="21"/>
        <v>0</v>
      </c>
      <c r="BX30" s="193">
        <f t="shared" si="22"/>
        <v>0</v>
      </c>
      <c r="CA30" s="193">
        <f t="shared" si="23"/>
        <v>0</v>
      </c>
      <c r="CD30" s="193">
        <f t="shared" si="24"/>
        <v>0</v>
      </c>
      <c r="CG30" s="193">
        <f t="shared" si="25"/>
        <v>0</v>
      </c>
      <c r="CJ30" s="193">
        <f t="shared" si="26"/>
        <v>0</v>
      </c>
      <c r="CM30" s="193">
        <f t="shared" si="27"/>
        <v>0</v>
      </c>
      <c r="CP30" s="193">
        <f t="shared" si="28"/>
        <v>0</v>
      </c>
      <c r="CS30" s="193">
        <f t="shared" si="29"/>
        <v>0</v>
      </c>
      <c r="CV30" s="193">
        <f t="shared" si="30"/>
        <v>0</v>
      </c>
      <c r="CY30" s="193">
        <f t="shared" si="31"/>
        <v>0</v>
      </c>
      <c r="DB30" s="193">
        <f t="shared" si="32"/>
        <v>0</v>
      </c>
      <c r="DE30" s="193">
        <f t="shared" si="33"/>
        <v>0</v>
      </c>
      <c r="DH30" s="193">
        <f t="shared" si="34"/>
        <v>0</v>
      </c>
      <c r="DK30" s="193">
        <f t="shared" si="35"/>
        <v>0</v>
      </c>
      <c r="DN30" s="193">
        <f t="shared" si="36"/>
        <v>0</v>
      </c>
      <c r="DQ30" s="193">
        <f t="shared" si="37"/>
        <v>0</v>
      </c>
      <c r="DT30" s="193">
        <f t="shared" si="38"/>
        <v>0</v>
      </c>
      <c r="DW30" s="193">
        <f t="shared" si="39"/>
        <v>0</v>
      </c>
      <c r="DZ30" s="193"/>
      <c r="EA30" s="193"/>
      <c r="EB30" s="228">
        <f t="shared" si="40"/>
        <v>24025000</v>
      </c>
      <c r="EC30" s="228">
        <f t="shared" si="41"/>
        <v>24025000</v>
      </c>
      <c r="ED30" s="193">
        <f t="shared" si="42"/>
        <v>66.736111111111114</v>
      </c>
      <c r="EE30" s="194">
        <f t="shared" si="43"/>
        <v>1E-3</v>
      </c>
      <c r="EG30" s="228">
        <f t="shared" si="44"/>
        <v>0</v>
      </c>
      <c r="EH30" s="193">
        <f t="shared" si="45"/>
        <v>0</v>
      </c>
      <c r="EI30" s="194">
        <f t="shared" si="46"/>
        <v>0</v>
      </c>
      <c r="EJ30" s="194"/>
      <c r="EK30" s="228">
        <f t="shared" si="47"/>
        <v>0</v>
      </c>
      <c r="EL30" s="228">
        <f t="shared" si="48"/>
        <v>0</v>
      </c>
      <c r="EM30" s="228">
        <f t="shared" si="49"/>
        <v>0</v>
      </c>
      <c r="EN30" s="194">
        <f t="shared" si="50"/>
        <v>0</v>
      </c>
      <c r="EP30" s="193"/>
    </row>
    <row r="31" spans="1:146" x14ac:dyDescent="0.2">
      <c r="A31" s="225">
        <f t="shared" si="51"/>
        <v>44095</v>
      </c>
      <c r="B31" s="193">
        <v>33475000</v>
      </c>
      <c r="C31" s="194">
        <v>1.2999999999999999E-3</v>
      </c>
      <c r="D31" s="193">
        <f t="shared" si="0"/>
        <v>120.88194444444444</v>
      </c>
      <c r="G31" s="193">
        <f t="shared" si="1"/>
        <v>0</v>
      </c>
      <c r="J31" s="193">
        <f t="shared" si="2"/>
        <v>0</v>
      </c>
      <c r="M31" s="193">
        <f t="shared" si="3"/>
        <v>0</v>
      </c>
      <c r="P31" s="193">
        <f t="shared" si="4"/>
        <v>0</v>
      </c>
      <c r="S31" s="193">
        <f t="shared" si="5"/>
        <v>0</v>
      </c>
      <c r="V31" s="193">
        <f t="shared" si="6"/>
        <v>0</v>
      </c>
      <c r="Y31" s="193">
        <f t="shared" si="7"/>
        <v>0</v>
      </c>
      <c r="AB31" s="193">
        <f t="shared" si="8"/>
        <v>0</v>
      </c>
      <c r="AE31" s="193">
        <v>0</v>
      </c>
      <c r="AH31" s="193">
        <v>0</v>
      </c>
      <c r="AI31" s="226"/>
      <c r="AJ31" s="227"/>
      <c r="AK31" s="193">
        <f t="shared" si="9"/>
        <v>0</v>
      </c>
      <c r="AL31" s="226"/>
      <c r="AM31" s="227"/>
      <c r="AN31" s="193">
        <f t="shared" si="10"/>
        <v>0</v>
      </c>
      <c r="AO31" s="226"/>
      <c r="AP31" s="227"/>
      <c r="AQ31" s="193">
        <f t="shared" si="11"/>
        <v>0</v>
      </c>
      <c r="AR31" s="226"/>
      <c r="AS31" s="227"/>
      <c r="AT31" s="193">
        <f t="shared" si="12"/>
        <v>0</v>
      </c>
      <c r="AW31" s="193">
        <f t="shared" si="13"/>
        <v>0</v>
      </c>
      <c r="AZ31" s="193">
        <f t="shared" si="14"/>
        <v>0</v>
      </c>
      <c r="BC31" s="193">
        <f t="shared" si="15"/>
        <v>0</v>
      </c>
      <c r="BF31" s="193">
        <f t="shared" si="16"/>
        <v>0</v>
      </c>
      <c r="BI31" s="193">
        <f t="shared" si="17"/>
        <v>0</v>
      </c>
      <c r="BL31" s="193">
        <f t="shared" si="18"/>
        <v>0</v>
      </c>
      <c r="BO31" s="193">
        <f t="shared" si="19"/>
        <v>0</v>
      </c>
      <c r="BR31" s="193">
        <f t="shared" si="20"/>
        <v>0</v>
      </c>
      <c r="BU31" s="193">
        <f t="shared" si="21"/>
        <v>0</v>
      </c>
      <c r="BX31" s="193">
        <f t="shared" si="22"/>
        <v>0</v>
      </c>
      <c r="CA31" s="193">
        <f t="shared" si="23"/>
        <v>0</v>
      </c>
      <c r="CD31" s="193">
        <f t="shared" si="24"/>
        <v>0</v>
      </c>
      <c r="CG31" s="193">
        <f t="shared" si="25"/>
        <v>0</v>
      </c>
      <c r="CJ31" s="193">
        <f t="shared" si="26"/>
        <v>0</v>
      </c>
      <c r="CM31" s="193">
        <f t="shared" si="27"/>
        <v>0</v>
      </c>
      <c r="CP31" s="193">
        <f t="shared" si="28"/>
        <v>0</v>
      </c>
      <c r="CS31" s="193">
        <f t="shared" si="29"/>
        <v>0</v>
      </c>
      <c r="CV31" s="193">
        <f t="shared" si="30"/>
        <v>0</v>
      </c>
      <c r="CY31" s="193">
        <f t="shared" si="31"/>
        <v>0</v>
      </c>
      <c r="DB31" s="193">
        <f t="shared" si="32"/>
        <v>0</v>
      </c>
      <c r="DE31" s="193">
        <f t="shared" si="33"/>
        <v>0</v>
      </c>
      <c r="DH31" s="193">
        <f t="shared" si="34"/>
        <v>0</v>
      </c>
      <c r="DK31" s="193">
        <f t="shared" si="35"/>
        <v>0</v>
      </c>
      <c r="DN31" s="193">
        <f t="shared" si="36"/>
        <v>0</v>
      </c>
      <c r="DQ31" s="193">
        <f t="shared" si="37"/>
        <v>0</v>
      </c>
      <c r="DT31" s="193">
        <f t="shared" si="38"/>
        <v>0</v>
      </c>
      <c r="DW31" s="193">
        <f t="shared" si="39"/>
        <v>0</v>
      </c>
      <c r="DZ31" s="193"/>
      <c r="EA31" s="193"/>
      <c r="EB31" s="228">
        <f t="shared" si="40"/>
        <v>33475000</v>
      </c>
      <c r="EC31" s="228">
        <f t="shared" si="41"/>
        <v>33475000</v>
      </c>
      <c r="ED31" s="193">
        <f t="shared" si="42"/>
        <v>120.88194444444444</v>
      </c>
      <c r="EE31" s="194">
        <f t="shared" si="43"/>
        <v>1.2999999999999999E-3</v>
      </c>
      <c r="EG31" s="228">
        <f t="shared" si="44"/>
        <v>0</v>
      </c>
      <c r="EH31" s="193">
        <f t="shared" si="45"/>
        <v>0</v>
      </c>
      <c r="EI31" s="194">
        <f t="shared" si="46"/>
        <v>0</v>
      </c>
      <c r="EJ31" s="194"/>
      <c r="EK31" s="228">
        <f t="shared" si="47"/>
        <v>0</v>
      </c>
      <c r="EL31" s="228">
        <f t="shared" si="48"/>
        <v>0</v>
      </c>
      <c r="EM31" s="228">
        <f t="shared" si="49"/>
        <v>0</v>
      </c>
      <c r="EN31" s="194">
        <f t="shared" si="50"/>
        <v>0</v>
      </c>
      <c r="EP31" s="193"/>
    </row>
    <row r="32" spans="1:146" x14ac:dyDescent="0.2">
      <c r="A32" s="225">
        <f t="shared" si="51"/>
        <v>44096</v>
      </c>
      <c r="B32" s="193">
        <v>14200000</v>
      </c>
      <c r="C32" s="194">
        <v>1.2999999999999999E-3</v>
      </c>
      <c r="D32" s="193">
        <f t="shared" si="0"/>
        <v>51.277777777777779</v>
      </c>
      <c r="G32" s="193">
        <f t="shared" si="1"/>
        <v>0</v>
      </c>
      <c r="J32" s="193">
        <f t="shared" si="2"/>
        <v>0</v>
      </c>
      <c r="M32" s="193">
        <f t="shared" si="3"/>
        <v>0</v>
      </c>
      <c r="P32" s="193">
        <f t="shared" si="4"/>
        <v>0</v>
      </c>
      <c r="S32" s="193">
        <f t="shared" si="5"/>
        <v>0</v>
      </c>
      <c r="V32" s="193">
        <f t="shared" si="6"/>
        <v>0</v>
      </c>
      <c r="Y32" s="193">
        <f t="shared" si="7"/>
        <v>0</v>
      </c>
      <c r="AB32" s="193">
        <f t="shared" si="8"/>
        <v>0</v>
      </c>
      <c r="AE32" s="193">
        <v>0</v>
      </c>
      <c r="AH32" s="193">
        <v>0</v>
      </c>
      <c r="AI32" s="226"/>
      <c r="AJ32" s="227"/>
      <c r="AK32" s="193">
        <f t="shared" si="9"/>
        <v>0</v>
      </c>
      <c r="AL32" s="226"/>
      <c r="AM32" s="227"/>
      <c r="AN32" s="193">
        <f t="shared" si="10"/>
        <v>0</v>
      </c>
      <c r="AO32" s="226"/>
      <c r="AP32" s="227"/>
      <c r="AQ32" s="193">
        <f t="shared" si="11"/>
        <v>0</v>
      </c>
      <c r="AR32" s="226"/>
      <c r="AS32" s="227"/>
      <c r="AT32" s="193">
        <f t="shared" si="12"/>
        <v>0</v>
      </c>
      <c r="AW32" s="193">
        <f t="shared" si="13"/>
        <v>0</v>
      </c>
      <c r="AZ32" s="193">
        <f t="shared" si="14"/>
        <v>0</v>
      </c>
      <c r="BC32" s="193">
        <f t="shared" si="15"/>
        <v>0</v>
      </c>
      <c r="BF32" s="193">
        <f t="shared" si="16"/>
        <v>0</v>
      </c>
      <c r="BI32" s="193">
        <f t="shared" si="17"/>
        <v>0</v>
      </c>
      <c r="BL32" s="193">
        <f t="shared" si="18"/>
        <v>0</v>
      </c>
      <c r="BO32" s="193">
        <f t="shared" si="19"/>
        <v>0</v>
      </c>
      <c r="BR32" s="193">
        <f t="shared" si="20"/>
        <v>0</v>
      </c>
      <c r="BU32" s="193">
        <f t="shared" si="21"/>
        <v>0</v>
      </c>
      <c r="BX32" s="193">
        <f t="shared" si="22"/>
        <v>0</v>
      </c>
      <c r="CA32" s="193">
        <f t="shared" si="23"/>
        <v>0</v>
      </c>
      <c r="CD32" s="193">
        <f t="shared" si="24"/>
        <v>0</v>
      </c>
      <c r="CG32" s="193">
        <f t="shared" si="25"/>
        <v>0</v>
      </c>
      <c r="CJ32" s="193">
        <f t="shared" si="26"/>
        <v>0</v>
      </c>
      <c r="CM32" s="193">
        <f t="shared" si="27"/>
        <v>0</v>
      </c>
      <c r="CP32" s="193">
        <f t="shared" si="28"/>
        <v>0</v>
      </c>
      <c r="CS32" s="193">
        <f t="shared" si="29"/>
        <v>0</v>
      </c>
      <c r="CV32" s="193">
        <f t="shared" si="30"/>
        <v>0</v>
      </c>
      <c r="CY32" s="193">
        <f t="shared" si="31"/>
        <v>0</v>
      </c>
      <c r="DB32" s="193">
        <f t="shared" si="32"/>
        <v>0</v>
      </c>
      <c r="DE32" s="193">
        <f t="shared" si="33"/>
        <v>0</v>
      </c>
      <c r="DH32" s="193">
        <f t="shared" si="34"/>
        <v>0</v>
      </c>
      <c r="DK32" s="193">
        <f t="shared" si="35"/>
        <v>0</v>
      </c>
      <c r="DN32" s="193">
        <f t="shared" si="36"/>
        <v>0</v>
      </c>
      <c r="DQ32" s="193">
        <f t="shared" si="37"/>
        <v>0</v>
      </c>
      <c r="DT32" s="193">
        <f t="shared" si="38"/>
        <v>0</v>
      </c>
      <c r="DW32" s="193">
        <f t="shared" si="39"/>
        <v>0</v>
      </c>
      <c r="DZ32" s="193"/>
      <c r="EA32" s="193"/>
      <c r="EB32" s="228">
        <f t="shared" si="40"/>
        <v>14200000</v>
      </c>
      <c r="EC32" s="228">
        <f t="shared" si="41"/>
        <v>14200000</v>
      </c>
      <c r="ED32" s="193">
        <f t="shared" si="42"/>
        <v>51.277777777777779</v>
      </c>
      <c r="EE32" s="194">
        <f t="shared" si="43"/>
        <v>1.2999999999999999E-3</v>
      </c>
      <c r="EG32" s="228">
        <f t="shared" si="44"/>
        <v>0</v>
      </c>
      <c r="EH32" s="193">
        <f t="shared" si="45"/>
        <v>0</v>
      </c>
      <c r="EI32" s="194">
        <f t="shared" si="46"/>
        <v>0</v>
      </c>
      <c r="EJ32" s="194"/>
      <c r="EK32" s="228">
        <f t="shared" si="47"/>
        <v>0</v>
      </c>
      <c r="EL32" s="228">
        <f t="shared" si="48"/>
        <v>0</v>
      </c>
      <c r="EM32" s="228">
        <f t="shared" si="49"/>
        <v>0</v>
      </c>
      <c r="EN32" s="194">
        <f t="shared" si="50"/>
        <v>0</v>
      </c>
      <c r="EP32" s="193"/>
    </row>
    <row r="33" spans="1:146" x14ac:dyDescent="0.2">
      <c r="A33" s="225">
        <f t="shared" si="51"/>
        <v>44097</v>
      </c>
      <c r="B33" s="193">
        <v>9700000</v>
      </c>
      <c r="C33" s="194">
        <v>8.9999999999999998E-4</v>
      </c>
      <c r="D33" s="193">
        <f t="shared" si="0"/>
        <v>24.25</v>
      </c>
      <c r="G33" s="193">
        <f t="shared" si="1"/>
        <v>0</v>
      </c>
      <c r="J33" s="193">
        <f t="shared" si="2"/>
        <v>0</v>
      </c>
      <c r="M33" s="193">
        <f t="shared" si="3"/>
        <v>0</v>
      </c>
      <c r="P33" s="193">
        <f t="shared" si="4"/>
        <v>0</v>
      </c>
      <c r="S33" s="193">
        <f t="shared" si="5"/>
        <v>0</v>
      </c>
      <c r="V33" s="193">
        <f t="shared" si="6"/>
        <v>0</v>
      </c>
      <c r="Y33" s="193">
        <f t="shared" si="7"/>
        <v>0</v>
      </c>
      <c r="AB33" s="193">
        <f t="shared" si="8"/>
        <v>0</v>
      </c>
      <c r="AE33" s="193">
        <v>0</v>
      </c>
      <c r="AH33" s="193">
        <v>0</v>
      </c>
      <c r="AI33" s="226"/>
      <c r="AJ33" s="227"/>
      <c r="AK33" s="193">
        <f t="shared" si="9"/>
        <v>0</v>
      </c>
      <c r="AL33" s="226"/>
      <c r="AM33" s="227"/>
      <c r="AN33" s="193">
        <f t="shared" si="10"/>
        <v>0</v>
      </c>
      <c r="AO33" s="226"/>
      <c r="AP33" s="227"/>
      <c r="AQ33" s="193">
        <f t="shared" si="11"/>
        <v>0</v>
      </c>
      <c r="AR33" s="226"/>
      <c r="AS33" s="227"/>
      <c r="AT33" s="193">
        <f t="shared" si="12"/>
        <v>0</v>
      </c>
      <c r="AW33" s="193">
        <f t="shared" si="13"/>
        <v>0</v>
      </c>
      <c r="AZ33" s="193">
        <f t="shared" si="14"/>
        <v>0</v>
      </c>
      <c r="BC33" s="193">
        <f t="shared" si="15"/>
        <v>0</v>
      </c>
      <c r="BF33" s="193">
        <f t="shared" si="16"/>
        <v>0</v>
      </c>
      <c r="BI33" s="193">
        <f t="shared" si="17"/>
        <v>0</v>
      </c>
      <c r="BL33" s="193">
        <f t="shared" si="18"/>
        <v>0</v>
      </c>
      <c r="BO33" s="193">
        <f t="shared" si="19"/>
        <v>0</v>
      </c>
      <c r="BR33" s="193">
        <f t="shared" si="20"/>
        <v>0</v>
      </c>
      <c r="BU33" s="193">
        <f t="shared" si="21"/>
        <v>0</v>
      </c>
      <c r="BX33" s="193">
        <f t="shared" si="22"/>
        <v>0</v>
      </c>
      <c r="CA33" s="193">
        <f t="shared" si="23"/>
        <v>0</v>
      </c>
      <c r="CD33" s="193">
        <f t="shared" si="24"/>
        <v>0</v>
      </c>
      <c r="CG33" s="193">
        <f t="shared" si="25"/>
        <v>0</v>
      </c>
      <c r="CJ33" s="193">
        <f t="shared" si="26"/>
        <v>0</v>
      </c>
      <c r="CM33" s="193">
        <f t="shared" si="27"/>
        <v>0</v>
      </c>
      <c r="CP33" s="193">
        <f t="shared" si="28"/>
        <v>0</v>
      </c>
      <c r="CS33" s="193">
        <f t="shared" si="29"/>
        <v>0</v>
      </c>
      <c r="CV33" s="193">
        <f t="shared" si="30"/>
        <v>0</v>
      </c>
      <c r="CY33" s="193">
        <f t="shared" si="31"/>
        <v>0</v>
      </c>
      <c r="DB33" s="193">
        <f t="shared" si="32"/>
        <v>0</v>
      </c>
      <c r="DE33" s="193">
        <f t="shared" si="33"/>
        <v>0</v>
      </c>
      <c r="DH33" s="193">
        <f t="shared" si="34"/>
        <v>0</v>
      </c>
      <c r="DK33" s="193">
        <f t="shared" si="35"/>
        <v>0</v>
      </c>
      <c r="DN33" s="193">
        <f t="shared" si="36"/>
        <v>0</v>
      </c>
      <c r="DQ33" s="193">
        <f t="shared" si="37"/>
        <v>0</v>
      </c>
      <c r="DT33" s="193">
        <f t="shared" si="38"/>
        <v>0</v>
      </c>
      <c r="DW33" s="193">
        <f t="shared" si="39"/>
        <v>0</v>
      </c>
      <c r="DZ33" s="193"/>
      <c r="EA33" s="193"/>
      <c r="EB33" s="228">
        <f t="shared" si="40"/>
        <v>9700000</v>
      </c>
      <c r="EC33" s="228">
        <f t="shared" si="41"/>
        <v>9700000</v>
      </c>
      <c r="ED33" s="193">
        <f t="shared" si="42"/>
        <v>24.25</v>
      </c>
      <c r="EE33" s="194">
        <f t="shared" si="43"/>
        <v>9.0000000000000008E-4</v>
      </c>
      <c r="EG33" s="228">
        <f t="shared" si="44"/>
        <v>0</v>
      </c>
      <c r="EH33" s="193">
        <f t="shared" si="45"/>
        <v>0</v>
      </c>
      <c r="EI33" s="194">
        <f t="shared" si="46"/>
        <v>0</v>
      </c>
      <c r="EJ33" s="194"/>
      <c r="EK33" s="228">
        <f t="shared" si="47"/>
        <v>0</v>
      </c>
      <c r="EL33" s="228">
        <f t="shared" si="48"/>
        <v>0</v>
      </c>
      <c r="EM33" s="228">
        <f t="shared" si="49"/>
        <v>0</v>
      </c>
      <c r="EN33" s="194">
        <f t="shared" si="50"/>
        <v>0</v>
      </c>
      <c r="EP33" s="193"/>
    </row>
    <row r="34" spans="1:146" x14ac:dyDescent="0.2">
      <c r="A34" s="225">
        <f t="shared" si="51"/>
        <v>44098</v>
      </c>
      <c r="B34" s="193">
        <v>0</v>
      </c>
      <c r="C34" s="194">
        <v>8.0000000000000004E-4</v>
      </c>
      <c r="D34" s="193">
        <f t="shared" si="0"/>
        <v>0</v>
      </c>
      <c r="G34" s="193">
        <f t="shared" si="1"/>
        <v>0</v>
      </c>
      <c r="J34" s="193">
        <f t="shared" si="2"/>
        <v>0</v>
      </c>
      <c r="M34" s="193">
        <f t="shared" si="3"/>
        <v>0</v>
      </c>
      <c r="P34" s="193">
        <f t="shared" si="4"/>
        <v>0</v>
      </c>
      <c r="S34" s="193">
        <f t="shared" si="5"/>
        <v>0</v>
      </c>
      <c r="V34" s="193">
        <f t="shared" si="6"/>
        <v>0</v>
      </c>
      <c r="Y34" s="193">
        <f t="shared" si="7"/>
        <v>0</v>
      </c>
      <c r="AB34" s="193">
        <f t="shared" si="8"/>
        <v>0</v>
      </c>
      <c r="AE34" s="193">
        <v>0</v>
      </c>
      <c r="AH34" s="193">
        <v>0</v>
      </c>
      <c r="AI34" s="226"/>
      <c r="AJ34" s="227"/>
      <c r="AK34" s="193">
        <f t="shared" si="9"/>
        <v>0</v>
      </c>
      <c r="AL34" s="226"/>
      <c r="AM34" s="227"/>
      <c r="AN34" s="193">
        <f t="shared" si="10"/>
        <v>0</v>
      </c>
      <c r="AO34" s="226"/>
      <c r="AP34" s="227"/>
      <c r="AQ34" s="193">
        <f t="shared" si="11"/>
        <v>0</v>
      </c>
      <c r="AR34" s="226"/>
      <c r="AS34" s="227"/>
      <c r="AT34" s="193">
        <f t="shared" si="12"/>
        <v>0</v>
      </c>
      <c r="AW34" s="193">
        <f t="shared" si="13"/>
        <v>0</v>
      </c>
      <c r="AZ34" s="193">
        <f t="shared" si="14"/>
        <v>0</v>
      </c>
      <c r="BC34" s="193">
        <f t="shared" si="15"/>
        <v>0</v>
      </c>
      <c r="BF34" s="193">
        <f t="shared" si="16"/>
        <v>0</v>
      </c>
      <c r="BI34" s="193">
        <f t="shared" si="17"/>
        <v>0</v>
      </c>
      <c r="BL34" s="193">
        <f t="shared" si="18"/>
        <v>0</v>
      </c>
      <c r="BO34" s="193">
        <f t="shared" si="19"/>
        <v>0</v>
      </c>
      <c r="BR34" s="193">
        <f t="shared" si="20"/>
        <v>0</v>
      </c>
      <c r="BU34" s="193">
        <f t="shared" si="21"/>
        <v>0</v>
      </c>
      <c r="BX34" s="193">
        <f t="shared" si="22"/>
        <v>0</v>
      </c>
      <c r="CA34" s="193">
        <f t="shared" si="23"/>
        <v>0</v>
      </c>
      <c r="CD34" s="193">
        <f t="shared" si="24"/>
        <v>0</v>
      </c>
      <c r="CG34" s="193">
        <f t="shared" si="25"/>
        <v>0</v>
      </c>
      <c r="CJ34" s="193">
        <f t="shared" si="26"/>
        <v>0</v>
      </c>
      <c r="CM34" s="193">
        <f t="shared" si="27"/>
        <v>0</v>
      </c>
      <c r="CP34" s="193">
        <f t="shared" si="28"/>
        <v>0</v>
      </c>
      <c r="CS34" s="193">
        <f t="shared" si="29"/>
        <v>0</v>
      </c>
      <c r="CV34" s="193">
        <f t="shared" si="30"/>
        <v>0</v>
      </c>
      <c r="CY34" s="193">
        <f t="shared" si="31"/>
        <v>0</v>
      </c>
      <c r="DB34" s="193">
        <f t="shared" si="32"/>
        <v>0</v>
      </c>
      <c r="DE34" s="193">
        <f t="shared" si="33"/>
        <v>0</v>
      </c>
      <c r="DH34" s="193">
        <f t="shared" si="34"/>
        <v>0</v>
      </c>
      <c r="DK34" s="193">
        <f t="shared" si="35"/>
        <v>0</v>
      </c>
      <c r="DN34" s="193">
        <f t="shared" si="36"/>
        <v>0</v>
      </c>
      <c r="DQ34" s="193">
        <f t="shared" si="37"/>
        <v>0</v>
      </c>
      <c r="DT34" s="193">
        <f t="shared" si="38"/>
        <v>0</v>
      </c>
      <c r="DW34" s="193">
        <f t="shared" si="39"/>
        <v>0</v>
      </c>
      <c r="DZ34" s="193"/>
      <c r="EA34" s="193"/>
      <c r="EB34" s="228">
        <f t="shared" si="40"/>
        <v>0</v>
      </c>
      <c r="EC34" s="228">
        <f t="shared" si="41"/>
        <v>0</v>
      </c>
      <c r="ED34" s="193">
        <f t="shared" si="42"/>
        <v>0</v>
      </c>
      <c r="EE34" s="194">
        <f t="shared" si="43"/>
        <v>0</v>
      </c>
      <c r="EG34" s="228">
        <f t="shared" si="44"/>
        <v>0</v>
      </c>
      <c r="EH34" s="193">
        <f t="shared" si="45"/>
        <v>0</v>
      </c>
      <c r="EI34" s="194">
        <f t="shared" si="46"/>
        <v>0</v>
      </c>
      <c r="EJ34" s="194"/>
      <c r="EK34" s="228">
        <f t="shared" si="47"/>
        <v>0</v>
      </c>
      <c r="EL34" s="228">
        <f t="shared" si="48"/>
        <v>0</v>
      </c>
      <c r="EM34" s="228">
        <f t="shared" si="49"/>
        <v>0</v>
      </c>
      <c r="EN34" s="194">
        <f t="shared" si="50"/>
        <v>0</v>
      </c>
      <c r="EP34" s="193"/>
    </row>
    <row r="35" spans="1:146" x14ac:dyDescent="0.2">
      <c r="A35" s="225">
        <f t="shared" si="51"/>
        <v>44099</v>
      </c>
      <c r="B35" s="193">
        <v>0</v>
      </c>
      <c r="C35" s="194">
        <v>1.1000000000000001E-3</v>
      </c>
      <c r="D35" s="193">
        <f t="shared" si="0"/>
        <v>0</v>
      </c>
      <c r="G35" s="193">
        <f t="shared" si="1"/>
        <v>0</v>
      </c>
      <c r="J35" s="193">
        <f t="shared" si="2"/>
        <v>0</v>
      </c>
      <c r="M35" s="193">
        <f t="shared" si="3"/>
        <v>0</v>
      </c>
      <c r="P35" s="193">
        <f t="shared" si="4"/>
        <v>0</v>
      </c>
      <c r="S35" s="193">
        <f t="shared" si="5"/>
        <v>0</v>
      </c>
      <c r="V35" s="193">
        <f t="shared" si="6"/>
        <v>0</v>
      </c>
      <c r="Y35" s="193">
        <f t="shared" si="7"/>
        <v>0</v>
      </c>
      <c r="AB35" s="193">
        <f t="shared" si="8"/>
        <v>0</v>
      </c>
      <c r="AE35" s="193">
        <v>0</v>
      </c>
      <c r="AH35" s="193">
        <v>0</v>
      </c>
      <c r="AI35" s="226"/>
      <c r="AJ35" s="227"/>
      <c r="AK35" s="193">
        <f t="shared" si="9"/>
        <v>0</v>
      </c>
      <c r="AL35" s="226"/>
      <c r="AM35" s="227"/>
      <c r="AN35" s="193">
        <f t="shared" si="10"/>
        <v>0</v>
      </c>
      <c r="AO35" s="226"/>
      <c r="AP35" s="227"/>
      <c r="AQ35" s="193">
        <f t="shared" si="11"/>
        <v>0</v>
      </c>
      <c r="AR35" s="226"/>
      <c r="AS35" s="227"/>
      <c r="AT35" s="193">
        <f t="shared" si="12"/>
        <v>0</v>
      </c>
      <c r="AW35" s="193">
        <f t="shared" si="13"/>
        <v>0</v>
      </c>
      <c r="AZ35" s="193">
        <f t="shared" si="14"/>
        <v>0</v>
      </c>
      <c r="BC35" s="193">
        <f t="shared" si="15"/>
        <v>0</v>
      </c>
      <c r="BF35" s="193">
        <f t="shared" si="16"/>
        <v>0</v>
      </c>
      <c r="BI35" s="193">
        <f t="shared" si="17"/>
        <v>0</v>
      </c>
      <c r="BL35" s="193">
        <f t="shared" si="18"/>
        <v>0</v>
      </c>
      <c r="BO35" s="193">
        <f t="shared" si="19"/>
        <v>0</v>
      </c>
      <c r="BR35" s="193">
        <f t="shared" si="20"/>
        <v>0</v>
      </c>
      <c r="BU35" s="193">
        <f t="shared" si="21"/>
        <v>0</v>
      </c>
      <c r="BX35" s="193">
        <f t="shared" si="22"/>
        <v>0</v>
      </c>
      <c r="CA35" s="193">
        <f t="shared" si="23"/>
        <v>0</v>
      </c>
      <c r="CD35" s="193">
        <f t="shared" si="24"/>
        <v>0</v>
      </c>
      <c r="CG35" s="193">
        <f t="shared" si="25"/>
        <v>0</v>
      </c>
      <c r="CJ35" s="193">
        <f t="shared" si="26"/>
        <v>0</v>
      </c>
      <c r="CM35" s="193">
        <f t="shared" si="27"/>
        <v>0</v>
      </c>
      <c r="CP35" s="193">
        <f t="shared" si="28"/>
        <v>0</v>
      </c>
      <c r="CS35" s="193">
        <f t="shared" si="29"/>
        <v>0</v>
      </c>
      <c r="CV35" s="193">
        <f t="shared" si="30"/>
        <v>0</v>
      </c>
      <c r="CY35" s="193">
        <f t="shared" si="31"/>
        <v>0</v>
      </c>
      <c r="DB35" s="193">
        <f t="shared" si="32"/>
        <v>0</v>
      </c>
      <c r="DE35" s="193">
        <f t="shared" si="33"/>
        <v>0</v>
      </c>
      <c r="DH35" s="193">
        <f t="shared" si="34"/>
        <v>0</v>
      </c>
      <c r="DK35" s="193">
        <f t="shared" si="35"/>
        <v>0</v>
      </c>
      <c r="DN35" s="193">
        <f t="shared" si="36"/>
        <v>0</v>
      </c>
      <c r="DQ35" s="193">
        <f t="shared" si="37"/>
        <v>0</v>
      </c>
      <c r="DT35" s="193">
        <f t="shared" si="38"/>
        <v>0</v>
      </c>
      <c r="DW35" s="193">
        <f t="shared" si="39"/>
        <v>0</v>
      </c>
      <c r="DZ35" s="193"/>
      <c r="EA35" s="193"/>
      <c r="EB35" s="228">
        <f t="shared" si="40"/>
        <v>0</v>
      </c>
      <c r="EC35" s="228">
        <f t="shared" si="41"/>
        <v>0</v>
      </c>
      <c r="ED35" s="193">
        <f t="shared" si="42"/>
        <v>0</v>
      </c>
      <c r="EE35" s="194">
        <f t="shared" si="43"/>
        <v>0</v>
      </c>
      <c r="EG35" s="228">
        <f t="shared" si="44"/>
        <v>0</v>
      </c>
      <c r="EH35" s="193">
        <f t="shared" si="45"/>
        <v>0</v>
      </c>
      <c r="EI35" s="194">
        <f t="shared" si="46"/>
        <v>0</v>
      </c>
      <c r="EJ35" s="194"/>
      <c r="EK35" s="228">
        <f t="shared" si="47"/>
        <v>0</v>
      </c>
      <c r="EL35" s="228">
        <f t="shared" si="48"/>
        <v>0</v>
      </c>
      <c r="EM35" s="228">
        <f t="shared" si="49"/>
        <v>0</v>
      </c>
      <c r="EN35" s="194">
        <f t="shared" si="50"/>
        <v>0</v>
      </c>
      <c r="EP35" s="193"/>
    </row>
    <row r="36" spans="1:146" x14ac:dyDescent="0.2">
      <c r="A36" s="225">
        <f t="shared" si="51"/>
        <v>44100</v>
      </c>
      <c r="B36" s="193">
        <v>0</v>
      </c>
      <c r="C36" s="194">
        <v>1.1000000000000001E-3</v>
      </c>
      <c r="D36" s="193">
        <f t="shared" si="0"/>
        <v>0</v>
      </c>
      <c r="G36" s="193">
        <f t="shared" si="1"/>
        <v>0</v>
      </c>
      <c r="J36" s="193">
        <f t="shared" si="2"/>
        <v>0</v>
      </c>
      <c r="M36" s="193">
        <f t="shared" si="3"/>
        <v>0</v>
      </c>
      <c r="P36" s="193">
        <f t="shared" si="4"/>
        <v>0</v>
      </c>
      <c r="S36" s="193">
        <f t="shared" si="5"/>
        <v>0</v>
      </c>
      <c r="V36" s="193">
        <f t="shared" si="6"/>
        <v>0</v>
      </c>
      <c r="Y36" s="193">
        <f t="shared" si="7"/>
        <v>0</v>
      </c>
      <c r="AB36" s="193">
        <f t="shared" si="8"/>
        <v>0</v>
      </c>
      <c r="AE36" s="193">
        <v>0</v>
      </c>
      <c r="AH36" s="193">
        <v>0</v>
      </c>
      <c r="AI36" s="226"/>
      <c r="AJ36" s="227"/>
      <c r="AK36" s="193">
        <f t="shared" si="9"/>
        <v>0</v>
      </c>
      <c r="AL36" s="226"/>
      <c r="AM36" s="227"/>
      <c r="AN36" s="193">
        <f t="shared" si="10"/>
        <v>0</v>
      </c>
      <c r="AO36" s="226"/>
      <c r="AP36" s="227"/>
      <c r="AQ36" s="193">
        <f t="shared" si="11"/>
        <v>0</v>
      </c>
      <c r="AR36" s="226"/>
      <c r="AS36" s="227"/>
      <c r="AT36" s="193">
        <f t="shared" si="12"/>
        <v>0</v>
      </c>
      <c r="AW36" s="193">
        <f t="shared" si="13"/>
        <v>0</v>
      </c>
      <c r="AZ36" s="193">
        <f t="shared" si="14"/>
        <v>0</v>
      </c>
      <c r="BC36" s="193">
        <f t="shared" si="15"/>
        <v>0</v>
      </c>
      <c r="BF36" s="193">
        <f t="shared" si="16"/>
        <v>0</v>
      </c>
      <c r="BI36" s="193">
        <f t="shared" si="17"/>
        <v>0</v>
      </c>
      <c r="BL36" s="193">
        <f t="shared" si="18"/>
        <v>0</v>
      </c>
      <c r="BO36" s="193">
        <f t="shared" si="19"/>
        <v>0</v>
      </c>
      <c r="BR36" s="193">
        <f t="shared" si="20"/>
        <v>0</v>
      </c>
      <c r="BU36" s="193">
        <f t="shared" si="21"/>
        <v>0</v>
      </c>
      <c r="BX36" s="193">
        <f t="shared" si="22"/>
        <v>0</v>
      </c>
      <c r="CA36" s="193">
        <f t="shared" si="23"/>
        <v>0</v>
      </c>
      <c r="CD36" s="193">
        <f t="shared" si="24"/>
        <v>0</v>
      </c>
      <c r="CG36" s="193">
        <f t="shared" si="25"/>
        <v>0</v>
      </c>
      <c r="CJ36" s="193">
        <f t="shared" si="26"/>
        <v>0</v>
      </c>
      <c r="CM36" s="193">
        <f t="shared" si="27"/>
        <v>0</v>
      </c>
      <c r="CP36" s="193">
        <f t="shared" si="28"/>
        <v>0</v>
      </c>
      <c r="CS36" s="193">
        <f t="shared" si="29"/>
        <v>0</v>
      </c>
      <c r="CV36" s="193">
        <f t="shared" si="30"/>
        <v>0</v>
      </c>
      <c r="CY36" s="193">
        <f t="shared" si="31"/>
        <v>0</v>
      </c>
      <c r="DB36" s="193">
        <f t="shared" si="32"/>
        <v>0</v>
      </c>
      <c r="DE36" s="193">
        <f t="shared" si="33"/>
        <v>0</v>
      </c>
      <c r="DH36" s="193">
        <f t="shared" si="34"/>
        <v>0</v>
      </c>
      <c r="DK36" s="193">
        <f t="shared" si="35"/>
        <v>0</v>
      </c>
      <c r="DN36" s="193">
        <f t="shared" si="36"/>
        <v>0</v>
      </c>
      <c r="DQ36" s="193">
        <f t="shared" si="37"/>
        <v>0</v>
      </c>
      <c r="DT36" s="193">
        <f t="shared" si="38"/>
        <v>0</v>
      </c>
      <c r="DW36" s="193">
        <f t="shared" si="39"/>
        <v>0</v>
      </c>
      <c r="DZ36" s="193"/>
      <c r="EA36" s="193"/>
      <c r="EB36" s="228">
        <f t="shared" si="40"/>
        <v>0</v>
      </c>
      <c r="EC36" s="228">
        <f t="shared" si="41"/>
        <v>0</v>
      </c>
      <c r="ED36" s="193">
        <f t="shared" si="42"/>
        <v>0</v>
      </c>
      <c r="EE36" s="194">
        <f t="shared" si="43"/>
        <v>0</v>
      </c>
      <c r="EG36" s="228">
        <f t="shared" si="44"/>
        <v>0</v>
      </c>
      <c r="EH36" s="193">
        <f t="shared" si="45"/>
        <v>0</v>
      </c>
      <c r="EI36" s="194">
        <f t="shared" si="46"/>
        <v>0</v>
      </c>
      <c r="EJ36" s="194"/>
      <c r="EK36" s="228">
        <f t="shared" si="47"/>
        <v>0</v>
      </c>
      <c r="EL36" s="228">
        <f t="shared" si="48"/>
        <v>0</v>
      </c>
      <c r="EM36" s="228">
        <f t="shared" si="49"/>
        <v>0</v>
      </c>
      <c r="EN36" s="194">
        <f t="shared" si="50"/>
        <v>0</v>
      </c>
      <c r="EP36" s="193"/>
    </row>
    <row r="37" spans="1:146" x14ac:dyDescent="0.2">
      <c r="A37" s="225">
        <f t="shared" si="51"/>
        <v>44101</v>
      </c>
      <c r="B37" s="193">
        <v>0</v>
      </c>
      <c r="C37" s="194">
        <v>1.1000000000000001E-3</v>
      </c>
      <c r="D37" s="193">
        <f t="shared" si="0"/>
        <v>0</v>
      </c>
      <c r="G37" s="193">
        <f t="shared" si="1"/>
        <v>0</v>
      </c>
      <c r="J37" s="193">
        <f t="shared" si="2"/>
        <v>0</v>
      </c>
      <c r="M37" s="193">
        <f t="shared" si="3"/>
        <v>0</v>
      </c>
      <c r="P37" s="193">
        <f t="shared" si="4"/>
        <v>0</v>
      </c>
      <c r="S37" s="193">
        <f t="shared" si="5"/>
        <v>0</v>
      </c>
      <c r="V37" s="193">
        <f t="shared" si="6"/>
        <v>0</v>
      </c>
      <c r="Y37" s="193">
        <f t="shared" si="7"/>
        <v>0</v>
      </c>
      <c r="AB37" s="193">
        <f t="shared" si="8"/>
        <v>0</v>
      </c>
      <c r="AE37" s="193">
        <v>0</v>
      </c>
      <c r="AH37" s="193">
        <v>0</v>
      </c>
      <c r="AI37" s="226"/>
      <c r="AJ37" s="227"/>
      <c r="AK37" s="193">
        <f t="shared" si="9"/>
        <v>0</v>
      </c>
      <c r="AL37" s="226"/>
      <c r="AM37" s="227"/>
      <c r="AN37" s="193">
        <f t="shared" si="10"/>
        <v>0</v>
      </c>
      <c r="AO37" s="226"/>
      <c r="AP37" s="227"/>
      <c r="AQ37" s="193">
        <f t="shared" si="11"/>
        <v>0</v>
      </c>
      <c r="AR37" s="226"/>
      <c r="AS37" s="227"/>
      <c r="AT37" s="193">
        <f t="shared" si="12"/>
        <v>0</v>
      </c>
      <c r="AW37" s="193">
        <f t="shared" si="13"/>
        <v>0</v>
      </c>
      <c r="AZ37" s="193">
        <f t="shared" si="14"/>
        <v>0</v>
      </c>
      <c r="BC37" s="193">
        <f t="shared" si="15"/>
        <v>0</v>
      </c>
      <c r="BF37" s="193">
        <f t="shared" si="16"/>
        <v>0</v>
      </c>
      <c r="BI37" s="193">
        <f t="shared" si="17"/>
        <v>0</v>
      </c>
      <c r="BL37" s="193">
        <f t="shared" si="18"/>
        <v>0</v>
      </c>
      <c r="BO37" s="193">
        <f t="shared" si="19"/>
        <v>0</v>
      </c>
      <c r="BR37" s="193">
        <f t="shared" si="20"/>
        <v>0</v>
      </c>
      <c r="BU37" s="193">
        <f t="shared" si="21"/>
        <v>0</v>
      </c>
      <c r="BX37" s="193">
        <f t="shared" si="22"/>
        <v>0</v>
      </c>
      <c r="CA37" s="193">
        <f t="shared" si="23"/>
        <v>0</v>
      </c>
      <c r="CD37" s="193">
        <f t="shared" si="24"/>
        <v>0</v>
      </c>
      <c r="CG37" s="193">
        <f t="shared" si="25"/>
        <v>0</v>
      </c>
      <c r="CJ37" s="193">
        <f t="shared" si="26"/>
        <v>0</v>
      </c>
      <c r="CM37" s="193">
        <f t="shared" si="27"/>
        <v>0</v>
      </c>
      <c r="CP37" s="193">
        <f t="shared" si="28"/>
        <v>0</v>
      </c>
      <c r="CS37" s="193">
        <f t="shared" si="29"/>
        <v>0</v>
      </c>
      <c r="CV37" s="193">
        <f t="shared" si="30"/>
        <v>0</v>
      </c>
      <c r="CY37" s="193">
        <f t="shared" si="31"/>
        <v>0</v>
      </c>
      <c r="DB37" s="193">
        <f t="shared" si="32"/>
        <v>0</v>
      </c>
      <c r="DE37" s="193">
        <f t="shared" si="33"/>
        <v>0</v>
      </c>
      <c r="DH37" s="193">
        <f t="shared" si="34"/>
        <v>0</v>
      </c>
      <c r="DK37" s="193">
        <f t="shared" si="35"/>
        <v>0</v>
      </c>
      <c r="DN37" s="193">
        <f t="shared" si="36"/>
        <v>0</v>
      </c>
      <c r="DQ37" s="193">
        <f t="shared" si="37"/>
        <v>0</v>
      </c>
      <c r="DT37" s="193">
        <f t="shared" si="38"/>
        <v>0</v>
      </c>
      <c r="DW37" s="193">
        <f t="shared" si="39"/>
        <v>0</v>
      </c>
      <c r="DZ37" s="193"/>
      <c r="EA37" s="193"/>
      <c r="EB37" s="228">
        <f t="shared" si="40"/>
        <v>0</v>
      </c>
      <c r="EC37" s="228">
        <f t="shared" si="41"/>
        <v>0</v>
      </c>
      <c r="ED37" s="193">
        <f t="shared" si="42"/>
        <v>0</v>
      </c>
      <c r="EE37" s="194">
        <f t="shared" si="43"/>
        <v>0</v>
      </c>
      <c r="EG37" s="228">
        <f t="shared" si="44"/>
        <v>0</v>
      </c>
      <c r="EH37" s="193">
        <f t="shared" si="45"/>
        <v>0</v>
      </c>
      <c r="EI37" s="194">
        <f t="shared" si="46"/>
        <v>0</v>
      </c>
      <c r="EJ37" s="194"/>
      <c r="EK37" s="228">
        <f t="shared" si="47"/>
        <v>0</v>
      </c>
      <c r="EL37" s="228">
        <f t="shared" si="48"/>
        <v>0</v>
      </c>
      <c r="EM37" s="228">
        <f t="shared" si="49"/>
        <v>0</v>
      </c>
      <c r="EN37" s="194">
        <f t="shared" si="50"/>
        <v>0</v>
      </c>
      <c r="EP37" s="193"/>
    </row>
    <row r="38" spans="1:146" x14ac:dyDescent="0.2">
      <c r="A38" s="225">
        <f t="shared" si="51"/>
        <v>44102</v>
      </c>
      <c r="B38" s="193">
        <v>6750000</v>
      </c>
      <c r="C38" s="194">
        <v>8.9999999999999998E-4</v>
      </c>
      <c r="D38" s="193">
        <f t="shared" si="0"/>
        <v>16.875</v>
      </c>
      <c r="G38" s="193">
        <f t="shared" si="1"/>
        <v>0</v>
      </c>
      <c r="J38" s="193">
        <f t="shared" si="2"/>
        <v>0</v>
      </c>
      <c r="M38" s="193">
        <f t="shared" si="3"/>
        <v>0</v>
      </c>
      <c r="P38" s="193">
        <f t="shared" si="4"/>
        <v>0</v>
      </c>
      <c r="S38" s="193">
        <f t="shared" si="5"/>
        <v>0</v>
      </c>
      <c r="V38" s="193">
        <f t="shared" si="6"/>
        <v>0</v>
      </c>
      <c r="Y38" s="193">
        <f t="shared" si="7"/>
        <v>0</v>
      </c>
      <c r="AB38" s="193">
        <f t="shared" si="8"/>
        <v>0</v>
      </c>
      <c r="AE38" s="193">
        <v>0</v>
      </c>
      <c r="AH38" s="193">
        <v>0</v>
      </c>
      <c r="AI38" s="226"/>
      <c r="AJ38" s="227"/>
      <c r="AK38" s="193">
        <f t="shared" si="9"/>
        <v>0</v>
      </c>
      <c r="AL38" s="226"/>
      <c r="AM38" s="227"/>
      <c r="AN38" s="193">
        <f t="shared" si="10"/>
        <v>0</v>
      </c>
      <c r="AO38" s="226"/>
      <c r="AP38" s="227"/>
      <c r="AQ38" s="193">
        <f t="shared" si="11"/>
        <v>0</v>
      </c>
      <c r="AR38" s="226"/>
      <c r="AS38" s="227"/>
      <c r="AT38" s="193">
        <f t="shared" si="12"/>
        <v>0</v>
      </c>
      <c r="AW38" s="193">
        <f t="shared" si="13"/>
        <v>0</v>
      </c>
      <c r="AZ38" s="193">
        <f t="shared" si="14"/>
        <v>0</v>
      </c>
      <c r="BC38" s="193">
        <f t="shared" si="15"/>
        <v>0</v>
      </c>
      <c r="BF38" s="193">
        <f t="shared" si="16"/>
        <v>0</v>
      </c>
      <c r="BI38" s="193">
        <f t="shared" si="17"/>
        <v>0</v>
      </c>
      <c r="BL38" s="193">
        <f t="shared" si="18"/>
        <v>0</v>
      </c>
      <c r="BO38" s="193">
        <f t="shared" si="19"/>
        <v>0</v>
      </c>
      <c r="BR38" s="193">
        <f t="shared" si="20"/>
        <v>0</v>
      </c>
      <c r="BU38" s="193">
        <f t="shared" si="21"/>
        <v>0</v>
      </c>
      <c r="BX38" s="193">
        <f t="shared" si="22"/>
        <v>0</v>
      </c>
      <c r="CA38" s="193">
        <f t="shared" si="23"/>
        <v>0</v>
      </c>
      <c r="CD38" s="193">
        <f t="shared" si="24"/>
        <v>0</v>
      </c>
      <c r="CG38" s="193">
        <f t="shared" si="25"/>
        <v>0</v>
      </c>
      <c r="CJ38" s="193">
        <f t="shared" si="26"/>
        <v>0</v>
      </c>
      <c r="CM38" s="193">
        <f t="shared" si="27"/>
        <v>0</v>
      </c>
      <c r="CP38" s="193">
        <f t="shared" si="28"/>
        <v>0</v>
      </c>
      <c r="CS38" s="193">
        <f t="shared" si="29"/>
        <v>0</v>
      </c>
      <c r="CV38" s="193">
        <f t="shared" si="30"/>
        <v>0</v>
      </c>
      <c r="CY38" s="193">
        <f t="shared" si="31"/>
        <v>0</v>
      </c>
      <c r="DB38" s="193">
        <f t="shared" si="32"/>
        <v>0</v>
      </c>
      <c r="DE38" s="193">
        <f t="shared" si="33"/>
        <v>0</v>
      </c>
      <c r="DH38" s="193">
        <f t="shared" si="34"/>
        <v>0</v>
      </c>
      <c r="DK38" s="193">
        <f t="shared" si="35"/>
        <v>0</v>
      </c>
      <c r="DN38" s="193">
        <f t="shared" si="36"/>
        <v>0</v>
      </c>
      <c r="DQ38" s="193">
        <f t="shared" si="37"/>
        <v>0</v>
      </c>
      <c r="DT38" s="193">
        <f t="shared" si="38"/>
        <v>0</v>
      </c>
      <c r="DW38" s="193">
        <f t="shared" si="39"/>
        <v>0</v>
      </c>
      <c r="DZ38" s="193"/>
      <c r="EA38" s="193"/>
      <c r="EB38" s="228">
        <f t="shared" si="40"/>
        <v>6750000</v>
      </c>
      <c r="EC38" s="228">
        <f t="shared" si="41"/>
        <v>6750000</v>
      </c>
      <c r="ED38" s="193">
        <f t="shared" si="42"/>
        <v>16.875</v>
      </c>
      <c r="EE38" s="194">
        <f t="shared" si="43"/>
        <v>9.0000000000000008E-4</v>
      </c>
      <c r="EG38" s="228">
        <f t="shared" si="44"/>
        <v>0</v>
      </c>
      <c r="EH38" s="193">
        <f t="shared" si="45"/>
        <v>0</v>
      </c>
      <c r="EI38" s="194">
        <f t="shared" si="46"/>
        <v>0</v>
      </c>
      <c r="EJ38" s="194"/>
      <c r="EK38" s="228">
        <f t="shared" si="47"/>
        <v>0</v>
      </c>
      <c r="EL38" s="228">
        <f t="shared" si="48"/>
        <v>0</v>
      </c>
      <c r="EM38" s="228">
        <f t="shared" si="49"/>
        <v>0</v>
      </c>
      <c r="EN38" s="194">
        <f t="shared" si="50"/>
        <v>0</v>
      </c>
      <c r="EP38" s="193"/>
    </row>
    <row r="39" spans="1:146" x14ac:dyDescent="0.2">
      <c r="A39" s="225">
        <f t="shared" si="51"/>
        <v>44103</v>
      </c>
      <c r="B39" s="193">
        <v>0</v>
      </c>
      <c r="C39" s="194">
        <v>8.9999999999999998E-4</v>
      </c>
      <c r="D39" s="193">
        <f t="shared" si="0"/>
        <v>0</v>
      </c>
      <c r="G39" s="193">
        <f t="shared" si="1"/>
        <v>0</v>
      </c>
      <c r="J39" s="193">
        <f t="shared" si="2"/>
        <v>0</v>
      </c>
      <c r="M39" s="193">
        <f t="shared" si="3"/>
        <v>0</v>
      </c>
      <c r="P39" s="193">
        <f t="shared" si="4"/>
        <v>0</v>
      </c>
      <c r="S39" s="193">
        <f t="shared" si="5"/>
        <v>0</v>
      </c>
      <c r="V39" s="193">
        <f t="shared" si="6"/>
        <v>0</v>
      </c>
      <c r="Y39" s="193">
        <f t="shared" si="7"/>
        <v>0</v>
      </c>
      <c r="AB39" s="193">
        <f t="shared" si="8"/>
        <v>0</v>
      </c>
      <c r="AE39" s="193">
        <v>0</v>
      </c>
      <c r="AH39" s="193">
        <v>0</v>
      </c>
      <c r="AI39" s="226"/>
      <c r="AJ39" s="227"/>
      <c r="AK39" s="193">
        <f t="shared" si="9"/>
        <v>0</v>
      </c>
      <c r="AL39" s="226"/>
      <c r="AM39" s="227"/>
      <c r="AN39" s="193">
        <f t="shared" si="10"/>
        <v>0</v>
      </c>
      <c r="AO39" s="226"/>
      <c r="AP39" s="227"/>
      <c r="AQ39" s="193">
        <f t="shared" si="11"/>
        <v>0</v>
      </c>
      <c r="AR39" s="226"/>
      <c r="AS39" s="227"/>
      <c r="AT39" s="193">
        <f t="shared" si="12"/>
        <v>0</v>
      </c>
      <c r="AW39" s="193">
        <f t="shared" si="13"/>
        <v>0</v>
      </c>
      <c r="AZ39" s="193">
        <f t="shared" si="14"/>
        <v>0</v>
      </c>
      <c r="BC39" s="193">
        <f t="shared" si="15"/>
        <v>0</v>
      </c>
      <c r="BF39" s="193">
        <f t="shared" si="16"/>
        <v>0</v>
      </c>
      <c r="BI39" s="193">
        <f t="shared" si="17"/>
        <v>0</v>
      </c>
      <c r="BL39" s="193">
        <f t="shared" si="18"/>
        <v>0</v>
      </c>
      <c r="BO39" s="193">
        <f t="shared" si="19"/>
        <v>0</v>
      </c>
      <c r="BR39" s="193">
        <f t="shared" si="20"/>
        <v>0</v>
      </c>
      <c r="BU39" s="193">
        <f t="shared" si="21"/>
        <v>0</v>
      </c>
      <c r="BX39" s="193">
        <f t="shared" si="22"/>
        <v>0</v>
      </c>
      <c r="CA39" s="193">
        <f t="shared" si="23"/>
        <v>0</v>
      </c>
      <c r="CD39" s="193">
        <f t="shared" si="24"/>
        <v>0</v>
      </c>
      <c r="CG39" s="193">
        <f t="shared" si="25"/>
        <v>0</v>
      </c>
      <c r="CJ39" s="193">
        <f t="shared" si="26"/>
        <v>0</v>
      </c>
      <c r="CM39" s="193">
        <f t="shared" si="27"/>
        <v>0</v>
      </c>
      <c r="CP39" s="193">
        <f t="shared" si="28"/>
        <v>0</v>
      </c>
      <c r="CS39" s="193">
        <f t="shared" si="29"/>
        <v>0</v>
      </c>
      <c r="CV39" s="193">
        <f t="shared" si="30"/>
        <v>0</v>
      </c>
      <c r="CY39" s="193">
        <f t="shared" si="31"/>
        <v>0</v>
      </c>
      <c r="DB39" s="193">
        <f t="shared" si="32"/>
        <v>0</v>
      </c>
      <c r="DE39" s="193">
        <f t="shared" si="33"/>
        <v>0</v>
      </c>
      <c r="DH39" s="193">
        <f t="shared" si="34"/>
        <v>0</v>
      </c>
      <c r="DK39" s="193">
        <f t="shared" si="35"/>
        <v>0</v>
      </c>
      <c r="DN39" s="193">
        <f t="shared" si="36"/>
        <v>0</v>
      </c>
      <c r="DQ39" s="193">
        <f t="shared" si="37"/>
        <v>0</v>
      </c>
      <c r="DT39" s="193">
        <f t="shared" si="38"/>
        <v>0</v>
      </c>
      <c r="DW39" s="193">
        <f t="shared" si="39"/>
        <v>0</v>
      </c>
      <c r="DZ39" s="193"/>
      <c r="EA39" s="193"/>
      <c r="EB39" s="228">
        <f t="shared" si="40"/>
        <v>0</v>
      </c>
      <c r="EC39" s="228">
        <f t="shared" si="41"/>
        <v>0</v>
      </c>
      <c r="ED39" s="193">
        <f t="shared" si="42"/>
        <v>0</v>
      </c>
      <c r="EE39" s="194">
        <f t="shared" si="43"/>
        <v>0</v>
      </c>
      <c r="EG39" s="228">
        <f t="shared" si="44"/>
        <v>0</v>
      </c>
      <c r="EH39" s="193">
        <f t="shared" si="45"/>
        <v>0</v>
      </c>
      <c r="EI39" s="194">
        <f t="shared" si="46"/>
        <v>0</v>
      </c>
      <c r="EJ39" s="194"/>
      <c r="EK39" s="228">
        <f t="shared" si="47"/>
        <v>0</v>
      </c>
      <c r="EL39" s="228">
        <f t="shared" si="48"/>
        <v>0</v>
      </c>
      <c r="EM39" s="228">
        <f t="shared" si="49"/>
        <v>0</v>
      </c>
      <c r="EN39" s="194">
        <f t="shared" si="50"/>
        <v>0</v>
      </c>
      <c r="EP39" s="193"/>
    </row>
    <row r="40" spans="1:146" x14ac:dyDescent="0.2">
      <c r="A40" s="225">
        <f t="shared" si="51"/>
        <v>44104</v>
      </c>
      <c r="B40" s="193">
        <v>0</v>
      </c>
      <c r="C40" s="194">
        <v>1.9321099999999999E-3</v>
      </c>
      <c r="D40" s="193">
        <f t="shared" si="0"/>
        <v>0</v>
      </c>
      <c r="G40" s="193">
        <f t="shared" si="1"/>
        <v>0</v>
      </c>
      <c r="J40" s="193">
        <f t="shared" si="2"/>
        <v>0</v>
      </c>
      <c r="M40" s="193">
        <f t="shared" si="3"/>
        <v>0</v>
      </c>
      <c r="P40" s="193">
        <f t="shared" si="4"/>
        <v>0</v>
      </c>
      <c r="S40" s="193">
        <f t="shared" si="5"/>
        <v>0</v>
      </c>
      <c r="V40" s="193">
        <f t="shared" si="6"/>
        <v>0</v>
      </c>
      <c r="Y40" s="193">
        <f t="shared" si="7"/>
        <v>0</v>
      </c>
      <c r="AB40" s="193">
        <f t="shared" si="8"/>
        <v>0</v>
      </c>
      <c r="AE40" s="193">
        <v>0</v>
      </c>
      <c r="AH40" s="193">
        <v>0</v>
      </c>
      <c r="AI40" s="226"/>
      <c r="AJ40" s="227"/>
      <c r="AK40" s="193">
        <f t="shared" si="9"/>
        <v>0</v>
      </c>
      <c r="AL40" s="226"/>
      <c r="AM40" s="227"/>
      <c r="AN40" s="193">
        <f t="shared" si="10"/>
        <v>0</v>
      </c>
      <c r="AO40" s="226"/>
      <c r="AP40" s="227"/>
      <c r="AQ40" s="193">
        <f t="shared" si="11"/>
        <v>0</v>
      </c>
      <c r="AR40" s="226"/>
      <c r="AS40" s="227"/>
      <c r="AT40" s="193">
        <f t="shared" si="12"/>
        <v>0</v>
      </c>
      <c r="AW40" s="193">
        <f t="shared" si="13"/>
        <v>0</v>
      </c>
      <c r="AZ40" s="193">
        <f t="shared" si="14"/>
        <v>0</v>
      </c>
      <c r="BC40" s="193">
        <f t="shared" si="15"/>
        <v>0</v>
      </c>
      <c r="BF40" s="193">
        <f t="shared" si="16"/>
        <v>0</v>
      </c>
      <c r="BI40" s="193">
        <f t="shared" si="17"/>
        <v>0</v>
      </c>
      <c r="BL40" s="193">
        <f t="shared" si="18"/>
        <v>0</v>
      </c>
      <c r="BO40" s="193">
        <f t="shared" si="19"/>
        <v>0</v>
      </c>
      <c r="BR40" s="193">
        <f t="shared" si="20"/>
        <v>0</v>
      </c>
      <c r="BU40" s="193">
        <f t="shared" si="21"/>
        <v>0</v>
      </c>
      <c r="BX40" s="193">
        <f t="shared" si="22"/>
        <v>0</v>
      </c>
      <c r="CA40" s="193">
        <f t="shared" si="23"/>
        <v>0</v>
      </c>
      <c r="CD40" s="193">
        <f t="shared" si="24"/>
        <v>0</v>
      </c>
      <c r="CG40" s="193">
        <f t="shared" si="25"/>
        <v>0</v>
      </c>
      <c r="CJ40" s="193">
        <f t="shared" si="26"/>
        <v>0</v>
      </c>
      <c r="CM40" s="193">
        <f t="shared" si="27"/>
        <v>0</v>
      </c>
      <c r="CP40" s="193">
        <f t="shared" si="28"/>
        <v>0</v>
      </c>
      <c r="CS40" s="193">
        <f t="shared" si="29"/>
        <v>0</v>
      </c>
      <c r="CV40" s="193">
        <f t="shared" si="30"/>
        <v>0</v>
      </c>
      <c r="CY40" s="193">
        <f t="shared" si="31"/>
        <v>0</v>
      </c>
      <c r="DB40" s="193">
        <f t="shared" si="32"/>
        <v>0</v>
      </c>
      <c r="DE40" s="193">
        <f t="shared" si="33"/>
        <v>0</v>
      </c>
      <c r="DH40" s="193">
        <f t="shared" si="34"/>
        <v>0</v>
      </c>
      <c r="DK40" s="193">
        <f t="shared" si="35"/>
        <v>0</v>
      </c>
      <c r="DN40" s="193">
        <f t="shared" si="36"/>
        <v>0</v>
      </c>
      <c r="DQ40" s="193">
        <f t="shared" si="37"/>
        <v>0</v>
      </c>
      <c r="DT40" s="193">
        <f t="shared" si="38"/>
        <v>0</v>
      </c>
      <c r="DW40" s="193">
        <f t="shared" si="39"/>
        <v>0</v>
      </c>
      <c r="DZ40" s="191"/>
      <c r="EA40" s="193"/>
      <c r="EB40" s="228">
        <f t="shared" si="40"/>
        <v>0</v>
      </c>
      <c r="EC40" s="228">
        <f t="shared" si="41"/>
        <v>0</v>
      </c>
      <c r="ED40" s="193">
        <f t="shared" si="42"/>
        <v>0</v>
      </c>
      <c r="EE40" s="194">
        <f t="shared" si="43"/>
        <v>0</v>
      </c>
      <c r="EG40" s="228">
        <f t="shared" si="44"/>
        <v>0</v>
      </c>
      <c r="EH40" s="193">
        <f t="shared" si="45"/>
        <v>0</v>
      </c>
      <c r="EI40" s="194">
        <f t="shared" si="46"/>
        <v>0</v>
      </c>
      <c r="EJ40" s="194"/>
      <c r="EK40" s="228">
        <f t="shared" si="47"/>
        <v>0</v>
      </c>
      <c r="EL40" s="228">
        <f t="shared" si="48"/>
        <v>0</v>
      </c>
      <c r="EM40" s="228">
        <f t="shared" si="49"/>
        <v>0</v>
      </c>
      <c r="EN40" s="194">
        <f t="shared" si="50"/>
        <v>0</v>
      </c>
      <c r="EP40" s="193"/>
    </row>
    <row r="41" spans="1:146" x14ac:dyDescent="0.2">
      <c r="A41" s="229" t="s">
        <v>76</v>
      </c>
      <c r="D41" s="230">
        <f>SUM(D11:D40)</f>
        <v>462.3125</v>
      </c>
      <c r="G41" s="230">
        <f>SUM(G11:G40)</f>
        <v>0</v>
      </c>
      <c r="J41" s="230">
        <f>SUM(J11:J40)</f>
        <v>0</v>
      </c>
      <c r="M41" s="230">
        <f>SUM(M11:M40)</f>
        <v>0</v>
      </c>
      <c r="P41" s="230">
        <f>SUM(P11:P40)</f>
        <v>0</v>
      </c>
      <c r="S41" s="230">
        <f>SUM(S11:S40)</f>
        <v>0</v>
      </c>
      <c r="V41" s="230">
        <f>SUM(V11:V40)</f>
        <v>0</v>
      </c>
      <c r="Y41" s="230">
        <f>SUM(Y11:Y40)</f>
        <v>0</v>
      </c>
      <c r="AB41" s="230">
        <f>SUM(AB11:AB40)</f>
        <v>0</v>
      </c>
      <c r="AE41" s="230">
        <f>SUM(AE11:AE40)</f>
        <v>0</v>
      </c>
      <c r="AH41" s="230">
        <f>SUM(AH11:AH40)</f>
        <v>0</v>
      </c>
      <c r="AK41" s="230">
        <f>SUM(AK11:AK40)</f>
        <v>176.11111111111111</v>
      </c>
      <c r="AN41" s="230">
        <f>SUM(AN11:AN40)</f>
        <v>0</v>
      </c>
      <c r="AQ41" s="230">
        <f>SUM(AQ11:AQ40)</f>
        <v>0</v>
      </c>
      <c r="AT41" s="230">
        <f>SUM(AT11:AT40)</f>
        <v>0</v>
      </c>
      <c r="AW41" s="230">
        <f>SUM(AW11:AW40)</f>
        <v>0</v>
      </c>
      <c r="AZ41" s="230">
        <f>SUM(AZ11:AZ40)</f>
        <v>0</v>
      </c>
      <c r="BC41" s="230">
        <f>SUM(BC11:BC40)</f>
        <v>0</v>
      </c>
      <c r="BF41" s="230">
        <f>SUM(BF11:BF40)</f>
        <v>0</v>
      </c>
      <c r="BI41" s="230">
        <f>SUM(BI11:BI40)</f>
        <v>0</v>
      </c>
      <c r="BL41" s="230">
        <f>SUM(BL11:BL40)</f>
        <v>0</v>
      </c>
      <c r="BO41" s="230">
        <f>SUM(BO11:BO40)</f>
        <v>0</v>
      </c>
      <c r="BR41" s="230">
        <f>SUM(BR11:BR40)</f>
        <v>0</v>
      </c>
      <c r="BU41" s="230">
        <f>SUM(BU11:BU40)</f>
        <v>0</v>
      </c>
      <c r="BX41" s="230">
        <f>SUM(BX11:BX40)</f>
        <v>0</v>
      </c>
      <c r="CA41" s="230">
        <f>SUM(CA11:CA40)</f>
        <v>0</v>
      </c>
      <c r="CD41" s="230">
        <f>SUM(CD11:CD40)</f>
        <v>0</v>
      </c>
      <c r="CG41" s="230">
        <f>SUM(CG11:CG40)</f>
        <v>0</v>
      </c>
      <c r="CJ41" s="230">
        <f>SUM(CJ11:CJ40)</f>
        <v>0</v>
      </c>
      <c r="CM41" s="230">
        <f>SUM(CM11:CM40)</f>
        <v>0</v>
      </c>
      <c r="CP41" s="230">
        <f>SUM(CP11:CP40)</f>
        <v>0</v>
      </c>
      <c r="CS41" s="230">
        <f>SUM(CS11:CS40)</f>
        <v>0</v>
      </c>
      <c r="CV41" s="230">
        <f>SUM(CV11:CV40)</f>
        <v>0</v>
      </c>
      <c r="CY41" s="230">
        <f>SUM(CY11:CY40)</f>
        <v>0</v>
      </c>
      <c r="DB41" s="230">
        <f>SUM(DB11:DB40)</f>
        <v>0</v>
      </c>
      <c r="DE41" s="230">
        <f>SUM(DE11:DE40)</f>
        <v>0</v>
      </c>
      <c r="DH41" s="230">
        <f>SUM(DH11:DH40)</f>
        <v>0</v>
      </c>
      <c r="DK41" s="230">
        <f>SUM(DK11:DK40)</f>
        <v>0</v>
      </c>
      <c r="DN41" s="230">
        <f>SUM(DN11:DN40)</f>
        <v>0</v>
      </c>
      <c r="DQ41" s="230">
        <f>SUM(DQ11:DQ40)</f>
        <v>0</v>
      </c>
      <c r="DT41" s="230">
        <f>SUM(DT11:DT40)</f>
        <v>0</v>
      </c>
      <c r="DW41" s="230">
        <f>SUM(DW11:DW40)</f>
        <v>0</v>
      </c>
      <c r="DZ41" s="191"/>
      <c r="EA41" s="191"/>
      <c r="EB41" s="193"/>
      <c r="EC41" s="193"/>
      <c r="ED41" s="230">
        <f>SUM(ED11:ED40)</f>
        <v>638.42361111111109</v>
      </c>
      <c r="EE41" s="194"/>
      <c r="EG41" s="193"/>
      <c r="EH41" s="230">
        <f>SUM(EH11:EH40)</f>
        <v>0</v>
      </c>
      <c r="EI41" s="194"/>
      <c r="EJ41" s="194"/>
      <c r="EK41" s="193"/>
      <c r="EL41" s="193"/>
      <c r="EM41" s="230">
        <f>SUM(EM11:EM40)</f>
        <v>176.11111111111111</v>
      </c>
      <c r="EN41" s="194"/>
    </row>
    <row r="43" spans="1:146" x14ac:dyDescent="0.2">
      <c r="EM43" s="231"/>
    </row>
    <row r="45" spans="1:146" x14ac:dyDescent="0.2">
      <c r="EM45" s="193"/>
    </row>
    <row r="47" spans="1:146" x14ac:dyDescent="0.2">
      <c r="EM47" s="19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43"/>
  <sheetViews>
    <sheetView zoomScaleNormal="100" workbookViewId="0">
      <pane ySplit="4" topLeftCell="A5" activePane="bottomLeft" state="frozen"/>
      <selection activeCell="A18" sqref="A18:XFD18"/>
      <selection pane="bottomLeft" activeCell="A5" sqref="A5"/>
    </sheetView>
  </sheetViews>
  <sheetFormatPr defaultColWidth="13.42578125" defaultRowHeight="15" x14ac:dyDescent="0.25"/>
  <cols>
    <col min="1" max="1" width="45.28515625" customWidth="1"/>
    <col min="2" max="2" width="17.85546875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176</v>
      </c>
      <c r="C3" s="330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2"/>
    </row>
    <row r="4" spans="1:14" x14ac:dyDescent="0.25">
      <c r="A4" s="1"/>
      <c r="B4" s="19">
        <v>44013</v>
      </c>
      <c r="C4" s="18">
        <v>44044</v>
      </c>
      <c r="D4" s="19">
        <v>44075</v>
      </c>
      <c r="E4" s="19">
        <v>44105</v>
      </c>
      <c r="F4" s="19">
        <v>44136</v>
      </c>
      <c r="G4" s="19">
        <v>44166</v>
      </c>
      <c r="H4" s="19">
        <v>44197</v>
      </c>
      <c r="I4" s="19">
        <v>44228</v>
      </c>
      <c r="J4" s="19">
        <v>44256</v>
      </c>
      <c r="K4" s="19">
        <v>44287</v>
      </c>
      <c r="L4" s="19">
        <v>44317</v>
      </c>
      <c r="M4" s="19">
        <v>44348</v>
      </c>
      <c r="N4" s="141">
        <v>44378</v>
      </c>
    </row>
    <row r="5" spans="1:14" x14ac:dyDescent="0.25">
      <c r="A5" s="2" t="s">
        <v>27</v>
      </c>
      <c r="B5" s="2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142"/>
    </row>
    <row r="6" spans="1:14" x14ac:dyDescent="0.25">
      <c r="A6" s="3" t="s">
        <v>184</v>
      </c>
      <c r="B6" s="3"/>
      <c r="C6" s="161"/>
      <c r="D6" s="151"/>
      <c r="E6" s="151"/>
      <c r="F6" s="151"/>
      <c r="G6" s="151"/>
      <c r="H6" s="151"/>
      <c r="I6" s="151"/>
      <c r="J6" s="151"/>
      <c r="K6" s="162"/>
      <c r="L6" s="162"/>
      <c r="M6" s="162"/>
      <c r="N6" s="163"/>
    </row>
    <row r="7" spans="1:14" x14ac:dyDescent="0.25">
      <c r="A7" s="3" t="s">
        <v>185</v>
      </c>
      <c r="B7" s="3"/>
      <c r="C7" s="161"/>
      <c r="D7" s="151"/>
      <c r="E7" s="151"/>
      <c r="F7" s="151"/>
      <c r="G7" s="151"/>
      <c r="H7" s="151"/>
      <c r="I7" s="151"/>
      <c r="J7" s="151"/>
      <c r="K7" s="162"/>
      <c r="L7" s="162"/>
      <c r="M7" s="162"/>
      <c r="N7" s="163"/>
    </row>
    <row r="8" spans="1:14" x14ac:dyDescent="0.25">
      <c r="A8" s="3" t="s">
        <v>186</v>
      </c>
      <c r="B8" s="3"/>
      <c r="C8" s="161"/>
      <c r="D8" s="151"/>
      <c r="E8" s="151"/>
      <c r="F8" s="151"/>
      <c r="G8" s="151"/>
      <c r="H8" s="151"/>
      <c r="I8" s="151"/>
      <c r="J8" s="151"/>
      <c r="K8" s="162"/>
      <c r="L8" s="162"/>
      <c r="M8" s="162"/>
      <c r="N8" s="163"/>
    </row>
    <row r="9" spans="1:14" x14ac:dyDescent="0.25">
      <c r="A9" s="3" t="s">
        <v>2</v>
      </c>
      <c r="B9" s="3"/>
      <c r="C9" s="161"/>
      <c r="D9" s="151"/>
      <c r="E9" s="151"/>
      <c r="F9" s="151"/>
      <c r="G9" s="151"/>
      <c r="H9" s="151"/>
      <c r="I9" s="151"/>
      <c r="J9" s="151"/>
      <c r="K9" s="162"/>
      <c r="L9" s="162"/>
      <c r="M9" s="162"/>
      <c r="N9" s="163"/>
    </row>
    <row r="10" spans="1:14" x14ac:dyDescent="0.25">
      <c r="A10" s="3" t="s">
        <v>187</v>
      </c>
      <c r="B10" s="3"/>
      <c r="C10" s="161"/>
      <c r="D10" s="151"/>
      <c r="E10" s="151"/>
      <c r="F10" s="151"/>
      <c r="G10" s="151"/>
      <c r="H10" s="151"/>
      <c r="I10" s="151"/>
      <c r="J10" s="151"/>
      <c r="K10" s="162"/>
      <c r="L10" s="162"/>
      <c r="M10" s="162"/>
      <c r="N10" s="163"/>
    </row>
    <row r="11" spans="1:14" x14ac:dyDescent="0.25">
      <c r="A11" s="3" t="s">
        <v>188</v>
      </c>
      <c r="B11" s="3"/>
      <c r="C11" s="161"/>
      <c r="D11" s="151"/>
      <c r="E11" s="151"/>
      <c r="F11" s="151"/>
      <c r="G11" s="151"/>
      <c r="H11" s="151"/>
      <c r="I11" s="151"/>
      <c r="J11" s="151"/>
      <c r="K11" s="162"/>
      <c r="L11" s="162"/>
      <c r="M11" s="162"/>
      <c r="N11" s="163"/>
    </row>
    <row r="12" spans="1:14" x14ac:dyDescent="0.25">
      <c r="A12" s="3" t="s">
        <v>3</v>
      </c>
      <c r="B12" s="3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3"/>
    </row>
    <row r="13" spans="1:14" x14ac:dyDescent="0.25">
      <c r="A13" s="3" t="s">
        <v>4</v>
      </c>
      <c r="B13" s="3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44"/>
    </row>
    <row r="14" spans="1:14" x14ac:dyDescent="0.25">
      <c r="A14" s="3" t="s">
        <v>5</v>
      </c>
      <c r="B14" s="3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44"/>
    </row>
    <row r="15" spans="1:14" x14ac:dyDescent="0.25">
      <c r="A15" s="3" t="s">
        <v>6</v>
      </c>
      <c r="B15" s="3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44"/>
    </row>
    <row r="16" spans="1:14" x14ac:dyDescent="0.25">
      <c r="A16" s="3" t="s">
        <v>7</v>
      </c>
      <c r="B16" s="3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144"/>
    </row>
    <row r="17" spans="1:14" x14ac:dyDescent="0.25">
      <c r="A17" s="3" t="s">
        <v>8</v>
      </c>
      <c r="B17" s="3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144"/>
    </row>
    <row r="18" spans="1:14" x14ac:dyDescent="0.25">
      <c r="A18" s="6" t="s">
        <v>206</v>
      </c>
      <c r="B18" s="3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44"/>
    </row>
    <row r="19" spans="1:14" x14ac:dyDescent="0.25">
      <c r="A19" s="3" t="s">
        <v>9</v>
      </c>
      <c r="B19" s="3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144"/>
    </row>
    <row r="20" spans="1:14" ht="15.75" thickBot="1" x14ac:dyDescent="0.3">
      <c r="A20" s="2" t="s">
        <v>10</v>
      </c>
      <c r="B20" s="2"/>
      <c r="C20" s="164">
        <f t="shared" ref="C20:N20" si="0">SUM(C6:C14)</f>
        <v>0</v>
      </c>
      <c r="D20" s="165">
        <f t="shared" si="0"/>
        <v>0</v>
      </c>
      <c r="E20" s="165">
        <f t="shared" si="0"/>
        <v>0</v>
      </c>
      <c r="F20" s="165">
        <f t="shared" si="0"/>
        <v>0</v>
      </c>
      <c r="G20" s="165">
        <f t="shared" si="0"/>
        <v>0</v>
      </c>
      <c r="H20" s="165">
        <f t="shared" si="0"/>
        <v>0</v>
      </c>
      <c r="I20" s="165">
        <f t="shared" si="0"/>
        <v>0</v>
      </c>
      <c r="J20" s="165">
        <f t="shared" si="0"/>
        <v>0</v>
      </c>
      <c r="K20" s="165">
        <f t="shared" si="0"/>
        <v>0</v>
      </c>
      <c r="L20" s="165">
        <f t="shared" si="0"/>
        <v>0</v>
      </c>
      <c r="M20" s="165">
        <f t="shared" si="0"/>
        <v>0</v>
      </c>
      <c r="N20" s="166">
        <f t="shared" si="0"/>
        <v>0</v>
      </c>
    </row>
    <row r="21" spans="1:14" x14ac:dyDescent="0.25"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9"/>
    </row>
    <row r="22" spans="1:14" x14ac:dyDescent="0.25">
      <c r="A22" s="6" t="s">
        <v>205</v>
      </c>
      <c r="B22" s="6"/>
      <c r="C22" s="17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-204961.43999999992</v>
      </c>
      <c r="J22" s="150">
        <v>-84885.769999999975</v>
      </c>
      <c r="K22" s="150">
        <v>-72397.499999999971</v>
      </c>
      <c r="L22" s="150">
        <v>-71563.989999999991</v>
      </c>
      <c r="M22" s="150">
        <v>-82488.149999999965</v>
      </c>
      <c r="N22" s="171">
        <v>-102643.82999999997</v>
      </c>
    </row>
    <row r="23" spans="1:14" x14ac:dyDescent="0.25">
      <c r="A23" s="6" t="s">
        <v>28</v>
      </c>
      <c r="B23" s="6"/>
      <c r="C23" s="17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71">
        <v>0</v>
      </c>
    </row>
    <row r="24" spans="1:14" x14ac:dyDescent="0.25">
      <c r="A24" s="3" t="s">
        <v>29</v>
      </c>
      <c r="B24" s="3"/>
      <c r="C24" s="17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171">
        <v>0</v>
      </c>
    </row>
    <row r="25" spans="1:14" x14ac:dyDescent="0.25">
      <c r="A25" s="2" t="s">
        <v>30</v>
      </c>
      <c r="B25" s="2"/>
      <c r="C25" s="170">
        <f t="shared" ref="C25:N25" si="1">SUM(C22:C24)</f>
        <v>0</v>
      </c>
      <c r="D25" s="151">
        <f t="shared" si="1"/>
        <v>0</v>
      </c>
      <c r="E25" s="151">
        <f t="shared" si="1"/>
        <v>0</v>
      </c>
      <c r="F25" s="151">
        <f t="shared" si="1"/>
        <v>0</v>
      </c>
      <c r="G25" s="151">
        <f t="shared" si="1"/>
        <v>0</v>
      </c>
      <c r="H25" s="151">
        <f t="shared" si="1"/>
        <v>0</v>
      </c>
      <c r="I25" s="151">
        <f t="shared" si="1"/>
        <v>-204961.43999999992</v>
      </c>
      <c r="J25" s="151">
        <f t="shared" si="1"/>
        <v>-84885.769999999975</v>
      </c>
      <c r="K25" s="151">
        <f t="shared" si="1"/>
        <v>-72397.499999999971</v>
      </c>
      <c r="L25" s="151">
        <f t="shared" si="1"/>
        <v>-71563.989999999991</v>
      </c>
      <c r="M25" s="151">
        <f t="shared" si="1"/>
        <v>-82488.149999999965</v>
      </c>
      <c r="N25" s="172">
        <f t="shared" si="1"/>
        <v>-102643.82999999997</v>
      </c>
    </row>
    <row r="26" spans="1:14" ht="15.75" thickBot="1" x14ac:dyDescent="0.3">
      <c r="A26" s="7" t="s">
        <v>11</v>
      </c>
      <c r="B26" s="7"/>
      <c r="C26" s="173">
        <f t="shared" ref="C26:N26" si="2">C25+C20</f>
        <v>0</v>
      </c>
      <c r="D26" s="153">
        <f t="shared" si="2"/>
        <v>0</v>
      </c>
      <c r="E26" s="153">
        <f t="shared" si="2"/>
        <v>0</v>
      </c>
      <c r="F26" s="153">
        <f t="shared" si="2"/>
        <v>0</v>
      </c>
      <c r="G26" s="153">
        <f t="shared" si="2"/>
        <v>0</v>
      </c>
      <c r="H26" s="153">
        <f t="shared" si="2"/>
        <v>0</v>
      </c>
      <c r="I26" s="153">
        <f t="shared" si="2"/>
        <v>-204961.43999999992</v>
      </c>
      <c r="J26" s="153">
        <f t="shared" si="2"/>
        <v>-84885.769999999975</v>
      </c>
      <c r="K26" s="153">
        <f t="shared" si="2"/>
        <v>-72397.499999999971</v>
      </c>
      <c r="L26" s="153">
        <f t="shared" si="2"/>
        <v>-71563.989999999991</v>
      </c>
      <c r="M26" s="153">
        <f t="shared" si="2"/>
        <v>-82488.149999999965</v>
      </c>
      <c r="N26" s="154">
        <f t="shared" si="2"/>
        <v>-102643.82999999997</v>
      </c>
    </row>
    <row r="27" spans="1:14" x14ac:dyDescent="0.25">
      <c r="A27" s="2"/>
      <c r="B27" s="2"/>
      <c r="C27" s="3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42"/>
    </row>
    <row r="28" spans="1:14" x14ac:dyDescent="0.25">
      <c r="A28" s="290" t="s">
        <v>12</v>
      </c>
      <c r="B28" s="290"/>
      <c r="C28" s="31">
        <f>+'Aug 20 Int'!G6/12</f>
        <v>1.1382091394398505E-4</v>
      </c>
      <c r="D28" s="8">
        <f>+'Sept 20 Int'!G6/12</f>
        <v>1.0326301837624119E-4</v>
      </c>
      <c r="E28" s="8">
        <f>+'Oct 20 Int'!G6/12</f>
        <v>1.6666666666666666E-4</v>
      </c>
      <c r="F28" s="8">
        <f>'Nov 20 Int'!G6/12</f>
        <v>2.1036976780640262E-4</v>
      </c>
      <c r="G28" s="8">
        <f>'Dec 20 Int'!G6/12</f>
        <v>1.6666666666666663E-4</v>
      </c>
      <c r="H28" s="8">
        <f>'Jan 21 Int'!G6/12</f>
        <v>1.7178246984776615E-4</v>
      </c>
      <c r="I28" s="8">
        <f>'Feb 21 Int'!G6/12</f>
        <v>1.9351401425611733E-4</v>
      </c>
      <c r="J28" s="8">
        <f>'Mar 21 Int'!G6/12</f>
        <v>1.7806156363450436E-4</v>
      </c>
      <c r="K28" s="8">
        <f>'Apr 21 Int'!G6/12</f>
        <v>1.8760240406171021E-4</v>
      </c>
      <c r="L28" s="8">
        <f>'May 21 Int'!G6/12</f>
        <v>1.8689333219239947E-4</v>
      </c>
      <c r="M28" s="8">
        <f>'Jun 21 Int'!G6/12</f>
        <v>1.6804908973922257E-4</v>
      </c>
      <c r="N28" s="147">
        <f>'Jul 21 Int'!G6/12</f>
        <v>1.1629087552742618E-4</v>
      </c>
    </row>
    <row r="29" spans="1:14" x14ac:dyDescent="0.25">
      <c r="A29" s="9" t="s">
        <v>13</v>
      </c>
      <c r="B29" s="9"/>
      <c r="C29" s="156">
        <f>(B33+C26)*C28</f>
        <v>55.295684749144982</v>
      </c>
      <c r="D29" s="155">
        <f t="shared" ref="D29:I29" si="3">(D26+C33)*D28</f>
        <v>50.172231357484264</v>
      </c>
      <c r="E29" s="155">
        <f t="shared" si="3"/>
        <v>80.986418762733862</v>
      </c>
      <c r="F29" s="155">
        <f t="shared" si="3"/>
        <v>102.23960175764105</v>
      </c>
      <c r="G29" s="155">
        <f t="shared" si="3"/>
        <v>81.016956432820578</v>
      </c>
      <c r="H29" s="155">
        <f t="shared" si="3"/>
        <v>83.517674546348317</v>
      </c>
      <c r="I29" s="155">
        <f t="shared" si="3"/>
        <v>184.59628478974994</v>
      </c>
      <c r="J29" s="155">
        <f t="shared" ref="J29" si="4">(J26+I33)*J28</f>
        <v>154.77390786508738</v>
      </c>
      <c r="K29" s="155">
        <f t="shared" ref="K29" si="5">(K26+J33)*K28</f>
        <v>149.51404712837765</v>
      </c>
      <c r="L29" s="155">
        <f t="shared" ref="L29" si="6">(L26+K33)*L28</f>
        <v>135.60204662964395</v>
      </c>
      <c r="M29" s="155">
        <f t="shared" ref="M29" si="7">(M26+L33)*M28</f>
        <v>108.09017553328233</v>
      </c>
      <c r="N29" s="157">
        <f t="shared" ref="N29" si="8">(N26+M33)*N28</f>
        <v>62.875012888600182</v>
      </c>
    </row>
    <row r="30" spans="1:14" x14ac:dyDescent="0.25">
      <c r="A30" s="2"/>
      <c r="B30" s="2"/>
      <c r="C30" s="159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60"/>
    </row>
    <row r="31" spans="1:14" x14ac:dyDescent="0.25">
      <c r="A31" s="2" t="s">
        <v>203</v>
      </c>
      <c r="B31" s="2"/>
      <c r="C31" s="159"/>
      <c r="D31" s="158"/>
      <c r="E31" s="158"/>
      <c r="F31" s="158"/>
      <c r="G31" s="158"/>
      <c r="H31" s="158">
        <f>-'Monthly Cost Tracker 1'!H31</f>
        <v>672612.04715593997</v>
      </c>
      <c r="I31" s="158"/>
      <c r="J31" s="158"/>
      <c r="K31" s="158"/>
      <c r="L31" s="158"/>
      <c r="M31" s="158"/>
      <c r="N31" s="160"/>
    </row>
    <row r="32" spans="1:14" x14ac:dyDescent="0.25">
      <c r="A32" s="2"/>
      <c r="B32" s="2"/>
      <c r="C32" s="159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60"/>
    </row>
    <row r="33" spans="1:14" ht="15.75" thickBot="1" x14ac:dyDescent="0.3">
      <c r="A33" s="7" t="s">
        <v>14</v>
      </c>
      <c r="B33" s="153">
        <v>485813.04466029658</v>
      </c>
      <c r="C33" s="173">
        <f>C26+C29+B33</f>
        <v>485868.34034504573</v>
      </c>
      <c r="D33" s="153">
        <f>D26+D29+C33</f>
        <v>485918.51257640321</v>
      </c>
      <c r="E33" s="153">
        <f t="shared" ref="E33:I33" si="9">E26+E29+D33</f>
        <v>485999.49899516592</v>
      </c>
      <c r="F33" s="153">
        <f t="shared" si="9"/>
        <v>486101.73859692359</v>
      </c>
      <c r="G33" s="153">
        <f t="shared" si="9"/>
        <v>486182.75555335643</v>
      </c>
      <c r="H33" s="153">
        <f>H26+H29+G33+H31</f>
        <v>1158878.3203838428</v>
      </c>
      <c r="I33" s="153">
        <f t="shared" si="9"/>
        <v>954101.47666863259</v>
      </c>
      <c r="J33" s="153">
        <f t="shared" ref="J33" si="10">J26+J29+I33</f>
        <v>869370.48057649774</v>
      </c>
      <c r="K33" s="153">
        <f t="shared" ref="K33" si="11">K26+K29+J33</f>
        <v>797122.49462362612</v>
      </c>
      <c r="L33" s="153">
        <f t="shared" ref="L33" si="12">L26+L29+K33</f>
        <v>725694.10667025577</v>
      </c>
      <c r="M33" s="153">
        <f t="shared" ref="M33" si="13">M26+M29+L33</f>
        <v>643314.04684578907</v>
      </c>
      <c r="N33" s="154">
        <f t="shared" ref="N33" si="14">N26+N29+M33</f>
        <v>540733.09185867768</v>
      </c>
    </row>
    <row r="40" spans="1:14" x14ac:dyDescent="0.25">
      <c r="C40" s="126"/>
      <c r="D40" s="126"/>
      <c r="E40" s="126"/>
      <c r="F40" s="126"/>
      <c r="G40" s="126"/>
      <c r="H40" s="126"/>
      <c r="I40" s="126"/>
    </row>
    <row r="41" spans="1:14" x14ac:dyDescent="0.25">
      <c r="C41" s="127"/>
      <c r="D41" s="127"/>
      <c r="E41" s="127"/>
      <c r="F41" s="127"/>
      <c r="G41" s="127"/>
      <c r="H41" s="127"/>
      <c r="I41" s="127"/>
    </row>
    <row r="42" spans="1:14" x14ac:dyDescent="0.25">
      <c r="C42" s="127"/>
      <c r="D42" s="127"/>
      <c r="E42" s="127"/>
      <c r="F42" s="127"/>
      <c r="G42" s="127"/>
      <c r="H42" s="127"/>
      <c r="I42" s="127"/>
    </row>
    <row r="43" spans="1:14" x14ac:dyDescent="0.25">
      <c r="C43" s="127"/>
      <c r="D43" s="127"/>
      <c r="E43" s="127"/>
      <c r="F43" s="127"/>
      <c r="G43" s="127"/>
      <c r="H43" s="127"/>
      <c r="I43" s="127"/>
    </row>
  </sheetData>
  <mergeCells count="1">
    <mergeCell ref="C3:N3"/>
  </mergeCells>
  <pageMargins left="0.7" right="0.7" top="0.75" bottom="0.75" header="0.3" footer="0.3"/>
  <pageSetup scale="3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0</v>
      </c>
      <c r="EI2" s="85">
        <f>EG40</f>
        <v>0</v>
      </c>
      <c r="EM2" s="85"/>
      <c r="EN2" s="85">
        <f>EK41</f>
        <v>0</v>
      </c>
      <c r="EO2" s="78">
        <v>0</v>
      </c>
      <c r="EP2" s="78">
        <f>EN2+EO2</f>
        <v>0</v>
      </c>
      <c r="EQ2" s="78">
        <f>EE2+EO2</f>
        <v>0</v>
      </c>
    </row>
    <row r="3" spans="1:147" ht="16.5" thickTop="1" x14ac:dyDescent="0.25">
      <c r="A3" s="86" t="s">
        <v>192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1061290.3225806451</v>
      </c>
      <c r="EI3" s="85">
        <f>AVERAGE(EG11:EG40)</f>
        <v>0</v>
      </c>
      <c r="EM3" s="85"/>
      <c r="EN3" s="85">
        <f>AVERAGE(EK11:EK41)</f>
        <v>1061290.3225806451</v>
      </c>
    </row>
    <row r="4" spans="1:147" x14ac:dyDescent="0.25">
      <c r="D4" s="33"/>
      <c r="E4" s="95" t="s">
        <v>102</v>
      </c>
      <c r="F4" s="85"/>
      <c r="G4" s="96">
        <f>EQ2</f>
        <v>0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2E-3</v>
      </c>
      <c r="EI4" s="93">
        <f>IF(EI3=0,0,360*(AVERAGE(EH11:EH40)/EI3))</f>
        <v>0</v>
      </c>
      <c r="EM4" s="93"/>
      <c r="EN4" s="93">
        <f>IF(EN3=0,0,360*(AVERAGE(EM11:EM41)/EN3))</f>
        <v>2E-3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1061290.3225806451</v>
      </c>
      <c r="AI5" s="100" t="s">
        <v>97</v>
      </c>
      <c r="EB5" s="101" t="s">
        <v>109</v>
      </c>
      <c r="EC5" s="101"/>
      <c r="ED5" s="85"/>
      <c r="EE5" s="85">
        <f>MAX(EB11:EB41)</f>
        <v>7950000</v>
      </c>
      <c r="EI5" s="85">
        <f>MAX(EG11:EG40)</f>
        <v>0</v>
      </c>
      <c r="EM5" s="85"/>
      <c r="EN5" s="85">
        <f>MAX(EK11:EK41)</f>
        <v>7950000</v>
      </c>
    </row>
    <row r="6" spans="1:147" x14ac:dyDescent="0.25">
      <c r="D6" s="33"/>
      <c r="E6" s="95" t="s">
        <v>107</v>
      </c>
      <c r="F6" s="85"/>
      <c r="G6" s="102">
        <f>EE4</f>
        <v>2E-3</v>
      </c>
    </row>
    <row r="7" spans="1:147" ht="16.5" thickBot="1" x14ac:dyDescent="0.3">
      <c r="D7" s="33"/>
      <c r="E7" s="103" t="s">
        <v>109</v>
      </c>
      <c r="F7" s="104"/>
      <c r="G7" s="105">
        <f>EE5</f>
        <v>7950000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44105</v>
      </c>
      <c r="B11" s="87">
        <v>0</v>
      </c>
      <c r="C11" s="88">
        <v>2E-3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7800000</f>
        <v>7800000</v>
      </c>
      <c r="AJ11" s="121">
        <v>2E-3</v>
      </c>
      <c r="AK11" s="87">
        <f>(AI11*AJ11)/360</f>
        <v>43.333333333333336</v>
      </c>
      <c r="AL11" s="120"/>
      <c r="AM11" s="121"/>
      <c r="AN11" s="87">
        <f>(AL11*AM11)/360</f>
        <v>0</v>
      </c>
      <c r="AO11" s="120"/>
      <c r="AP11" s="121"/>
      <c r="AQ11" s="87">
        <f>(AO11*AP11)/360</f>
        <v>0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7800000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43.333333333333336</v>
      </c>
      <c r="EE11" s="88">
        <f>IF(EB11&lt;&gt;0,((ED11/EB11)*360),0)</f>
        <v>2E-3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7800000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43.333333333333336</v>
      </c>
      <c r="EN11" s="88">
        <f>IF(EK11&lt;&gt;0,((EM11/EK11)*360),0)</f>
        <v>2E-3</v>
      </c>
      <c r="EP11" s="87"/>
    </row>
    <row r="12" spans="1:147" x14ac:dyDescent="0.25">
      <c r="A12" s="35">
        <f>1+A11</f>
        <v>44106</v>
      </c>
      <c r="B12" s="87">
        <v>0</v>
      </c>
      <c r="C12" s="88">
        <v>2E-3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>
        <f>7950000</f>
        <v>7950000</v>
      </c>
      <c r="AJ12" s="121">
        <v>2E-3</v>
      </c>
      <c r="AK12" s="87">
        <f t="shared" ref="AK12:AK41" si="9">(AI12*AJ12)/360</f>
        <v>44.166666666666664</v>
      </c>
      <c r="AL12" s="120"/>
      <c r="AM12" s="121"/>
      <c r="AN12" s="87">
        <f t="shared" ref="AN12:AN41" si="10">(AL12*AM12)/360</f>
        <v>0</v>
      </c>
      <c r="AO12" s="120"/>
      <c r="AP12" s="121"/>
      <c r="AQ12" s="87">
        <f t="shared" ref="AQ12:AQ41" si="11">(AO12*AP12)/360</f>
        <v>0</v>
      </c>
      <c r="AR12" s="120"/>
      <c r="AS12" s="121"/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7950000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44.166666666666664</v>
      </c>
      <c r="EE12" s="88">
        <f t="shared" ref="EE12:EE41" si="43">IF(EB12&lt;&gt;0,((ED12/EB12)*360),0)</f>
        <v>1.9999999999999996E-3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7950000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44.166666666666664</v>
      </c>
      <c r="EN12" s="88">
        <f t="shared" ref="EN12:EN41" si="50">IF(EK12&lt;&gt;0,((EM12/EK12)*360),0)</f>
        <v>1.9999999999999996E-3</v>
      </c>
      <c r="EP12" s="87"/>
    </row>
    <row r="13" spans="1:147" x14ac:dyDescent="0.25">
      <c r="A13" s="35">
        <f t="shared" ref="A13:A41" si="51">1+A12</f>
        <v>44107</v>
      </c>
      <c r="B13" s="87">
        <v>0</v>
      </c>
      <c r="C13" s="88">
        <v>2E-3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7950000</f>
        <v>7950000</v>
      </c>
      <c r="AJ13" s="121">
        <v>2E-3</v>
      </c>
      <c r="AK13" s="87">
        <f t="shared" si="9"/>
        <v>44.166666666666664</v>
      </c>
      <c r="AL13" s="120"/>
      <c r="AM13" s="121"/>
      <c r="AN13" s="87">
        <f t="shared" si="10"/>
        <v>0</v>
      </c>
      <c r="AO13" s="120"/>
      <c r="AP13" s="121"/>
      <c r="AQ13" s="87">
        <f t="shared" si="11"/>
        <v>0</v>
      </c>
      <c r="AR13" s="120"/>
      <c r="AS13" s="121"/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7950000</v>
      </c>
      <c r="EC13" s="122">
        <f t="shared" si="41"/>
        <v>0</v>
      </c>
      <c r="ED13" s="87">
        <f t="shared" si="42"/>
        <v>44.166666666666664</v>
      </c>
      <c r="EE13" s="88">
        <f t="shared" si="43"/>
        <v>1.9999999999999996E-3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7950000</v>
      </c>
      <c r="EL13" s="122">
        <f t="shared" si="48"/>
        <v>0</v>
      </c>
      <c r="EM13" s="122">
        <f t="shared" si="49"/>
        <v>44.166666666666664</v>
      </c>
      <c r="EN13" s="88">
        <f t="shared" si="50"/>
        <v>1.9999999999999996E-3</v>
      </c>
      <c r="EP13" s="87"/>
    </row>
    <row r="14" spans="1:147" x14ac:dyDescent="0.25">
      <c r="A14" s="35">
        <f t="shared" si="51"/>
        <v>44108</v>
      </c>
      <c r="B14" s="87">
        <v>0</v>
      </c>
      <c r="C14" s="88">
        <v>2E-3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7950000</f>
        <v>7950000</v>
      </c>
      <c r="AJ14" s="121">
        <v>2E-3</v>
      </c>
      <c r="AK14" s="87">
        <f t="shared" si="9"/>
        <v>44.166666666666664</v>
      </c>
      <c r="AL14" s="120"/>
      <c r="AM14" s="121"/>
      <c r="AN14" s="87">
        <f t="shared" si="10"/>
        <v>0</v>
      </c>
      <c r="AO14" s="120"/>
      <c r="AP14" s="121"/>
      <c r="AQ14" s="87">
        <f t="shared" si="11"/>
        <v>0</v>
      </c>
      <c r="AR14" s="120"/>
      <c r="AS14" s="121"/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7950000</v>
      </c>
      <c r="EC14" s="122">
        <f t="shared" si="41"/>
        <v>0</v>
      </c>
      <c r="ED14" s="87">
        <f t="shared" si="42"/>
        <v>44.166666666666664</v>
      </c>
      <c r="EE14" s="88">
        <f t="shared" si="43"/>
        <v>1.9999999999999996E-3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7950000</v>
      </c>
      <c r="EL14" s="122">
        <f t="shared" si="48"/>
        <v>0</v>
      </c>
      <c r="EM14" s="122">
        <f t="shared" si="49"/>
        <v>44.166666666666664</v>
      </c>
      <c r="EN14" s="88">
        <f t="shared" si="50"/>
        <v>1.9999999999999996E-3</v>
      </c>
      <c r="EP14" s="87"/>
    </row>
    <row r="15" spans="1:147" x14ac:dyDescent="0.25">
      <c r="A15" s="35">
        <f t="shared" si="51"/>
        <v>44109</v>
      </c>
      <c r="B15" s="87">
        <v>0</v>
      </c>
      <c r="C15" s="88">
        <v>2E-3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1250000</f>
        <v>1250000</v>
      </c>
      <c r="AJ15" s="121">
        <v>2E-3</v>
      </c>
      <c r="AK15" s="87">
        <f t="shared" si="9"/>
        <v>6.9444444444444446</v>
      </c>
      <c r="AL15" s="120"/>
      <c r="AM15" s="121"/>
      <c r="AN15" s="87">
        <f t="shared" si="10"/>
        <v>0</v>
      </c>
      <c r="AO15" s="120"/>
      <c r="AP15" s="121"/>
      <c r="AQ15" s="87">
        <f t="shared" si="11"/>
        <v>0</v>
      </c>
      <c r="AR15" s="120"/>
      <c r="AS15" s="121"/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1250000</v>
      </c>
      <c r="EC15" s="122">
        <f t="shared" si="41"/>
        <v>0</v>
      </c>
      <c r="ED15" s="87">
        <f t="shared" si="42"/>
        <v>6.9444444444444446</v>
      </c>
      <c r="EE15" s="88">
        <f t="shared" si="43"/>
        <v>2E-3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1250000</v>
      </c>
      <c r="EL15" s="122">
        <f t="shared" si="48"/>
        <v>0</v>
      </c>
      <c r="EM15" s="122">
        <f t="shared" si="49"/>
        <v>6.9444444444444446</v>
      </c>
      <c r="EN15" s="88">
        <f t="shared" si="50"/>
        <v>2E-3</v>
      </c>
      <c r="EP15" s="87"/>
    </row>
    <row r="16" spans="1:147" x14ac:dyDescent="0.25">
      <c r="A16" s="35">
        <f t="shared" si="51"/>
        <v>44110</v>
      </c>
      <c r="B16" s="87">
        <v>0</v>
      </c>
      <c r="C16" s="88">
        <v>1.8936199999999999E-3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/>
      <c r="AJ16" s="121"/>
      <c r="AK16" s="87">
        <f t="shared" si="9"/>
        <v>0</v>
      </c>
      <c r="AL16" s="120"/>
      <c r="AM16" s="121"/>
      <c r="AN16" s="87">
        <f t="shared" si="10"/>
        <v>0</v>
      </c>
      <c r="AO16" s="120"/>
      <c r="AP16" s="121"/>
      <c r="AQ16" s="87">
        <f t="shared" si="11"/>
        <v>0</v>
      </c>
      <c r="AR16" s="120"/>
      <c r="AS16" s="121"/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0</v>
      </c>
      <c r="EC16" s="122">
        <f t="shared" si="41"/>
        <v>0</v>
      </c>
      <c r="ED16" s="87">
        <f t="shared" si="42"/>
        <v>0</v>
      </c>
      <c r="EE16" s="88">
        <f t="shared" si="43"/>
        <v>0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0</v>
      </c>
      <c r="EL16" s="122">
        <f t="shared" si="48"/>
        <v>0</v>
      </c>
      <c r="EM16" s="122">
        <f t="shared" si="49"/>
        <v>0</v>
      </c>
      <c r="EN16" s="88">
        <f t="shared" si="50"/>
        <v>0</v>
      </c>
      <c r="EP16" s="87"/>
    </row>
    <row r="17" spans="1:146" x14ac:dyDescent="0.25">
      <c r="A17" s="35">
        <f t="shared" si="51"/>
        <v>44111</v>
      </c>
      <c r="B17" s="87">
        <v>0</v>
      </c>
      <c r="C17" s="88">
        <v>1.6831699999999999E-3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/>
      <c r="AJ17" s="121"/>
      <c r="AK17" s="87">
        <f t="shared" si="9"/>
        <v>0</v>
      </c>
      <c r="AL17" s="120"/>
      <c r="AM17" s="121"/>
      <c r="AN17" s="87">
        <f t="shared" si="10"/>
        <v>0</v>
      </c>
      <c r="AO17" s="120"/>
      <c r="AP17" s="121"/>
      <c r="AQ17" s="87">
        <f t="shared" si="11"/>
        <v>0</v>
      </c>
      <c r="AR17" s="120"/>
      <c r="AS17" s="121"/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0</v>
      </c>
      <c r="EC17" s="122">
        <f t="shared" si="41"/>
        <v>0</v>
      </c>
      <c r="ED17" s="87">
        <f t="shared" si="42"/>
        <v>0</v>
      </c>
      <c r="EE17" s="88">
        <f t="shared" si="43"/>
        <v>0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0</v>
      </c>
      <c r="EL17" s="122">
        <f t="shared" si="48"/>
        <v>0</v>
      </c>
      <c r="EM17" s="122">
        <f t="shared" si="49"/>
        <v>0</v>
      </c>
      <c r="EN17" s="88">
        <f t="shared" si="50"/>
        <v>0</v>
      </c>
      <c r="EP17" s="87"/>
    </row>
    <row r="18" spans="1:146" x14ac:dyDescent="0.25">
      <c r="A18" s="35">
        <f t="shared" si="51"/>
        <v>44112</v>
      </c>
      <c r="B18" s="87">
        <v>0</v>
      </c>
      <c r="C18" s="88">
        <v>1.63109E-3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/>
      <c r="AJ18" s="121"/>
      <c r="AK18" s="87">
        <f t="shared" si="9"/>
        <v>0</v>
      </c>
      <c r="AL18" s="120"/>
      <c r="AM18" s="121"/>
      <c r="AN18" s="87">
        <f t="shared" si="10"/>
        <v>0</v>
      </c>
      <c r="AO18" s="120"/>
      <c r="AP18" s="121"/>
      <c r="AQ18" s="87">
        <f t="shared" si="11"/>
        <v>0</v>
      </c>
      <c r="AR18" s="120"/>
      <c r="AS18" s="121"/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0</v>
      </c>
      <c r="EC18" s="122">
        <f t="shared" si="41"/>
        <v>0</v>
      </c>
      <c r="ED18" s="87">
        <f t="shared" si="42"/>
        <v>0</v>
      </c>
      <c r="EE18" s="88">
        <f t="shared" si="43"/>
        <v>0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0</v>
      </c>
      <c r="EL18" s="122">
        <f t="shared" si="48"/>
        <v>0</v>
      </c>
      <c r="EM18" s="122">
        <f t="shared" si="49"/>
        <v>0</v>
      </c>
      <c r="EN18" s="88">
        <f t="shared" si="50"/>
        <v>0</v>
      </c>
      <c r="EP18" s="87"/>
    </row>
    <row r="19" spans="1:146" x14ac:dyDescent="0.25">
      <c r="A19" s="35">
        <f t="shared" si="51"/>
        <v>44113</v>
      </c>
      <c r="B19" s="87">
        <v>0</v>
      </c>
      <c r="C19" s="88">
        <v>7.000000000000001E-4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/>
      <c r="AJ19" s="121"/>
      <c r="AK19" s="87">
        <f t="shared" si="9"/>
        <v>0</v>
      </c>
      <c r="AL19" s="120"/>
      <c r="AM19" s="121"/>
      <c r="AN19" s="87">
        <f t="shared" si="10"/>
        <v>0</v>
      </c>
      <c r="AO19" s="120"/>
      <c r="AP19" s="121"/>
      <c r="AQ19" s="87">
        <f t="shared" si="11"/>
        <v>0</v>
      </c>
      <c r="AR19" s="120"/>
      <c r="AS19" s="121"/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0</v>
      </c>
      <c r="EC19" s="122">
        <f t="shared" si="41"/>
        <v>0</v>
      </c>
      <c r="ED19" s="87">
        <f t="shared" si="42"/>
        <v>0</v>
      </c>
      <c r="EE19" s="88">
        <f t="shared" si="43"/>
        <v>0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0</v>
      </c>
      <c r="EL19" s="122">
        <f t="shared" si="48"/>
        <v>0</v>
      </c>
      <c r="EM19" s="122">
        <f t="shared" si="49"/>
        <v>0</v>
      </c>
      <c r="EN19" s="88">
        <f t="shared" si="50"/>
        <v>0</v>
      </c>
      <c r="EP19" s="87"/>
    </row>
    <row r="20" spans="1:146" x14ac:dyDescent="0.25">
      <c r="A20" s="35">
        <f t="shared" si="51"/>
        <v>44114</v>
      </c>
      <c r="B20" s="87">
        <v>0</v>
      </c>
      <c r="C20" s="88">
        <v>7.000000000000001E-4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/>
      <c r="AJ20" s="121"/>
      <c r="AK20" s="87">
        <f t="shared" si="9"/>
        <v>0</v>
      </c>
      <c r="AL20" s="120"/>
      <c r="AM20" s="121"/>
      <c r="AN20" s="87">
        <f t="shared" si="10"/>
        <v>0</v>
      </c>
      <c r="AO20" s="120"/>
      <c r="AP20" s="121"/>
      <c r="AQ20" s="87">
        <f t="shared" si="11"/>
        <v>0</v>
      </c>
      <c r="AR20" s="120"/>
      <c r="AS20" s="121"/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0</v>
      </c>
      <c r="EC20" s="122">
        <f t="shared" si="41"/>
        <v>0</v>
      </c>
      <c r="ED20" s="87">
        <f t="shared" si="42"/>
        <v>0</v>
      </c>
      <c r="EE20" s="88">
        <f t="shared" si="43"/>
        <v>0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0</v>
      </c>
      <c r="EL20" s="122">
        <f t="shared" si="48"/>
        <v>0</v>
      </c>
      <c r="EM20" s="122">
        <f t="shared" si="49"/>
        <v>0</v>
      </c>
      <c r="EN20" s="88">
        <f t="shared" si="50"/>
        <v>0</v>
      </c>
      <c r="EP20" s="87"/>
    </row>
    <row r="21" spans="1:146" x14ac:dyDescent="0.25">
      <c r="A21" s="35">
        <f t="shared" si="51"/>
        <v>44115</v>
      </c>
      <c r="B21" s="87">
        <v>0</v>
      </c>
      <c r="C21" s="88">
        <v>7.000000000000001E-4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/>
      <c r="AJ21" s="121"/>
      <c r="AK21" s="87">
        <f t="shared" si="9"/>
        <v>0</v>
      </c>
      <c r="AL21" s="120"/>
      <c r="AM21" s="121"/>
      <c r="AN21" s="87">
        <f t="shared" si="10"/>
        <v>0</v>
      </c>
      <c r="AO21" s="120"/>
      <c r="AP21" s="121"/>
      <c r="AQ21" s="87">
        <f t="shared" si="11"/>
        <v>0</v>
      </c>
      <c r="AR21" s="120"/>
      <c r="AS21" s="121"/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0</v>
      </c>
      <c r="EC21" s="122">
        <f t="shared" si="41"/>
        <v>0</v>
      </c>
      <c r="ED21" s="87">
        <f t="shared" si="42"/>
        <v>0</v>
      </c>
      <c r="EE21" s="88">
        <f t="shared" si="43"/>
        <v>0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0</v>
      </c>
      <c r="EL21" s="122">
        <f t="shared" si="48"/>
        <v>0</v>
      </c>
      <c r="EM21" s="122">
        <f t="shared" si="49"/>
        <v>0</v>
      </c>
      <c r="EN21" s="88">
        <f t="shared" si="50"/>
        <v>0</v>
      </c>
      <c r="EP21" s="87"/>
    </row>
    <row r="22" spans="1:146" x14ac:dyDescent="0.25">
      <c r="A22" s="35">
        <f t="shared" si="51"/>
        <v>44116</v>
      </c>
      <c r="B22" s="87">
        <v>0</v>
      </c>
      <c r="C22" s="88">
        <v>7.000000000000001E-4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/>
      <c r="AJ22" s="121"/>
      <c r="AK22" s="87">
        <f t="shared" si="9"/>
        <v>0</v>
      </c>
      <c r="AL22" s="120"/>
      <c r="AM22" s="121"/>
      <c r="AN22" s="87">
        <f t="shared" si="10"/>
        <v>0</v>
      </c>
      <c r="AO22" s="120"/>
      <c r="AP22" s="121"/>
      <c r="AQ22" s="87">
        <f t="shared" si="11"/>
        <v>0</v>
      </c>
      <c r="AR22" s="120"/>
      <c r="AS22" s="121"/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0</v>
      </c>
      <c r="EC22" s="122">
        <f t="shared" si="41"/>
        <v>0</v>
      </c>
      <c r="ED22" s="87">
        <f t="shared" si="42"/>
        <v>0</v>
      </c>
      <c r="EE22" s="88">
        <f t="shared" si="43"/>
        <v>0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0</v>
      </c>
      <c r="EL22" s="122">
        <f t="shared" si="48"/>
        <v>0</v>
      </c>
      <c r="EM22" s="122">
        <f t="shared" si="49"/>
        <v>0</v>
      </c>
      <c r="EN22" s="88">
        <f t="shared" si="50"/>
        <v>0</v>
      </c>
      <c r="EP22" s="87"/>
    </row>
    <row r="23" spans="1:146" x14ac:dyDescent="0.25">
      <c r="A23" s="35">
        <f t="shared" si="51"/>
        <v>44117</v>
      </c>
      <c r="B23" s="87">
        <v>0</v>
      </c>
      <c r="C23" s="88">
        <v>8.9999999999999998E-4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/>
      <c r="AJ23" s="121"/>
      <c r="AK23" s="87">
        <f t="shared" si="9"/>
        <v>0</v>
      </c>
      <c r="AL23" s="120"/>
      <c r="AM23" s="121"/>
      <c r="AN23" s="87">
        <f t="shared" si="10"/>
        <v>0</v>
      </c>
      <c r="AO23" s="120"/>
      <c r="AP23" s="121"/>
      <c r="AQ23" s="87">
        <f t="shared" si="11"/>
        <v>0</v>
      </c>
      <c r="AR23" s="120"/>
      <c r="AS23" s="121"/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0</v>
      </c>
      <c r="EC23" s="122">
        <f t="shared" si="41"/>
        <v>0</v>
      </c>
      <c r="ED23" s="87">
        <f t="shared" si="42"/>
        <v>0</v>
      </c>
      <c r="EE23" s="88">
        <f t="shared" si="43"/>
        <v>0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0</v>
      </c>
      <c r="EL23" s="122">
        <f t="shared" si="48"/>
        <v>0</v>
      </c>
      <c r="EM23" s="122">
        <f t="shared" si="49"/>
        <v>0</v>
      </c>
      <c r="EN23" s="88">
        <f t="shared" si="50"/>
        <v>0</v>
      </c>
      <c r="EP23" s="87"/>
    </row>
    <row r="24" spans="1:146" x14ac:dyDescent="0.25">
      <c r="A24" s="35">
        <f t="shared" si="51"/>
        <v>44118</v>
      </c>
      <c r="B24" s="87">
        <v>0</v>
      </c>
      <c r="C24" s="88">
        <v>8.9999999999999998E-4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/>
      <c r="AJ24" s="121"/>
      <c r="AK24" s="87">
        <f t="shared" si="9"/>
        <v>0</v>
      </c>
      <c r="AL24" s="120"/>
      <c r="AM24" s="121"/>
      <c r="AN24" s="87">
        <f t="shared" si="10"/>
        <v>0</v>
      </c>
      <c r="AO24" s="120"/>
      <c r="AP24" s="121"/>
      <c r="AQ24" s="87">
        <f t="shared" si="11"/>
        <v>0</v>
      </c>
      <c r="AR24" s="120"/>
      <c r="AS24" s="121"/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0</v>
      </c>
      <c r="EC24" s="122">
        <f t="shared" si="41"/>
        <v>0</v>
      </c>
      <c r="ED24" s="87">
        <f t="shared" si="42"/>
        <v>0</v>
      </c>
      <c r="EE24" s="88">
        <f t="shared" si="43"/>
        <v>0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0</v>
      </c>
      <c r="EL24" s="122">
        <f t="shared" si="48"/>
        <v>0</v>
      </c>
      <c r="EM24" s="122">
        <f t="shared" si="49"/>
        <v>0</v>
      </c>
      <c r="EN24" s="88">
        <f t="shared" si="50"/>
        <v>0</v>
      </c>
      <c r="EP24" s="87"/>
    </row>
    <row r="25" spans="1:146" x14ac:dyDescent="0.25">
      <c r="A25" s="35">
        <f t="shared" si="51"/>
        <v>44119</v>
      </c>
      <c r="B25" s="87">
        <v>0</v>
      </c>
      <c r="C25" s="88">
        <v>8.9999999999999998E-4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/>
      <c r="AJ25" s="121"/>
      <c r="AK25" s="87">
        <f t="shared" si="9"/>
        <v>0</v>
      </c>
      <c r="AL25" s="120"/>
      <c r="AM25" s="121"/>
      <c r="AN25" s="87">
        <f t="shared" si="10"/>
        <v>0</v>
      </c>
      <c r="AO25" s="120"/>
      <c r="AP25" s="121"/>
      <c r="AQ25" s="87">
        <f t="shared" si="11"/>
        <v>0</v>
      </c>
      <c r="AR25" s="120"/>
      <c r="AS25" s="121"/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0</v>
      </c>
      <c r="EC25" s="122">
        <f t="shared" si="41"/>
        <v>0</v>
      </c>
      <c r="ED25" s="87">
        <f t="shared" si="42"/>
        <v>0</v>
      </c>
      <c r="EE25" s="88">
        <f t="shared" si="43"/>
        <v>0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0</v>
      </c>
      <c r="EL25" s="122">
        <f t="shared" si="48"/>
        <v>0</v>
      </c>
      <c r="EM25" s="122">
        <f t="shared" si="49"/>
        <v>0</v>
      </c>
      <c r="EN25" s="88">
        <f t="shared" si="50"/>
        <v>0</v>
      </c>
      <c r="EP25" s="87"/>
    </row>
    <row r="26" spans="1:146" x14ac:dyDescent="0.25">
      <c r="A26" s="35">
        <f t="shared" si="51"/>
        <v>44120</v>
      </c>
      <c r="B26" s="87">
        <v>0</v>
      </c>
      <c r="C26" s="88">
        <v>8.9999999999999998E-4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/>
      <c r="AJ26" s="121"/>
      <c r="AK26" s="87">
        <f t="shared" si="9"/>
        <v>0</v>
      </c>
      <c r="AL26" s="120"/>
      <c r="AM26" s="121"/>
      <c r="AN26" s="87">
        <f t="shared" si="10"/>
        <v>0</v>
      </c>
      <c r="AO26" s="120"/>
      <c r="AP26" s="121"/>
      <c r="AQ26" s="87">
        <f t="shared" si="11"/>
        <v>0</v>
      </c>
      <c r="AR26" s="120"/>
      <c r="AS26" s="121"/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0</v>
      </c>
      <c r="EC26" s="122">
        <f t="shared" si="41"/>
        <v>0</v>
      </c>
      <c r="ED26" s="87">
        <f t="shared" si="42"/>
        <v>0</v>
      </c>
      <c r="EE26" s="88">
        <f t="shared" si="43"/>
        <v>0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0</v>
      </c>
      <c r="EL26" s="122">
        <f t="shared" si="48"/>
        <v>0</v>
      </c>
      <c r="EM26" s="122">
        <f t="shared" si="49"/>
        <v>0</v>
      </c>
      <c r="EN26" s="88">
        <f t="shared" si="50"/>
        <v>0</v>
      </c>
      <c r="EP26" s="87"/>
    </row>
    <row r="27" spans="1:146" x14ac:dyDescent="0.25">
      <c r="A27" s="35">
        <f t="shared" si="51"/>
        <v>44121</v>
      </c>
      <c r="B27" s="87">
        <v>0</v>
      </c>
      <c r="C27" s="88">
        <v>8.9999999999999998E-4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/>
      <c r="AJ27" s="121"/>
      <c r="AK27" s="87">
        <f t="shared" si="9"/>
        <v>0</v>
      </c>
      <c r="AL27" s="120"/>
      <c r="AM27" s="121"/>
      <c r="AN27" s="87">
        <f t="shared" si="10"/>
        <v>0</v>
      </c>
      <c r="AO27" s="120"/>
      <c r="AP27" s="121"/>
      <c r="AQ27" s="87">
        <f t="shared" si="11"/>
        <v>0</v>
      </c>
      <c r="AR27" s="120"/>
      <c r="AS27" s="121"/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0</v>
      </c>
      <c r="EC27" s="122">
        <f t="shared" si="41"/>
        <v>0</v>
      </c>
      <c r="ED27" s="87">
        <f t="shared" si="42"/>
        <v>0</v>
      </c>
      <c r="EE27" s="88">
        <f t="shared" si="43"/>
        <v>0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0</v>
      </c>
      <c r="EL27" s="122">
        <f t="shared" si="48"/>
        <v>0</v>
      </c>
      <c r="EM27" s="122">
        <f t="shared" si="49"/>
        <v>0</v>
      </c>
      <c r="EN27" s="88">
        <f t="shared" si="50"/>
        <v>0</v>
      </c>
      <c r="EP27" s="87"/>
    </row>
    <row r="28" spans="1:146" x14ac:dyDescent="0.25">
      <c r="A28" s="35">
        <f t="shared" si="51"/>
        <v>44122</v>
      </c>
      <c r="B28" s="87">
        <v>0</v>
      </c>
      <c r="C28" s="88">
        <v>8.9999999999999998E-4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/>
      <c r="AJ28" s="121"/>
      <c r="AK28" s="87">
        <f t="shared" si="9"/>
        <v>0</v>
      </c>
      <c r="AL28" s="120"/>
      <c r="AM28" s="121"/>
      <c r="AN28" s="87">
        <f t="shared" si="10"/>
        <v>0</v>
      </c>
      <c r="AO28" s="120"/>
      <c r="AP28" s="121"/>
      <c r="AQ28" s="87">
        <f t="shared" si="11"/>
        <v>0</v>
      </c>
      <c r="AR28" s="120"/>
      <c r="AS28" s="121"/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0</v>
      </c>
      <c r="EC28" s="122">
        <f t="shared" si="41"/>
        <v>0</v>
      </c>
      <c r="ED28" s="87">
        <f t="shared" si="42"/>
        <v>0</v>
      </c>
      <c r="EE28" s="88">
        <f t="shared" si="43"/>
        <v>0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0</v>
      </c>
      <c r="EL28" s="122">
        <f t="shared" si="48"/>
        <v>0</v>
      </c>
      <c r="EM28" s="122">
        <f t="shared" si="49"/>
        <v>0</v>
      </c>
      <c r="EN28" s="88">
        <f t="shared" si="50"/>
        <v>0</v>
      </c>
      <c r="EP28" s="87"/>
    </row>
    <row r="29" spans="1:146" x14ac:dyDescent="0.25">
      <c r="A29" s="35">
        <f t="shared" si="51"/>
        <v>44123</v>
      </c>
      <c r="B29" s="87">
        <v>0</v>
      </c>
      <c r="C29" s="88">
        <v>1E-3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/>
      <c r="AJ29" s="121"/>
      <c r="AK29" s="87">
        <f t="shared" si="9"/>
        <v>0</v>
      </c>
      <c r="AL29" s="120"/>
      <c r="AM29" s="121"/>
      <c r="AN29" s="87">
        <f t="shared" si="10"/>
        <v>0</v>
      </c>
      <c r="AO29" s="120"/>
      <c r="AP29" s="121"/>
      <c r="AQ29" s="87">
        <f t="shared" si="11"/>
        <v>0</v>
      </c>
      <c r="AR29" s="120"/>
      <c r="AS29" s="121"/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0</v>
      </c>
      <c r="EC29" s="122">
        <f t="shared" si="41"/>
        <v>0</v>
      </c>
      <c r="ED29" s="87">
        <f t="shared" si="42"/>
        <v>0</v>
      </c>
      <c r="EE29" s="88">
        <f t="shared" si="43"/>
        <v>0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0</v>
      </c>
      <c r="EL29" s="122">
        <f t="shared" si="48"/>
        <v>0</v>
      </c>
      <c r="EM29" s="122">
        <f t="shared" si="49"/>
        <v>0</v>
      </c>
      <c r="EN29" s="88">
        <f t="shared" si="50"/>
        <v>0</v>
      </c>
      <c r="EP29" s="87"/>
    </row>
    <row r="30" spans="1:146" x14ac:dyDescent="0.25">
      <c r="A30" s="35">
        <f t="shared" si="51"/>
        <v>44124</v>
      </c>
      <c r="B30" s="87">
        <v>0</v>
      </c>
      <c r="C30" s="88">
        <v>1E-3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/>
      <c r="AJ30" s="121"/>
      <c r="AK30" s="87">
        <f t="shared" si="9"/>
        <v>0</v>
      </c>
      <c r="AL30" s="120"/>
      <c r="AM30" s="121"/>
      <c r="AN30" s="87">
        <f t="shared" si="10"/>
        <v>0</v>
      </c>
      <c r="AO30" s="120"/>
      <c r="AP30" s="121"/>
      <c r="AQ30" s="87">
        <f t="shared" si="11"/>
        <v>0</v>
      </c>
      <c r="AR30" s="120"/>
      <c r="AS30" s="121"/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0</v>
      </c>
      <c r="EC30" s="122">
        <f t="shared" si="41"/>
        <v>0</v>
      </c>
      <c r="ED30" s="87">
        <f t="shared" si="42"/>
        <v>0</v>
      </c>
      <c r="EE30" s="88">
        <f t="shared" si="43"/>
        <v>0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0</v>
      </c>
      <c r="EL30" s="122">
        <f t="shared" si="48"/>
        <v>0</v>
      </c>
      <c r="EM30" s="122">
        <f t="shared" si="49"/>
        <v>0</v>
      </c>
      <c r="EN30" s="88">
        <f t="shared" si="50"/>
        <v>0</v>
      </c>
      <c r="EP30" s="87"/>
    </row>
    <row r="31" spans="1:146" x14ac:dyDescent="0.25">
      <c r="A31" s="35">
        <f t="shared" si="51"/>
        <v>44125</v>
      </c>
      <c r="B31" s="87">
        <v>0</v>
      </c>
      <c r="C31" s="88">
        <v>8.9999999999999998E-4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/>
      <c r="AJ31" s="121"/>
      <c r="AK31" s="87">
        <f t="shared" si="9"/>
        <v>0</v>
      </c>
      <c r="AL31" s="120"/>
      <c r="AM31" s="121"/>
      <c r="AN31" s="87">
        <f t="shared" si="10"/>
        <v>0</v>
      </c>
      <c r="AO31" s="120"/>
      <c r="AP31" s="121"/>
      <c r="AQ31" s="87">
        <f t="shared" si="11"/>
        <v>0</v>
      </c>
      <c r="AR31" s="120"/>
      <c r="AS31" s="121"/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0</v>
      </c>
      <c r="EC31" s="122">
        <f t="shared" si="41"/>
        <v>0</v>
      </c>
      <c r="ED31" s="87">
        <f t="shared" si="42"/>
        <v>0</v>
      </c>
      <c r="EE31" s="88">
        <f t="shared" si="43"/>
        <v>0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0</v>
      </c>
      <c r="EL31" s="122">
        <f t="shared" si="48"/>
        <v>0</v>
      </c>
      <c r="EM31" s="122">
        <f t="shared" si="49"/>
        <v>0</v>
      </c>
      <c r="EN31" s="88">
        <f t="shared" si="50"/>
        <v>0</v>
      </c>
      <c r="EP31" s="87"/>
    </row>
    <row r="32" spans="1:146" x14ac:dyDescent="0.25">
      <c r="A32" s="35">
        <f t="shared" si="51"/>
        <v>44126</v>
      </c>
      <c r="B32" s="87">
        <v>0</v>
      </c>
      <c r="C32" s="88">
        <v>8.9999999999999998E-4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/>
      <c r="AJ32" s="121"/>
      <c r="AK32" s="87">
        <f t="shared" si="9"/>
        <v>0</v>
      </c>
      <c r="AL32" s="120"/>
      <c r="AM32" s="121"/>
      <c r="AN32" s="87">
        <f t="shared" si="10"/>
        <v>0</v>
      </c>
      <c r="AO32" s="120"/>
      <c r="AP32" s="121"/>
      <c r="AQ32" s="87">
        <f t="shared" si="11"/>
        <v>0</v>
      </c>
      <c r="AR32" s="120"/>
      <c r="AS32" s="121"/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0</v>
      </c>
      <c r="EC32" s="122">
        <f t="shared" si="41"/>
        <v>0</v>
      </c>
      <c r="ED32" s="87">
        <f t="shared" si="42"/>
        <v>0</v>
      </c>
      <c r="EE32" s="88">
        <f t="shared" si="43"/>
        <v>0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0</v>
      </c>
      <c r="EL32" s="122">
        <f t="shared" si="48"/>
        <v>0</v>
      </c>
      <c r="EM32" s="122">
        <f t="shared" si="49"/>
        <v>0</v>
      </c>
      <c r="EN32" s="88">
        <f t="shared" si="50"/>
        <v>0</v>
      </c>
      <c r="EP32" s="87"/>
    </row>
    <row r="33" spans="1:146" x14ac:dyDescent="0.25">
      <c r="A33" s="35">
        <f t="shared" si="51"/>
        <v>44127</v>
      </c>
      <c r="B33" s="87">
        <v>0</v>
      </c>
      <c r="C33" s="88">
        <v>8.0000000000000004E-4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/>
      <c r="AJ33" s="121"/>
      <c r="AK33" s="87">
        <f t="shared" si="9"/>
        <v>0</v>
      </c>
      <c r="AL33" s="120"/>
      <c r="AM33" s="121"/>
      <c r="AN33" s="87">
        <f t="shared" si="10"/>
        <v>0</v>
      </c>
      <c r="AO33" s="120"/>
      <c r="AP33" s="121"/>
      <c r="AQ33" s="87">
        <f t="shared" si="11"/>
        <v>0</v>
      </c>
      <c r="AR33" s="120"/>
      <c r="AS33" s="121"/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0</v>
      </c>
      <c r="EC33" s="122">
        <f t="shared" si="41"/>
        <v>0</v>
      </c>
      <c r="ED33" s="87">
        <f t="shared" si="42"/>
        <v>0</v>
      </c>
      <c r="EE33" s="88">
        <f t="shared" si="43"/>
        <v>0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0</v>
      </c>
      <c r="EL33" s="122">
        <f t="shared" si="48"/>
        <v>0</v>
      </c>
      <c r="EM33" s="122">
        <f t="shared" si="49"/>
        <v>0</v>
      </c>
      <c r="EN33" s="88">
        <f t="shared" si="50"/>
        <v>0</v>
      </c>
      <c r="EP33" s="87"/>
    </row>
    <row r="34" spans="1:146" x14ac:dyDescent="0.25">
      <c r="A34" s="35">
        <f t="shared" si="51"/>
        <v>44128</v>
      </c>
      <c r="B34" s="87">
        <v>0</v>
      </c>
      <c r="C34" s="88">
        <v>8.0000000000000004E-4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/>
      <c r="AJ34" s="121"/>
      <c r="AK34" s="87">
        <f t="shared" si="9"/>
        <v>0</v>
      </c>
      <c r="AL34" s="120"/>
      <c r="AM34" s="121"/>
      <c r="AN34" s="87">
        <f t="shared" si="10"/>
        <v>0</v>
      </c>
      <c r="AO34" s="120"/>
      <c r="AP34" s="121"/>
      <c r="AQ34" s="87">
        <f t="shared" si="11"/>
        <v>0</v>
      </c>
      <c r="AR34" s="120"/>
      <c r="AS34" s="121"/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0</v>
      </c>
      <c r="EC34" s="122">
        <f t="shared" si="41"/>
        <v>0</v>
      </c>
      <c r="ED34" s="87">
        <f t="shared" si="42"/>
        <v>0</v>
      </c>
      <c r="EE34" s="88">
        <f t="shared" si="43"/>
        <v>0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0</v>
      </c>
      <c r="EL34" s="122">
        <f t="shared" si="48"/>
        <v>0</v>
      </c>
      <c r="EM34" s="122">
        <f t="shared" si="49"/>
        <v>0</v>
      </c>
      <c r="EN34" s="88">
        <f t="shared" si="50"/>
        <v>0</v>
      </c>
      <c r="EP34" s="87"/>
    </row>
    <row r="35" spans="1:146" x14ac:dyDescent="0.25">
      <c r="A35" s="35">
        <f t="shared" si="51"/>
        <v>44129</v>
      </c>
      <c r="B35" s="87">
        <v>0</v>
      </c>
      <c r="C35" s="88">
        <v>8.0000000000000004E-4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/>
      <c r="AJ35" s="121"/>
      <c r="AK35" s="87">
        <f t="shared" si="9"/>
        <v>0</v>
      </c>
      <c r="AL35" s="120"/>
      <c r="AM35" s="121"/>
      <c r="AN35" s="87">
        <f t="shared" si="10"/>
        <v>0</v>
      </c>
      <c r="AO35" s="120"/>
      <c r="AP35" s="121"/>
      <c r="AQ35" s="87">
        <f t="shared" si="11"/>
        <v>0</v>
      </c>
      <c r="AR35" s="120"/>
      <c r="AS35" s="121"/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0</v>
      </c>
      <c r="EC35" s="122">
        <f t="shared" si="41"/>
        <v>0</v>
      </c>
      <c r="ED35" s="87">
        <f t="shared" si="42"/>
        <v>0</v>
      </c>
      <c r="EE35" s="88">
        <f t="shared" si="43"/>
        <v>0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0</v>
      </c>
      <c r="EL35" s="122">
        <f t="shared" si="48"/>
        <v>0</v>
      </c>
      <c r="EM35" s="122">
        <f t="shared" si="49"/>
        <v>0</v>
      </c>
      <c r="EN35" s="88">
        <f t="shared" si="50"/>
        <v>0</v>
      </c>
      <c r="EP35" s="87"/>
    </row>
    <row r="36" spans="1:146" x14ac:dyDescent="0.25">
      <c r="A36" s="35">
        <f t="shared" si="51"/>
        <v>44130</v>
      </c>
      <c r="B36" s="87">
        <v>0</v>
      </c>
      <c r="C36" s="88">
        <v>8.0000000000000004E-4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/>
      <c r="AJ36" s="121"/>
      <c r="AK36" s="87">
        <f t="shared" si="9"/>
        <v>0</v>
      </c>
      <c r="AL36" s="120"/>
      <c r="AM36" s="121"/>
      <c r="AN36" s="87">
        <f t="shared" si="10"/>
        <v>0</v>
      </c>
      <c r="AO36" s="120"/>
      <c r="AP36" s="121"/>
      <c r="AQ36" s="87">
        <f t="shared" si="11"/>
        <v>0</v>
      </c>
      <c r="AR36" s="120"/>
      <c r="AS36" s="121"/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0</v>
      </c>
      <c r="EC36" s="122">
        <f t="shared" si="41"/>
        <v>0</v>
      </c>
      <c r="ED36" s="87">
        <f t="shared" si="42"/>
        <v>0</v>
      </c>
      <c r="EE36" s="88">
        <f t="shared" si="43"/>
        <v>0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0</v>
      </c>
      <c r="EL36" s="122">
        <f t="shared" si="48"/>
        <v>0</v>
      </c>
      <c r="EM36" s="122">
        <f t="shared" si="49"/>
        <v>0</v>
      </c>
      <c r="EN36" s="88">
        <f t="shared" si="50"/>
        <v>0</v>
      </c>
      <c r="EP36" s="87"/>
    </row>
    <row r="37" spans="1:146" x14ac:dyDescent="0.25">
      <c r="A37" s="35">
        <f t="shared" si="51"/>
        <v>44131</v>
      </c>
      <c r="B37" s="87">
        <v>0</v>
      </c>
      <c r="C37" s="88">
        <v>1.1999999999999999E-3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/>
      <c r="AJ37" s="121"/>
      <c r="AK37" s="87">
        <f t="shared" si="9"/>
        <v>0</v>
      </c>
      <c r="AL37" s="120"/>
      <c r="AM37" s="121"/>
      <c r="AN37" s="87">
        <f t="shared" si="10"/>
        <v>0</v>
      </c>
      <c r="AO37" s="120"/>
      <c r="AP37" s="121"/>
      <c r="AQ37" s="87">
        <f t="shared" si="11"/>
        <v>0</v>
      </c>
      <c r="AR37" s="120"/>
      <c r="AS37" s="121"/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0</v>
      </c>
      <c r="EC37" s="122">
        <f t="shared" si="41"/>
        <v>0</v>
      </c>
      <c r="ED37" s="87">
        <f t="shared" si="42"/>
        <v>0</v>
      </c>
      <c r="EE37" s="88">
        <f t="shared" si="43"/>
        <v>0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0</v>
      </c>
      <c r="EL37" s="122">
        <f t="shared" si="48"/>
        <v>0</v>
      </c>
      <c r="EM37" s="122">
        <f t="shared" si="49"/>
        <v>0</v>
      </c>
      <c r="EN37" s="88">
        <f t="shared" si="50"/>
        <v>0</v>
      </c>
      <c r="EP37" s="87"/>
    </row>
    <row r="38" spans="1:146" x14ac:dyDescent="0.25">
      <c r="A38" s="35">
        <f t="shared" si="51"/>
        <v>44132</v>
      </c>
      <c r="B38" s="87">
        <v>0</v>
      </c>
      <c r="C38" s="88">
        <v>1.1000000000000001E-3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/>
      <c r="AJ38" s="121"/>
      <c r="AK38" s="87">
        <f t="shared" si="9"/>
        <v>0</v>
      </c>
      <c r="AL38" s="120"/>
      <c r="AM38" s="121"/>
      <c r="AN38" s="87">
        <f t="shared" si="10"/>
        <v>0</v>
      </c>
      <c r="AO38" s="120"/>
      <c r="AP38" s="121"/>
      <c r="AQ38" s="87">
        <f t="shared" si="11"/>
        <v>0</v>
      </c>
      <c r="AR38" s="120"/>
      <c r="AS38" s="121"/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0</v>
      </c>
      <c r="EC38" s="122">
        <f t="shared" si="41"/>
        <v>0</v>
      </c>
      <c r="ED38" s="87">
        <f t="shared" si="42"/>
        <v>0</v>
      </c>
      <c r="EE38" s="88">
        <f t="shared" si="43"/>
        <v>0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0</v>
      </c>
      <c r="EL38" s="122">
        <f t="shared" si="48"/>
        <v>0</v>
      </c>
      <c r="EM38" s="122">
        <f t="shared" si="49"/>
        <v>0</v>
      </c>
      <c r="EN38" s="88">
        <f t="shared" si="50"/>
        <v>0</v>
      </c>
      <c r="EP38" s="87"/>
    </row>
    <row r="39" spans="1:146" x14ac:dyDescent="0.25">
      <c r="A39" s="35">
        <f t="shared" si="51"/>
        <v>44133</v>
      </c>
      <c r="B39" s="87">
        <v>0</v>
      </c>
      <c r="C39" s="88">
        <v>8.0000000000000004E-4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/>
      <c r="AJ39" s="121"/>
      <c r="AK39" s="87">
        <f t="shared" si="9"/>
        <v>0</v>
      </c>
      <c r="AL39" s="120"/>
      <c r="AM39" s="121"/>
      <c r="AN39" s="87">
        <f t="shared" si="10"/>
        <v>0</v>
      </c>
      <c r="AO39" s="120"/>
      <c r="AP39" s="121"/>
      <c r="AQ39" s="87">
        <f t="shared" si="11"/>
        <v>0</v>
      </c>
      <c r="AR39" s="120"/>
      <c r="AS39" s="121"/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0</v>
      </c>
      <c r="EC39" s="122">
        <f t="shared" si="41"/>
        <v>0</v>
      </c>
      <c r="ED39" s="87">
        <f t="shared" si="42"/>
        <v>0</v>
      </c>
      <c r="EE39" s="88">
        <f t="shared" si="43"/>
        <v>0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0</v>
      </c>
      <c r="EL39" s="122">
        <f t="shared" si="48"/>
        <v>0</v>
      </c>
      <c r="EM39" s="122">
        <f t="shared" si="49"/>
        <v>0</v>
      </c>
      <c r="EN39" s="88">
        <f t="shared" si="50"/>
        <v>0</v>
      </c>
      <c r="EP39" s="87"/>
    </row>
    <row r="40" spans="1:146" x14ac:dyDescent="0.25">
      <c r="A40" s="35">
        <f t="shared" si="51"/>
        <v>44134</v>
      </c>
      <c r="B40" s="87">
        <v>0</v>
      </c>
      <c r="C40" s="88">
        <v>8.9999999999999998E-4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/>
      <c r="AJ40" s="121"/>
      <c r="AK40" s="87">
        <f t="shared" si="9"/>
        <v>0</v>
      </c>
      <c r="AL40" s="120"/>
      <c r="AM40" s="121"/>
      <c r="AN40" s="87">
        <f t="shared" si="10"/>
        <v>0</v>
      </c>
      <c r="AO40" s="120"/>
      <c r="AP40" s="121"/>
      <c r="AQ40" s="87">
        <f t="shared" si="11"/>
        <v>0</v>
      </c>
      <c r="AR40" s="120"/>
      <c r="AS40" s="121"/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0</v>
      </c>
      <c r="EC40" s="122">
        <f t="shared" si="41"/>
        <v>0</v>
      </c>
      <c r="ED40" s="87">
        <f t="shared" si="42"/>
        <v>0</v>
      </c>
      <c r="EE40" s="88">
        <f t="shared" si="43"/>
        <v>0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0</v>
      </c>
      <c r="EL40" s="122">
        <f t="shared" si="48"/>
        <v>0</v>
      </c>
      <c r="EM40" s="122">
        <f t="shared" si="49"/>
        <v>0</v>
      </c>
      <c r="EN40" s="88">
        <f t="shared" si="50"/>
        <v>0</v>
      </c>
      <c r="EP40" s="87"/>
    </row>
    <row r="41" spans="1:146" x14ac:dyDescent="0.25">
      <c r="A41" s="35">
        <f t="shared" si="51"/>
        <v>44135</v>
      </c>
      <c r="B41" s="87">
        <v>0</v>
      </c>
      <c r="C41" s="88">
        <v>8.9999999999999998E-4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/>
      <c r="AJ41" s="121"/>
      <c r="AK41" s="87">
        <f t="shared" si="9"/>
        <v>0</v>
      </c>
      <c r="AL41" s="120"/>
      <c r="AM41" s="121"/>
      <c r="AN41" s="87">
        <f t="shared" si="10"/>
        <v>0</v>
      </c>
      <c r="AO41" s="120"/>
      <c r="AP41" s="121"/>
      <c r="AQ41" s="87">
        <f t="shared" si="11"/>
        <v>0</v>
      </c>
      <c r="AR41" s="120"/>
      <c r="AS41" s="121"/>
      <c r="AT41" s="87">
        <f t="shared" si="12"/>
        <v>0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0</v>
      </c>
      <c r="EC41" s="122">
        <f t="shared" si="41"/>
        <v>0</v>
      </c>
      <c r="ED41" s="87">
        <f t="shared" si="42"/>
        <v>0</v>
      </c>
      <c r="EE41" s="88">
        <f t="shared" si="43"/>
        <v>0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0</v>
      </c>
      <c r="EL41" s="122">
        <f t="shared" si="48"/>
        <v>0</v>
      </c>
      <c r="EM41" s="122">
        <f t="shared" si="49"/>
        <v>0</v>
      </c>
      <c r="EN41" s="88">
        <f t="shared" si="50"/>
        <v>0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182.77777777777777</v>
      </c>
      <c r="AN42" s="124">
        <f>SUM(AN11:AN41)</f>
        <v>0</v>
      </c>
      <c r="AQ42" s="124">
        <f>SUM(AQ11:AQ41)</f>
        <v>0</v>
      </c>
      <c r="AT42" s="124">
        <f>SUM(AT11:AT41)</f>
        <v>0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182.77777777777777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182.77777777777777</v>
      </c>
      <c r="EN42" s="88"/>
    </row>
    <row r="44" spans="1:146" x14ac:dyDescent="0.25">
      <c r="EM44" s="125"/>
    </row>
    <row r="46" spans="1:146" x14ac:dyDescent="0.25">
      <c r="ED46" s="87"/>
      <c r="EM46" s="87"/>
    </row>
    <row r="48" spans="1:146" x14ac:dyDescent="0.25">
      <c r="EM48" s="8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7"/>
  <sheetViews>
    <sheetView workbookViewId="0">
      <pane xSplit="1" ySplit="10" topLeftCell="B11" activePane="bottomRight" state="frozen"/>
      <selection pane="topRight" activeCell="B1" sqref="B1"/>
      <selection pane="bottomLeft" activeCell="A12" sqref="A12"/>
      <selection pane="bottomRight" activeCell="B11" sqref="B11"/>
    </sheetView>
  </sheetViews>
  <sheetFormatPr defaultColWidth="9" defaultRowHeight="12.75" x14ac:dyDescent="0.2"/>
  <cols>
    <col min="1" max="1" width="14.5703125" style="247" bestFit="1" customWidth="1"/>
    <col min="2" max="2" width="15.5703125" style="245" bestFit="1" customWidth="1"/>
    <col min="3" max="3" width="15.42578125" style="246" bestFit="1" customWidth="1"/>
    <col min="4" max="4" width="15.42578125" style="247" bestFit="1" customWidth="1"/>
    <col min="5" max="5" width="15.5703125" style="245" bestFit="1" customWidth="1"/>
    <col min="6" max="6" width="12.28515625" style="246" bestFit="1" customWidth="1"/>
    <col min="7" max="7" width="15.42578125" style="247" bestFit="1" customWidth="1"/>
    <col min="8" max="8" width="15.42578125" style="245" hidden="1" customWidth="1"/>
    <col min="9" max="9" width="10.28515625" style="246" hidden="1" customWidth="1"/>
    <col min="10" max="10" width="13.42578125" style="247" hidden="1" customWidth="1"/>
    <col min="11" max="11" width="14.42578125" style="245" hidden="1" customWidth="1"/>
    <col min="12" max="12" width="10.28515625" style="246" hidden="1" customWidth="1"/>
    <col min="13" max="13" width="11.7109375" style="247" hidden="1" customWidth="1"/>
    <col min="14" max="14" width="14.42578125" style="245" hidden="1" customWidth="1"/>
    <col min="15" max="15" width="10.28515625" style="246" hidden="1" customWidth="1"/>
    <col min="16" max="16" width="11.7109375" style="247" hidden="1" customWidth="1"/>
    <col min="17" max="17" width="15.42578125" style="245" hidden="1" customWidth="1"/>
    <col min="18" max="18" width="10.28515625" style="246" hidden="1" customWidth="1"/>
    <col min="19" max="19" width="11.7109375" style="247" hidden="1" customWidth="1"/>
    <col min="20" max="20" width="15.42578125" style="245" hidden="1" customWidth="1"/>
    <col min="21" max="21" width="10.28515625" style="246" hidden="1" customWidth="1"/>
    <col min="22" max="22" width="11.7109375" style="247" hidden="1" customWidth="1"/>
    <col min="23" max="23" width="15.42578125" style="245" hidden="1" customWidth="1"/>
    <col min="24" max="24" width="10.28515625" style="246" hidden="1" customWidth="1"/>
    <col min="25" max="25" width="11.7109375" style="247" hidden="1" customWidth="1"/>
    <col min="26" max="26" width="15.42578125" style="245" hidden="1" customWidth="1"/>
    <col min="27" max="27" width="10.28515625" style="246" hidden="1" customWidth="1"/>
    <col min="28" max="28" width="11.7109375" style="247" hidden="1" customWidth="1"/>
    <col min="29" max="29" width="15.42578125" style="245" hidden="1" customWidth="1"/>
    <col min="30" max="30" width="10.28515625" style="246" hidden="1" customWidth="1"/>
    <col min="31" max="31" width="11.7109375" style="247" hidden="1" customWidth="1"/>
    <col min="32" max="32" width="14.42578125" style="245" hidden="1" customWidth="1"/>
    <col min="33" max="33" width="10.28515625" style="246" hidden="1" customWidth="1"/>
    <col min="34" max="34" width="10.7109375" style="247" hidden="1" customWidth="1"/>
    <col min="35" max="35" width="14.42578125" style="245" customWidth="1"/>
    <col min="36" max="36" width="10.28515625" style="246" customWidth="1"/>
    <col min="37" max="37" width="10.7109375" style="247" customWidth="1"/>
    <col min="38" max="38" width="14.42578125" style="245" customWidth="1"/>
    <col min="39" max="39" width="10.28515625" style="246" customWidth="1"/>
    <col min="40" max="40" width="10.7109375" style="247" customWidth="1"/>
    <col min="41" max="41" width="15.42578125" style="245" bestFit="1" customWidth="1"/>
    <col min="42" max="42" width="12.28515625" style="246" bestFit="1" customWidth="1"/>
    <col min="43" max="43" width="11.7109375" style="247" bestFit="1" customWidth="1"/>
    <col min="44" max="44" width="15.42578125" style="245" bestFit="1" customWidth="1"/>
    <col min="45" max="45" width="10.28515625" style="246" bestFit="1" customWidth="1"/>
    <col min="46" max="46" width="11.7109375" style="247" bestFit="1" customWidth="1"/>
    <col min="47" max="47" width="14.42578125" style="245" customWidth="1"/>
    <col min="48" max="48" width="10.28515625" style="246" customWidth="1"/>
    <col min="49" max="49" width="10.7109375" style="247" customWidth="1"/>
    <col min="50" max="50" width="14.42578125" style="245" customWidth="1"/>
    <col min="51" max="51" width="10.28515625" style="246" customWidth="1"/>
    <col min="52" max="52" width="11.7109375" style="247" bestFit="1" customWidth="1"/>
    <col min="53" max="53" width="14.42578125" style="245" customWidth="1"/>
    <col min="54" max="54" width="10.28515625" style="246" customWidth="1"/>
    <col min="55" max="55" width="11.7109375" style="247" bestFit="1" customWidth="1"/>
    <col min="56" max="56" width="14.42578125" style="245" customWidth="1"/>
    <col min="57" max="57" width="10.28515625" style="246" customWidth="1"/>
    <col min="58" max="58" width="10.7109375" style="247" customWidth="1"/>
    <col min="59" max="59" width="14.42578125" style="245" customWidth="1"/>
    <col min="60" max="60" width="10.28515625" style="246" customWidth="1"/>
    <col min="61" max="61" width="10.7109375" style="247" customWidth="1"/>
    <col min="62" max="62" width="14.42578125" style="245" customWidth="1"/>
    <col min="63" max="63" width="10.28515625" style="246" customWidth="1"/>
    <col min="64" max="64" width="10.7109375" style="247" hidden="1" customWidth="1"/>
    <col min="65" max="65" width="14.42578125" style="245" hidden="1" customWidth="1"/>
    <col min="66" max="66" width="10.28515625" style="246" hidden="1" customWidth="1"/>
    <col min="67" max="67" width="10.7109375" style="247" hidden="1" customWidth="1"/>
    <col min="68" max="68" width="14.42578125" style="245" hidden="1" customWidth="1"/>
    <col min="69" max="69" width="10.28515625" style="246" hidden="1" customWidth="1"/>
    <col min="70" max="70" width="10.7109375" style="247" hidden="1" customWidth="1"/>
    <col min="71" max="71" width="14.42578125" style="245" hidden="1" customWidth="1"/>
    <col min="72" max="72" width="10.28515625" style="246" hidden="1" customWidth="1"/>
    <col min="73" max="73" width="10.7109375" style="247" hidden="1" customWidth="1"/>
    <col min="74" max="74" width="14.42578125" style="245" hidden="1" customWidth="1"/>
    <col min="75" max="75" width="10.28515625" style="246" hidden="1" customWidth="1"/>
    <col min="76" max="76" width="10.7109375" style="247" hidden="1" customWidth="1"/>
    <col min="77" max="77" width="14.42578125" style="245" hidden="1" customWidth="1"/>
    <col min="78" max="78" width="10.28515625" style="246" hidden="1" customWidth="1"/>
    <col min="79" max="79" width="10.7109375" style="247" hidden="1" customWidth="1"/>
    <col min="80" max="80" width="14.42578125" style="245" hidden="1" customWidth="1"/>
    <col min="81" max="81" width="10.28515625" style="246" hidden="1" customWidth="1"/>
    <col min="82" max="82" width="10.7109375" style="247" hidden="1" customWidth="1"/>
    <col min="83" max="83" width="14.42578125" style="245" hidden="1" customWidth="1"/>
    <col min="84" max="84" width="10.28515625" style="246" hidden="1" customWidth="1"/>
    <col min="85" max="85" width="10.7109375" style="247" hidden="1" customWidth="1"/>
    <col min="86" max="86" width="14.42578125" style="245" hidden="1" customWidth="1"/>
    <col min="87" max="87" width="10.28515625" style="246" hidden="1" customWidth="1"/>
    <col min="88" max="88" width="10.7109375" style="247" hidden="1" customWidth="1"/>
    <col min="89" max="89" width="14.42578125" style="245" hidden="1" customWidth="1"/>
    <col min="90" max="90" width="10.28515625" style="246" hidden="1" customWidth="1"/>
    <col min="91" max="91" width="10.7109375" style="247" hidden="1" customWidth="1"/>
    <col min="92" max="92" width="14.42578125" style="245" hidden="1" customWidth="1"/>
    <col min="93" max="93" width="10.28515625" style="246" hidden="1" customWidth="1"/>
    <col min="94" max="94" width="10.7109375" style="247" hidden="1" customWidth="1"/>
    <col min="95" max="95" width="14.42578125" style="245" hidden="1" customWidth="1"/>
    <col min="96" max="96" width="10.28515625" style="246" hidden="1" customWidth="1"/>
    <col min="97" max="97" width="10.7109375" style="247" hidden="1" customWidth="1"/>
    <col min="98" max="98" width="14.42578125" style="245" hidden="1" customWidth="1"/>
    <col min="99" max="99" width="10.28515625" style="246" hidden="1" customWidth="1"/>
    <col min="100" max="100" width="10.7109375" style="247" hidden="1" customWidth="1"/>
    <col min="101" max="101" width="14.42578125" style="245" hidden="1" customWidth="1"/>
    <col min="102" max="102" width="10.28515625" style="246" hidden="1" customWidth="1"/>
    <col min="103" max="103" width="10.7109375" style="247" hidden="1" customWidth="1"/>
    <col min="104" max="104" width="14.42578125" style="245" hidden="1" customWidth="1"/>
    <col min="105" max="105" width="10.28515625" style="246" hidden="1" customWidth="1"/>
    <col min="106" max="106" width="10.7109375" style="247" hidden="1" customWidth="1"/>
    <col min="107" max="107" width="14.42578125" style="245" hidden="1" customWidth="1"/>
    <col min="108" max="108" width="10.28515625" style="246" hidden="1" customWidth="1"/>
    <col min="109" max="109" width="10.7109375" style="247" hidden="1" customWidth="1"/>
    <col min="110" max="110" width="14.42578125" style="245" hidden="1" customWidth="1"/>
    <col min="111" max="111" width="10.28515625" style="246" hidden="1" customWidth="1"/>
    <col min="112" max="112" width="10.7109375" style="247" hidden="1" customWidth="1"/>
    <col min="113" max="113" width="14.42578125" style="245" hidden="1" customWidth="1"/>
    <col min="114" max="114" width="10.28515625" style="246" hidden="1" customWidth="1"/>
    <col min="115" max="115" width="10.7109375" style="247" hidden="1" customWidth="1"/>
    <col min="116" max="116" width="14.42578125" style="245" hidden="1" customWidth="1"/>
    <col min="117" max="117" width="10.28515625" style="246" hidden="1" customWidth="1"/>
    <col min="118" max="118" width="10.7109375" style="247" hidden="1" customWidth="1"/>
    <col min="119" max="119" width="14.42578125" style="245" hidden="1" customWidth="1"/>
    <col min="120" max="120" width="10.28515625" style="246" hidden="1" customWidth="1"/>
    <col min="121" max="121" width="10.7109375" style="247" hidden="1" customWidth="1"/>
    <col min="122" max="122" width="14.42578125" style="245" hidden="1" customWidth="1"/>
    <col min="123" max="123" width="10.28515625" style="246" hidden="1" customWidth="1"/>
    <col min="124" max="124" width="10.7109375" style="247" hidden="1" customWidth="1"/>
    <col min="125" max="125" width="14.42578125" style="245" hidden="1" customWidth="1"/>
    <col min="126" max="126" width="10.28515625" style="246" hidden="1" customWidth="1"/>
    <col min="127" max="127" width="10.7109375" style="247" hidden="1" customWidth="1"/>
    <col min="128" max="128" width="15.140625" style="245" hidden="1" customWidth="1"/>
    <col min="129" max="129" width="10.28515625" style="246" hidden="1" customWidth="1"/>
    <col min="130" max="130" width="10.7109375" style="247" hidden="1" customWidth="1"/>
    <col min="131" max="131" width="2.7109375" style="247" customWidth="1"/>
    <col min="132" max="132" width="15.42578125" style="247" bestFit="1" customWidth="1"/>
    <col min="133" max="133" width="15.42578125" style="247" hidden="1" customWidth="1"/>
    <col min="134" max="134" width="14.42578125" style="247" bestFit="1" customWidth="1"/>
    <col min="135" max="135" width="17.7109375" style="247" bestFit="1" customWidth="1"/>
    <col min="136" max="136" width="2.7109375" style="247" customWidth="1"/>
    <col min="137" max="137" width="15.42578125" style="247" hidden="1" customWidth="1"/>
    <col min="138" max="138" width="14.42578125" style="247" hidden="1" customWidth="1"/>
    <col min="139" max="139" width="12.42578125" style="247" hidden="1" customWidth="1"/>
    <col min="140" max="140" width="2.7109375" style="247" hidden="1" customWidth="1"/>
    <col min="141" max="141" width="15.42578125" style="247" bestFit="1" customWidth="1"/>
    <col min="142" max="142" width="15.42578125" style="247" hidden="1" customWidth="1"/>
    <col min="143" max="143" width="14.42578125" style="247" bestFit="1" customWidth="1"/>
    <col min="144" max="144" width="15.42578125" style="247" bestFit="1" customWidth="1"/>
    <col min="145" max="145" width="42.85546875" style="247" bestFit="1" customWidth="1"/>
    <col min="146" max="146" width="18" style="247" bestFit="1" customWidth="1"/>
    <col min="147" max="147" width="22" style="247" bestFit="1" customWidth="1"/>
    <col min="148" max="16384" width="9" style="247"/>
  </cols>
  <sheetData>
    <row r="1" spans="1:147" s="237" customFormat="1" ht="15.75" x14ac:dyDescent="0.25">
      <c r="A1" s="234" t="s">
        <v>202</v>
      </c>
      <c r="B1" s="235"/>
      <c r="C1" s="236"/>
      <c r="E1" s="235"/>
      <c r="F1" s="236"/>
      <c r="H1" s="235"/>
      <c r="I1" s="236"/>
      <c r="K1" s="235"/>
      <c r="L1" s="236"/>
      <c r="N1" s="235"/>
      <c r="O1" s="236"/>
      <c r="Q1" s="235"/>
      <c r="R1" s="236"/>
      <c r="T1" s="235"/>
      <c r="U1" s="236"/>
      <c r="W1" s="235"/>
      <c r="X1" s="236"/>
      <c r="Z1" s="235"/>
      <c r="AA1" s="236"/>
      <c r="AC1" s="235"/>
      <c r="AD1" s="236"/>
      <c r="AF1" s="235"/>
      <c r="AG1" s="236"/>
      <c r="AI1" s="235"/>
      <c r="AJ1" s="236"/>
      <c r="AL1" s="235"/>
      <c r="AM1" s="236"/>
      <c r="AO1" s="235"/>
      <c r="AP1" s="236"/>
      <c r="AR1" s="235"/>
      <c r="AS1" s="236"/>
      <c r="AU1" s="235"/>
      <c r="AV1" s="236"/>
      <c r="AX1" s="235"/>
      <c r="AY1" s="236"/>
      <c r="BA1" s="235"/>
      <c r="BB1" s="236"/>
      <c r="BD1" s="235"/>
      <c r="BE1" s="236"/>
      <c r="BG1" s="235"/>
      <c r="BH1" s="236"/>
      <c r="BJ1" s="235"/>
      <c r="BK1" s="236"/>
      <c r="BM1" s="235"/>
      <c r="BN1" s="236"/>
      <c r="BP1" s="235"/>
      <c r="BQ1" s="236"/>
      <c r="BS1" s="235"/>
      <c r="BT1" s="236"/>
      <c r="BV1" s="235"/>
      <c r="BW1" s="236"/>
      <c r="BY1" s="235"/>
      <c r="BZ1" s="236"/>
      <c r="CB1" s="235"/>
      <c r="CC1" s="236"/>
      <c r="CE1" s="235"/>
      <c r="CF1" s="236"/>
      <c r="CH1" s="235"/>
      <c r="CI1" s="236"/>
      <c r="CK1" s="235"/>
      <c r="CL1" s="236"/>
      <c r="CN1" s="235"/>
      <c r="CO1" s="236"/>
      <c r="CQ1" s="235"/>
      <c r="CR1" s="236"/>
      <c r="CT1" s="235"/>
      <c r="CU1" s="236"/>
      <c r="CW1" s="235"/>
      <c r="CX1" s="236"/>
      <c r="CZ1" s="235"/>
      <c r="DA1" s="236"/>
      <c r="DC1" s="235"/>
      <c r="DD1" s="236"/>
      <c r="DF1" s="235"/>
      <c r="DG1" s="236"/>
      <c r="DI1" s="235"/>
      <c r="DJ1" s="236"/>
      <c r="DL1" s="235"/>
      <c r="DM1" s="236"/>
      <c r="DO1" s="235"/>
      <c r="DP1" s="236"/>
      <c r="DR1" s="235"/>
      <c r="DS1" s="236"/>
      <c r="DU1" s="235"/>
      <c r="DV1" s="236"/>
      <c r="DX1" s="235"/>
      <c r="DY1" s="236"/>
      <c r="DZ1" s="238"/>
      <c r="ED1" s="239"/>
      <c r="EE1" s="240" t="s">
        <v>95</v>
      </c>
      <c r="EI1" s="239" t="s">
        <v>96</v>
      </c>
      <c r="EM1" s="239"/>
      <c r="EN1" s="239" t="s">
        <v>97</v>
      </c>
      <c r="EO1" s="234" t="s">
        <v>98</v>
      </c>
      <c r="EP1" s="234" t="s">
        <v>99</v>
      </c>
      <c r="EQ1" s="234" t="s">
        <v>100</v>
      </c>
    </row>
    <row r="2" spans="1:147" s="237" customFormat="1" ht="16.5" thickBot="1" x14ac:dyDescent="0.3">
      <c r="A2" s="234" t="s">
        <v>101</v>
      </c>
      <c r="B2" s="235"/>
      <c r="C2" s="236"/>
      <c r="F2" s="236"/>
      <c r="G2" s="241"/>
      <c r="H2" s="235"/>
      <c r="I2" s="236"/>
      <c r="K2" s="235"/>
      <c r="L2" s="236"/>
      <c r="N2" s="235"/>
      <c r="O2" s="236"/>
      <c r="Q2" s="235"/>
      <c r="R2" s="236"/>
      <c r="T2" s="235"/>
      <c r="U2" s="236"/>
      <c r="W2" s="235"/>
      <c r="X2" s="236"/>
      <c r="Z2" s="235"/>
      <c r="AA2" s="236"/>
      <c r="AC2" s="235"/>
      <c r="AD2" s="236"/>
      <c r="AF2" s="235"/>
      <c r="AG2" s="236"/>
      <c r="AI2" s="235"/>
      <c r="AJ2" s="236"/>
      <c r="AL2" s="235"/>
      <c r="AM2" s="236"/>
      <c r="AO2" s="235"/>
      <c r="AP2" s="236"/>
      <c r="AR2" s="235"/>
      <c r="AS2" s="236"/>
      <c r="AU2" s="235"/>
      <c r="AV2" s="236"/>
      <c r="AX2" s="235"/>
      <c r="AY2" s="236"/>
      <c r="BA2" s="235"/>
      <c r="BB2" s="236"/>
      <c r="BD2" s="235"/>
      <c r="BE2" s="236"/>
      <c r="BG2" s="235"/>
      <c r="BH2" s="236"/>
      <c r="BJ2" s="235"/>
      <c r="BK2" s="236"/>
      <c r="BM2" s="235"/>
      <c r="BN2" s="236"/>
      <c r="BP2" s="235"/>
      <c r="BQ2" s="236"/>
      <c r="BS2" s="235"/>
      <c r="BT2" s="236"/>
      <c r="BV2" s="235"/>
      <c r="BW2" s="236"/>
      <c r="BY2" s="235"/>
      <c r="BZ2" s="236"/>
      <c r="CB2" s="235"/>
      <c r="CC2" s="236"/>
      <c r="CE2" s="235"/>
      <c r="CF2" s="236"/>
      <c r="CH2" s="235"/>
      <c r="CI2" s="236"/>
      <c r="CK2" s="235"/>
      <c r="CL2" s="236"/>
      <c r="CN2" s="235"/>
      <c r="CO2" s="236"/>
      <c r="CQ2" s="235"/>
      <c r="CR2" s="236"/>
      <c r="CT2" s="235"/>
      <c r="CU2" s="236"/>
      <c r="CW2" s="235"/>
      <c r="CX2" s="236"/>
      <c r="CZ2" s="235"/>
      <c r="DA2" s="236"/>
      <c r="DC2" s="235"/>
      <c r="DD2" s="236"/>
      <c r="DF2" s="235"/>
      <c r="DG2" s="236"/>
      <c r="DI2" s="235"/>
      <c r="DJ2" s="236"/>
      <c r="DL2" s="235"/>
      <c r="DM2" s="236"/>
      <c r="DO2" s="235"/>
      <c r="DP2" s="236"/>
      <c r="DR2" s="235"/>
      <c r="DS2" s="236"/>
      <c r="DU2" s="235"/>
      <c r="DV2" s="236"/>
      <c r="DX2" s="235"/>
      <c r="DY2" s="236"/>
      <c r="EB2" s="242" t="s">
        <v>102</v>
      </c>
      <c r="EC2" s="242"/>
      <c r="ED2" s="243"/>
      <c r="EE2" s="243">
        <f>EB40</f>
        <v>303875000</v>
      </c>
      <c r="EI2" s="243">
        <f>EG40</f>
        <v>0</v>
      </c>
      <c r="EM2" s="243"/>
      <c r="EN2" s="243">
        <f>EK40</f>
        <v>303875000</v>
      </c>
      <c r="EO2" s="235">
        <v>-55507.5</v>
      </c>
      <c r="EP2" s="235">
        <f>EN2+EO2</f>
        <v>303819492.5</v>
      </c>
      <c r="EQ2" s="235">
        <f>EE2+EO2</f>
        <v>303819492.5</v>
      </c>
    </row>
    <row r="3" spans="1:147" ht="16.5" thickTop="1" x14ac:dyDescent="0.25">
      <c r="A3" s="244" t="s">
        <v>193</v>
      </c>
      <c r="E3" s="248" t="s">
        <v>104</v>
      </c>
      <c r="F3" s="249"/>
      <c r="G3" s="250"/>
      <c r="EB3" s="242" t="s">
        <v>105</v>
      </c>
      <c r="EC3" s="242"/>
      <c r="ED3" s="243"/>
      <c r="EE3" s="243">
        <f>AVERAGE(EB11:EB40)</f>
        <v>288024673.66699994</v>
      </c>
      <c r="EI3" s="243">
        <f>AVERAGE(EG11:EG40)</f>
        <v>0</v>
      </c>
      <c r="EM3" s="243"/>
      <c r="EN3" s="243">
        <f>AVERAGE(EK11:EK40)</f>
        <v>251739166.66666666</v>
      </c>
    </row>
    <row r="4" spans="1:147" x14ac:dyDescent="0.2">
      <c r="D4" s="242"/>
      <c r="E4" s="251" t="s">
        <v>102</v>
      </c>
      <c r="F4" s="243"/>
      <c r="G4" s="252">
        <f>EQ2</f>
        <v>303819492.5</v>
      </c>
      <c r="AI4" s="253" t="s">
        <v>106</v>
      </c>
      <c r="EB4" s="242" t="s">
        <v>107</v>
      </c>
      <c r="EC4" s="242"/>
      <c r="ED4" s="254"/>
      <c r="EE4" s="254">
        <f>IF(EE3=0,0,360*(AVERAGE(ED11:ED40)/EE3))</f>
        <v>2.5244372136768315E-3</v>
      </c>
      <c r="EI4" s="254">
        <f>IF(EI3=0,0,360*(AVERAGE(EH11:EH40)/EI3))</f>
        <v>0</v>
      </c>
      <c r="EM4" s="254"/>
      <c r="EN4" s="254">
        <f>IF(EN3=0,0,360*(AVERAGE(EM11:EM40)/EN3))</f>
        <v>2.7498502087147077E-3</v>
      </c>
      <c r="EO4" s="255" t="s">
        <v>108</v>
      </c>
      <c r="EQ4" s="256" t="s">
        <v>106</v>
      </c>
    </row>
    <row r="5" spans="1:147" ht="15.75" x14ac:dyDescent="0.25">
      <c r="D5" s="242"/>
      <c r="E5" s="251" t="s">
        <v>105</v>
      </c>
      <c r="F5" s="243"/>
      <c r="G5" s="252">
        <f>EE3</f>
        <v>288024673.66699994</v>
      </c>
      <c r="AI5" s="241" t="s">
        <v>97</v>
      </c>
      <c r="EB5" s="257" t="s">
        <v>109</v>
      </c>
      <c r="EC5" s="257"/>
      <c r="ED5" s="243"/>
      <c r="EE5" s="243">
        <f>MAX(EB11:EB40)</f>
        <v>303875000</v>
      </c>
      <c r="EI5" s="243">
        <f>MAX(EG11:EG40)</f>
        <v>0</v>
      </c>
      <c r="EM5" s="243"/>
      <c r="EN5" s="243">
        <f>MAX(EK11:EK40)</f>
        <v>303875000</v>
      </c>
    </row>
    <row r="6" spans="1:147" x14ac:dyDescent="0.2">
      <c r="D6" s="242"/>
      <c r="E6" s="251" t="s">
        <v>107</v>
      </c>
      <c r="F6" s="243"/>
      <c r="G6" s="258">
        <f>EE4</f>
        <v>2.5244372136768315E-3</v>
      </c>
    </row>
    <row r="7" spans="1:147" ht="16.5" thickBot="1" x14ac:dyDescent="0.3">
      <c r="D7" s="242"/>
      <c r="E7" s="259" t="s">
        <v>109</v>
      </c>
      <c r="F7" s="260"/>
      <c r="G7" s="261">
        <f>EE5</f>
        <v>303875000</v>
      </c>
      <c r="AI7" s="241" t="s">
        <v>97</v>
      </c>
      <c r="EB7" s="262" t="s">
        <v>110</v>
      </c>
      <c r="EC7" s="262"/>
      <c r="ED7" s="263"/>
      <c r="EE7" s="263"/>
      <c r="EG7" s="262" t="s">
        <v>111</v>
      </c>
      <c r="EH7" s="263"/>
      <c r="EI7" s="263"/>
      <c r="EJ7" s="264"/>
      <c r="EK7" s="262" t="s">
        <v>112</v>
      </c>
      <c r="EL7" s="262"/>
      <c r="EM7" s="263"/>
      <c r="EN7" s="263"/>
    </row>
    <row r="8" spans="1:147" ht="13.5" thickTop="1" x14ac:dyDescent="0.2">
      <c r="AI8" s="265" t="s">
        <v>113</v>
      </c>
      <c r="AL8" s="265" t="s">
        <v>113</v>
      </c>
      <c r="AO8" s="265" t="s">
        <v>113</v>
      </c>
      <c r="AR8" s="265" t="s">
        <v>113</v>
      </c>
      <c r="AU8" s="265" t="s">
        <v>113</v>
      </c>
      <c r="AX8" s="265" t="s">
        <v>113</v>
      </c>
      <c r="BA8" s="265" t="s">
        <v>113</v>
      </c>
      <c r="BD8" s="265" t="s">
        <v>113</v>
      </c>
      <c r="BG8" s="265" t="s">
        <v>113</v>
      </c>
      <c r="BJ8" s="265" t="s">
        <v>113</v>
      </c>
      <c r="BM8" s="265" t="s">
        <v>113</v>
      </c>
      <c r="BP8" s="265" t="s">
        <v>113</v>
      </c>
      <c r="BS8" s="265" t="s">
        <v>113</v>
      </c>
      <c r="BV8" s="265" t="s">
        <v>113</v>
      </c>
      <c r="BY8" s="265" t="s">
        <v>113</v>
      </c>
      <c r="CB8" s="265" t="s">
        <v>113</v>
      </c>
      <c r="CE8" s="265" t="s">
        <v>113</v>
      </c>
      <c r="CH8" s="265" t="s">
        <v>113</v>
      </c>
      <c r="CK8" s="265" t="s">
        <v>113</v>
      </c>
      <c r="CN8" s="265" t="s">
        <v>113</v>
      </c>
      <c r="CQ8" s="265" t="s">
        <v>113</v>
      </c>
      <c r="CT8" s="265" t="s">
        <v>113</v>
      </c>
      <c r="CW8" s="265" t="s">
        <v>113</v>
      </c>
      <c r="CZ8" s="265" t="s">
        <v>113</v>
      </c>
      <c r="DC8" s="265" t="s">
        <v>113</v>
      </c>
      <c r="DF8" s="265" t="s">
        <v>113</v>
      </c>
      <c r="DI8" s="265" t="s">
        <v>113</v>
      </c>
      <c r="DL8" s="265" t="s">
        <v>113</v>
      </c>
      <c r="DO8" s="265" t="s">
        <v>113</v>
      </c>
      <c r="DR8" s="265" t="s">
        <v>113</v>
      </c>
      <c r="EB8" s="266"/>
      <c r="EC8" s="266"/>
      <c r="ED8" s="266"/>
      <c r="EE8" s="266" t="s">
        <v>114</v>
      </c>
      <c r="EG8" s="266"/>
      <c r="EH8" s="267" t="s">
        <v>96</v>
      </c>
      <c r="EI8" s="266" t="s">
        <v>114</v>
      </c>
      <c r="EJ8" s="266"/>
      <c r="EK8" s="256" t="s">
        <v>115</v>
      </c>
      <c r="EL8" s="256" t="s">
        <v>116</v>
      </c>
      <c r="EM8" s="267" t="s">
        <v>117</v>
      </c>
      <c r="EN8" s="266" t="s">
        <v>114</v>
      </c>
    </row>
    <row r="9" spans="1:147" x14ac:dyDescent="0.2">
      <c r="B9" s="268" t="s">
        <v>118</v>
      </c>
      <c r="C9" s="269"/>
      <c r="D9" s="263"/>
      <c r="E9" s="268" t="s">
        <v>119</v>
      </c>
      <c r="F9" s="269"/>
      <c r="G9" s="263"/>
      <c r="H9" s="268" t="s">
        <v>120</v>
      </c>
      <c r="I9" s="269"/>
      <c r="J9" s="263"/>
      <c r="K9" s="268" t="s">
        <v>121</v>
      </c>
      <c r="L9" s="269"/>
      <c r="M9" s="263"/>
      <c r="N9" s="268" t="s">
        <v>122</v>
      </c>
      <c r="O9" s="269"/>
      <c r="P9" s="263"/>
      <c r="Q9" s="268" t="s">
        <v>123</v>
      </c>
      <c r="R9" s="269"/>
      <c r="S9" s="263"/>
      <c r="T9" s="268" t="s">
        <v>124</v>
      </c>
      <c r="U9" s="269"/>
      <c r="V9" s="263"/>
      <c r="W9" s="268" t="s">
        <v>125</v>
      </c>
      <c r="X9" s="269"/>
      <c r="Y9" s="263"/>
      <c r="Z9" s="268" t="s">
        <v>126</v>
      </c>
      <c r="AA9" s="269"/>
      <c r="AB9" s="263"/>
      <c r="AC9" s="270" t="s">
        <v>127</v>
      </c>
      <c r="AD9" s="269"/>
      <c r="AE9" s="263"/>
      <c r="AF9" s="270" t="s">
        <v>128</v>
      </c>
      <c r="AG9" s="269"/>
      <c r="AH9" s="263"/>
      <c r="AI9" s="268" t="s">
        <v>129</v>
      </c>
      <c r="AJ9" s="269"/>
      <c r="AK9" s="263"/>
      <c r="AL9" s="268" t="s">
        <v>130</v>
      </c>
      <c r="AM9" s="269"/>
      <c r="AN9" s="263"/>
      <c r="AO9" s="268" t="s">
        <v>131</v>
      </c>
      <c r="AP9" s="269"/>
      <c r="AQ9" s="263"/>
      <c r="AR9" s="268" t="s">
        <v>132</v>
      </c>
      <c r="AS9" s="269"/>
      <c r="AT9" s="263"/>
      <c r="AU9" s="268" t="s">
        <v>133</v>
      </c>
      <c r="AV9" s="269"/>
      <c r="AW9" s="263"/>
      <c r="AX9" s="268" t="s">
        <v>134</v>
      </c>
      <c r="AY9" s="269"/>
      <c r="AZ9" s="263"/>
      <c r="BA9" s="268" t="s">
        <v>135</v>
      </c>
      <c r="BB9" s="269"/>
      <c r="BC9" s="263"/>
      <c r="BD9" s="268" t="s">
        <v>136</v>
      </c>
      <c r="BE9" s="269"/>
      <c r="BF9" s="263"/>
      <c r="BG9" s="268" t="s">
        <v>137</v>
      </c>
      <c r="BH9" s="269"/>
      <c r="BI9" s="263"/>
      <c r="BJ9" s="268" t="s">
        <v>138</v>
      </c>
      <c r="BK9" s="269"/>
      <c r="BL9" s="263"/>
      <c r="BM9" s="268" t="s">
        <v>139</v>
      </c>
      <c r="BN9" s="269"/>
      <c r="BO9" s="263"/>
      <c r="BP9" s="268" t="s">
        <v>140</v>
      </c>
      <c r="BQ9" s="269"/>
      <c r="BR9" s="263"/>
      <c r="BS9" s="268" t="s">
        <v>141</v>
      </c>
      <c r="BT9" s="269"/>
      <c r="BU9" s="263"/>
      <c r="BV9" s="268" t="s">
        <v>142</v>
      </c>
      <c r="BW9" s="269"/>
      <c r="BX9" s="263"/>
      <c r="BY9" s="268" t="s">
        <v>143</v>
      </c>
      <c r="BZ9" s="269"/>
      <c r="CA9" s="263"/>
      <c r="CB9" s="268" t="s">
        <v>144</v>
      </c>
      <c r="CC9" s="269"/>
      <c r="CD9" s="263"/>
      <c r="CE9" s="268" t="s">
        <v>145</v>
      </c>
      <c r="CF9" s="269"/>
      <c r="CG9" s="263"/>
      <c r="CH9" s="268" t="s">
        <v>146</v>
      </c>
      <c r="CI9" s="269"/>
      <c r="CJ9" s="263"/>
      <c r="CK9" s="268" t="s">
        <v>147</v>
      </c>
      <c r="CL9" s="269"/>
      <c r="CM9" s="263"/>
      <c r="CN9" s="268" t="s">
        <v>148</v>
      </c>
      <c r="CO9" s="269"/>
      <c r="CP9" s="263"/>
      <c r="CQ9" s="268" t="s">
        <v>149</v>
      </c>
      <c r="CR9" s="269"/>
      <c r="CS9" s="263"/>
      <c r="CT9" s="268" t="s">
        <v>150</v>
      </c>
      <c r="CU9" s="269"/>
      <c r="CV9" s="263"/>
      <c r="CW9" s="268" t="s">
        <v>151</v>
      </c>
      <c r="CX9" s="269"/>
      <c r="CY9" s="263"/>
      <c r="CZ9" s="268" t="s">
        <v>152</v>
      </c>
      <c r="DA9" s="269"/>
      <c r="DB9" s="263"/>
      <c r="DC9" s="268" t="s">
        <v>153</v>
      </c>
      <c r="DD9" s="269"/>
      <c r="DE9" s="263"/>
      <c r="DF9" s="268" t="s">
        <v>154</v>
      </c>
      <c r="DG9" s="269"/>
      <c r="DH9" s="263"/>
      <c r="DI9" s="268" t="s">
        <v>155</v>
      </c>
      <c r="DJ9" s="269"/>
      <c r="DK9" s="263"/>
      <c r="DL9" s="268" t="s">
        <v>156</v>
      </c>
      <c r="DM9" s="269"/>
      <c r="DN9" s="263"/>
      <c r="DO9" s="268" t="s">
        <v>157</v>
      </c>
      <c r="DP9" s="269"/>
      <c r="DQ9" s="263"/>
      <c r="DR9" s="268" t="s">
        <v>158</v>
      </c>
      <c r="DS9" s="269"/>
      <c r="DT9" s="263"/>
      <c r="DU9" s="268" t="s">
        <v>159</v>
      </c>
      <c r="DV9" s="269"/>
      <c r="DW9" s="263"/>
      <c r="DX9" s="271" t="s">
        <v>160</v>
      </c>
      <c r="DY9" s="269"/>
      <c r="DZ9" s="263"/>
      <c r="EA9" s="264"/>
      <c r="EB9" s="256" t="s">
        <v>161</v>
      </c>
      <c r="EC9" s="256" t="s">
        <v>162</v>
      </c>
      <c r="ED9" s="266" t="s">
        <v>163</v>
      </c>
      <c r="EE9" s="266" t="s">
        <v>164</v>
      </c>
      <c r="EG9" s="267" t="s">
        <v>165</v>
      </c>
      <c r="EH9" s="266" t="s">
        <v>163</v>
      </c>
      <c r="EI9" s="266" t="s">
        <v>164</v>
      </c>
      <c r="EJ9" s="266"/>
      <c r="EK9" s="267" t="s">
        <v>117</v>
      </c>
      <c r="EL9" s="267" t="s">
        <v>117</v>
      </c>
      <c r="EM9" s="266" t="s">
        <v>163</v>
      </c>
      <c r="EN9" s="266" t="s">
        <v>164</v>
      </c>
    </row>
    <row r="10" spans="1:147" x14ac:dyDescent="0.2">
      <c r="A10" s="266" t="s">
        <v>166</v>
      </c>
      <c r="B10" s="272" t="s">
        <v>167</v>
      </c>
      <c r="C10" s="273" t="s">
        <v>168</v>
      </c>
      <c r="D10" s="274" t="s">
        <v>19</v>
      </c>
      <c r="E10" s="272" t="s">
        <v>167</v>
      </c>
      <c r="F10" s="273" t="s">
        <v>168</v>
      </c>
      <c r="G10" s="274" t="s">
        <v>19</v>
      </c>
      <c r="H10" s="272" t="s">
        <v>167</v>
      </c>
      <c r="I10" s="273" t="s">
        <v>168</v>
      </c>
      <c r="J10" s="274" t="s">
        <v>19</v>
      </c>
      <c r="K10" s="272" t="s">
        <v>167</v>
      </c>
      <c r="L10" s="273" t="s">
        <v>168</v>
      </c>
      <c r="M10" s="274" t="s">
        <v>19</v>
      </c>
      <c r="N10" s="272" t="s">
        <v>167</v>
      </c>
      <c r="O10" s="273" t="s">
        <v>168</v>
      </c>
      <c r="P10" s="274" t="s">
        <v>19</v>
      </c>
      <c r="Q10" s="272" t="s">
        <v>167</v>
      </c>
      <c r="R10" s="273" t="s">
        <v>168</v>
      </c>
      <c r="S10" s="274" t="s">
        <v>19</v>
      </c>
      <c r="T10" s="272" t="s">
        <v>167</v>
      </c>
      <c r="U10" s="273" t="s">
        <v>168</v>
      </c>
      <c r="V10" s="274" t="s">
        <v>19</v>
      </c>
      <c r="W10" s="272" t="s">
        <v>167</v>
      </c>
      <c r="X10" s="273" t="s">
        <v>168</v>
      </c>
      <c r="Y10" s="274" t="s">
        <v>19</v>
      </c>
      <c r="Z10" s="272" t="s">
        <v>167</v>
      </c>
      <c r="AA10" s="273" t="s">
        <v>168</v>
      </c>
      <c r="AB10" s="274" t="s">
        <v>19</v>
      </c>
      <c r="AC10" s="272" t="s">
        <v>167</v>
      </c>
      <c r="AD10" s="273" t="s">
        <v>168</v>
      </c>
      <c r="AE10" s="274" t="s">
        <v>19</v>
      </c>
      <c r="AF10" s="272" t="s">
        <v>167</v>
      </c>
      <c r="AG10" s="273" t="s">
        <v>168</v>
      </c>
      <c r="AH10" s="274" t="s">
        <v>19</v>
      </c>
      <c r="AI10" s="272" t="s">
        <v>167</v>
      </c>
      <c r="AJ10" s="273" t="s">
        <v>168</v>
      </c>
      <c r="AK10" s="274" t="s">
        <v>19</v>
      </c>
      <c r="AL10" s="272" t="s">
        <v>167</v>
      </c>
      <c r="AM10" s="273" t="s">
        <v>168</v>
      </c>
      <c r="AN10" s="274" t="s">
        <v>19</v>
      </c>
      <c r="AO10" s="272" t="s">
        <v>167</v>
      </c>
      <c r="AP10" s="273" t="s">
        <v>168</v>
      </c>
      <c r="AQ10" s="274" t="s">
        <v>19</v>
      </c>
      <c r="AR10" s="272" t="s">
        <v>167</v>
      </c>
      <c r="AS10" s="273" t="s">
        <v>168</v>
      </c>
      <c r="AT10" s="274" t="s">
        <v>19</v>
      </c>
      <c r="AU10" s="272" t="s">
        <v>167</v>
      </c>
      <c r="AV10" s="273" t="s">
        <v>168</v>
      </c>
      <c r="AW10" s="274" t="s">
        <v>19</v>
      </c>
      <c r="AX10" s="272" t="s">
        <v>167</v>
      </c>
      <c r="AY10" s="273" t="s">
        <v>168</v>
      </c>
      <c r="AZ10" s="274" t="s">
        <v>19</v>
      </c>
      <c r="BA10" s="272" t="s">
        <v>167</v>
      </c>
      <c r="BB10" s="273" t="s">
        <v>168</v>
      </c>
      <c r="BC10" s="274" t="s">
        <v>19</v>
      </c>
      <c r="BD10" s="272" t="s">
        <v>167</v>
      </c>
      <c r="BE10" s="273" t="s">
        <v>168</v>
      </c>
      <c r="BF10" s="274" t="s">
        <v>19</v>
      </c>
      <c r="BG10" s="272" t="s">
        <v>167</v>
      </c>
      <c r="BH10" s="273" t="s">
        <v>168</v>
      </c>
      <c r="BI10" s="274" t="s">
        <v>19</v>
      </c>
      <c r="BJ10" s="272" t="s">
        <v>167</v>
      </c>
      <c r="BK10" s="273" t="s">
        <v>168</v>
      </c>
      <c r="BL10" s="274" t="s">
        <v>19</v>
      </c>
      <c r="BM10" s="272" t="s">
        <v>167</v>
      </c>
      <c r="BN10" s="273" t="s">
        <v>168</v>
      </c>
      <c r="BO10" s="274" t="s">
        <v>19</v>
      </c>
      <c r="BP10" s="272" t="s">
        <v>167</v>
      </c>
      <c r="BQ10" s="273" t="s">
        <v>168</v>
      </c>
      <c r="BR10" s="274" t="s">
        <v>19</v>
      </c>
      <c r="BS10" s="272" t="s">
        <v>167</v>
      </c>
      <c r="BT10" s="273" t="s">
        <v>168</v>
      </c>
      <c r="BU10" s="274" t="s">
        <v>19</v>
      </c>
      <c r="BV10" s="272" t="s">
        <v>167</v>
      </c>
      <c r="BW10" s="273" t="s">
        <v>168</v>
      </c>
      <c r="BX10" s="274" t="s">
        <v>19</v>
      </c>
      <c r="BY10" s="272" t="s">
        <v>167</v>
      </c>
      <c r="BZ10" s="273" t="s">
        <v>168</v>
      </c>
      <c r="CA10" s="274" t="s">
        <v>19</v>
      </c>
      <c r="CB10" s="272" t="s">
        <v>167</v>
      </c>
      <c r="CC10" s="273" t="s">
        <v>168</v>
      </c>
      <c r="CD10" s="274" t="s">
        <v>19</v>
      </c>
      <c r="CE10" s="272" t="s">
        <v>167</v>
      </c>
      <c r="CF10" s="273" t="s">
        <v>168</v>
      </c>
      <c r="CG10" s="274" t="s">
        <v>19</v>
      </c>
      <c r="CH10" s="272" t="s">
        <v>167</v>
      </c>
      <c r="CI10" s="273" t="s">
        <v>168</v>
      </c>
      <c r="CJ10" s="274" t="s">
        <v>19</v>
      </c>
      <c r="CK10" s="272" t="s">
        <v>167</v>
      </c>
      <c r="CL10" s="273" t="s">
        <v>168</v>
      </c>
      <c r="CM10" s="274" t="s">
        <v>19</v>
      </c>
      <c r="CN10" s="272" t="s">
        <v>167</v>
      </c>
      <c r="CO10" s="273" t="s">
        <v>168</v>
      </c>
      <c r="CP10" s="274" t="s">
        <v>19</v>
      </c>
      <c r="CQ10" s="272" t="s">
        <v>167</v>
      </c>
      <c r="CR10" s="273" t="s">
        <v>168</v>
      </c>
      <c r="CS10" s="274" t="s">
        <v>19</v>
      </c>
      <c r="CT10" s="272" t="s">
        <v>167</v>
      </c>
      <c r="CU10" s="273" t="s">
        <v>168</v>
      </c>
      <c r="CV10" s="274" t="s">
        <v>19</v>
      </c>
      <c r="CW10" s="272" t="s">
        <v>167</v>
      </c>
      <c r="CX10" s="273" t="s">
        <v>168</v>
      </c>
      <c r="CY10" s="274" t="s">
        <v>19</v>
      </c>
      <c r="CZ10" s="272" t="s">
        <v>167</v>
      </c>
      <c r="DA10" s="273" t="s">
        <v>168</v>
      </c>
      <c r="DB10" s="274" t="s">
        <v>19</v>
      </c>
      <c r="DC10" s="272" t="s">
        <v>167</v>
      </c>
      <c r="DD10" s="273" t="s">
        <v>168</v>
      </c>
      <c r="DE10" s="274" t="s">
        <v>19</v>
      </c>
      <c r="DF10" s="272" t="s">
        <v>167</v>
      </c>
      <c r="DG10" s="273" t="s">
        <v>168</v>
      </c>
      <c r="DH10" s="274" t="s">
        <v>19</v>
      </c>
      <c r="DI10" s="272" t="s">
        <v>167</v>
      </c>
      <c r="DJ10" s="273" t="s">
        <v>168</v>
      </c>
      <c r="DK10" s="274" t="s">
        <v>19</v>
      </c>
      <c r="DL10" s="272" t="s">
        <v>167</v>
      </c>
      <c r="DM10" s="273" t="s">
        <v>168</v>
      </c>
      <c r="DN10" s="274" t="s">
        <v>19</v>
      </c>
      <c r="DO10" s="272" t="s">
        <v>167</v>
      </c>
      <c r="DP10" s="273" t="s">
        <v>168</v>
      </c>
      <c r="DQ10" s="274" t="s">
        <v>19</v>
      </c>
      <c r="DR10" s="272" t="s">
        <v>167</v>
      </c>
      <c r="DS10" s="273" t="s">
        <v>168</v>
      </c>
      <c r="DT10" s="274" t="s">
        <v>19</v>
      </c>
      <c r="DU10" s="272" t="s">
        <v>167</v>
      </c>
      <c r="DV10" s="273" t="s">
        <v>168</v>
      </c>
      <c r="DW10" s="274" t="s">
        <v>19</v>
      </c>
      <c r="DX10" s="272" t="s">
        <v>167</v>
      </c>
      <c r="DY10" s="273"/>
      <c r="DZ10" s="274"/>
      <c r="EA10" s="274"/>
      <c r="EB10" s="274" t="s">
        <v>169</v>
      </c>
      <c r="EC10" s="274" t="s">
        <v>169</v>
      </c>
      <c r="ED10" s="274" t="s">
        <v>19</v>
      </c>
      <c r="EE10" s="275" t="s">
        <v>168</v>
      </c>
      <c r="EG10" s="274" t="s">
        <v>169</v>
      </c>
      <c r="EH10" s="274" t="s">
        <v>19</v>
      </c>
      <c r="EI10" s="275" t="s">
        <v>168</v>
      </c>
      <c r="EJ10" s="275"/>
      <c r="EK10" s="274" t="s">
        <v>169</v>
      </c>
      <c r="EL10" s="274" t="s">
        <v>169</v>
      </c>
      <c r="EM10" s="274" t="s">
        <v>19</v>
      </c>
      <c r="EN10" s="275" t="s">
        <v>168</v>
      </c>
    </row>
    <row r="11" spans="1:147" x14ac:dyDescent="0.2">
      <c r="A11" s="276">
        <v>44136</v>
      </c>
      <c r="D11" s="245">
        <f>(B11*C11)/360</f>
        <v>0</v>
      </c>
      <c r="E11" s="245">
        <v>0</v>
      </c>
      <c r="F11" s="246">
        <v>1.3978199999999999E-3</v>
      </c>
      <c r="G11" s="245">
        <f>(E11*F11)/360</f>
        <v>0</v>
      </c>
      <c r="J11" s="245">
        <f>(H11*I11)/360</f>
        <v>0</v>
      </c>
      <c r="M11" s="245">
        <f>(K11*L11)/360</f>
        <v>0</v>
      </c>
      <c r="P11" s="245">
        <f>(N11*O11)/360</f>
        <v>0</v>
      </c>
      <c r="S11" s="245">
        <f>(Q11*R11)/360</f>
        <v>0</v>
      </c>
      <c r="V11" s="245">
        <f>(T11*U11)/360</f>
        <v>0</v>
      </c>
      <c r="Y11" s="245">
        <f>(W11*X11)/360</f>
        <v>0</v>
      </c>
      <c r="AB11" s="245">
        <f>(Z11*AA11)/360</f>
        <v>0</v>
      </c>
      <c r="AE11" s="245">
        <v>0</v>
      </c>
      <c r="AH11" s="245">
        <v>0</v>
      </c>
      <c r="AI11" s="277">
        <f t="shared" ref="AI11:AI40" si="0">90000000+42300000+2000000+700000</f>
        <v>135000000</v>
      </c>
      <c r="AJ11" s="278">
        <v>3.0000000000000001E-3</v>
      </c>
      <c r="AK11" s="245">
        <f>(AI11*AJ11)/360</f>
        <v>1125</v>
      </c>
      <c r="AL11" s="277">
        <f t="shared" ref="AL11:AL29" si="1">90000000</f>
        <v>90000000</v>
      </c>
      <c r="AM11" s="278">
        <v>2.3E-3</v>
      </c>
      <c r="AN11" s="245">
        <f>(AL11*AM11)/360</f>
        <v>575</v>
      </c>
      <c r="AO11" s="277">
        <v>64125000</v>
      </c>
      <c r="AP11" s="278">
        <v>2E-3</v>
      </c>
      <c r="AQ11" s="245">
        <f>(AO11*AP11)/360</f>
        <v>356.25</v>
      </c>
      <c r="AR11" s="277"/>
      <c r="AS11" s="278"/>
      <c r="AT11" s="245">
        <f>(AR11*AS11)/360</f>
        <v>0</v>
      </c>
      <c r="AU11" s="277"/>
      <c r="AV11" s="278"/>
      <c r="AW11" s="245">
        <f>(AU11*AV11)/360</f>
        <v>0</v>
      </c>
      <c r="AX11" s="277"/>
      <c r="AY11" s="278"/>
      <c r="AZ11" s="245">
        <f>(AX11*AY11)/360</f>
        <v>0</v>
      </c>
      <c r="BA11" s="277"/>
      <c r="BB11" s="278"/>
      <c r="BC11" s="245">
        <f>(BA11*BB11)/360</f>
        <v>0</v>
      </c>
      <c r="BF11" s="245">
        <f>(BD11*BE11)/360</f>
        <v>0</v>
      </c>
      <c r="BI11" s="245">
        <f>(BG11*BH11)/360</f>
        <v>0</v>
      </c>
      <c r="BL11" s="245">
        <f>(BJ11*BK11)/360</f>
        <v>0</v>
      </c>
      <c r="BO11" s="245">
        <f>(BM11*BN11)/360</f>
        <v>0</v>
      </c>
      <c r="BR11" s="245">
        <f>(BP11*BQ11)/360</f>
        <v>0</v>
      </c>
      <c r="BU11" s="245">
        <f>(BS11*BT11)/360</f>
        <v>0</v>
      </c>
      <c r="BX11" s="245">
        <f>(BV11*BW11)/360</f>
        <v>0</v>
      </c>
      <c r="CA11" s="245">
        <f>(BY11*BZ11)/360</f>
        <v>0</v>
      </c>
      <c r="CD11" s="245">
        <f>(CB11*CC11)/360</f>
        <v>0</v>
      </c>
      <c r="CG11" s="245">
        <f>(CE11*CF11)/360</f>
        <v>0</v>
      </c>
      <c r="CJ11" s="245">
        <f>(CH11*CI11)/360</f>
        <v>0</v>
      </c>
      <c r="CM11" s="245">
        <f>(CK11*CL11)/360</f>
        <v>0</v>
      </c>
      <c r="CP11" s="245">
        <f>(CN11*CO11)/360</f>
        <v>0</v>
      </c>
      <c r="CS11" s="245">
        <f>(CQ11*CR11)/360</f>
        <v>0</v>
      </c>
      <c r="CV11" s="245">
        <f>(CT11*CU11)/360</f>
        <v>0</v>
      </c>
      <c r="CY11" s="245">
        <f>(CW11*CX11)/360</f>
        <v>0</v>
      </c>
      <c r="DB11" s="245">
        <f>(CZ11*DA11)/360</f>
        <v>0</v>
      </c>
      <c r="DE11" s="245">
        <f>(DC11*DD11)/360</f>
        <v>0</v>
      </c>
      <c r="DH11" s="245">
        <f>(DF11*DG11)/360</f>
        <v>0</v>
      </c>
      <c r="DK11" s="245">
        <f>(DI11*DJ11)/360</f>
        <v>0</v>
      </c>
      <c r="DN11" s="245">
        <f>(DL11*DM11)/360</f>
        <v>0</v>
      </c>
      <c r="DQ11" s="245">
        <f>(DO11*DP11)/360</f>
        <v>0</v>
      </c>
      <c r="DT11" s="245">
        <f>(DR11*DS11)/360</f>
        <v>0</v>
      </c>
      <c r="DW11" s="245">
        <f>(DU11*DV11)/360</f>
        <v>0</v>
      </c>
      <c r="DY11" s="254"/>
      <c r="DZ11" s="243"/>
      <c r="EA11" s="245"/>
      <c r="EB11" s="279">
        <f>B11+E11+H11+K11+N11+Q11+T11+W11+Z11+AC11+AF11+AL11+AO11+AR11+AU11+AX11+BA11+BD11+BG11+DU11+AI11+DR11+DO11+DL11+DI11+DF11+DC11+CZ11+CW11+CT11+CQ11+CN11+CK11+CH11+CE11+CB11+BY11+BV11+BS11+BP11+BM11+BJ11</f>
        <v>289125000</v>
      </c>
      <c r="EC11" s="279">
        <f>EB11-EK11+EL11</f>
        <v>0</v>
      </c>
      <c r="ED11" s="245">
        <f>D11+G11+J11+M11+P11+S11+V11+Y11+AB11+AE11+AH11+AK11+AN11+AQ11+AT11+AW11+AZ11+BC11+BF11+BI11+DW11+DT11+DQ11+DN11+DK11+DH11+DE11+DB11+CY11+CV11+CS11+CP11+CM11+CJ11+CG11+CD11+CA11+BX11+BU11+BR11+BO11+BL11</f>
        <v>2056.25</v>
      </c>
      <c r="EE11" s="246">
        <f>IF(EB11&lt;&gt;0,((ED11/EB11)*360),0)</f>
        <v>2.5603112840466924E-3</v>
      </c>
      <c r="EG11" s="279">
        <f>Q11+T11+W11+Z11+AC11+AF11</f>
        <v>0</v>
      </c>
      <c r="EH11" s="245">
        <f>S11+V11+Y11+AB11+AE11+AH11</f>
        <v>0</v>
      </c>
      <c r="EI11" s="246">
        <f>IF(EG11&lt;&gt;0,((EH11/EG11)*360),0)</f>
        <v>0</v>
      </c>
      <c r="EJ11" s="246"/>
      <c r="EK11" s="279">
        <f>DR11+DL11+DI11+DF11+DC11+CZ11+CW11+CT11+CQ11+CN11+CK11+CH11+CE11+CB11+BY11+BV11+BS11+BP11+BM11+BJ11+BG11+BD11+BA11+AX11+AU11+AR11+AO11+AL11+AI11+DO11</f>
        <v>289125000</v>
      </c>
      <c r="EL11" s="279">
        <f>DX11</f>
        <v>0</v>
      </c>
      <c r="EM11" s="279">
        <f>DT11+DQ11+DN11+DK11+DH11+DE11+DB11+CY11+CV11+CS11+CP11+CM11+CJ11+CG11+CD11+CA11+BX11+BU11+BR11+BO11+BL11+BI11+BF11+BC11+AZ11+AW11+AT11+AQ11+AN11+AK11</f>
        <v>2056.25</v>
      </c>
      <c r="EN11" s="246">
        <f>IF(EK11&lt;&gt;0,((EM11/EK11)*360),0)</f>
        <v>2.5603112840466924E-3</v>
      </c>
      <c r="EP11" s="245"/>
    </row>
    <row r="12" spans="1:147" x14ac:dyDescent="0.2">
      <c r="A12" s="276">
        <f>1+A11</f>
        <v>44137</v>
      </c>
      <c r="D12" s="245">
        <f t="shared" ref="D12:D40" si="2">(B12*C12)/360</f>
        <v>0</v>
      </c>
      <c r="E12" s="245">
        <v>0</v>
      </c>
      <c r="F12" s="246">
        <v>1.05072E-3</v>
      </c>
      <c r="G12" s="245">
        <f t="shared" ref="G12:G40" si="3">(E12*F12)/360</f>
        <v>0</v>
      </c>
      <c r="J12" s="245">
        <f t="shared" ref="J12:J40" si="4">(H12*I12)/360</f>
        <v>0</v>
      </c>
      <c r="M12" s="245">
        <f t="shared" ref="M12:M40" si="5">(K12*L12)/360</f>
        <v>0</v>
      </c>
      <c r="P12" s="245">
        <f t="shared" ref="P12:P40" si="6">(N12*O12)/360</f>
        <v>0</v>
      </c>
      <c r="S12" s="245">
        <f t="shared" ref="S12:S40" si="7">(Q12*R12)/360</f>
        <v>0</v>
      </c>
      <c r="V12" s="245">
        <f t="shared" ref="V12:V40" si="8">(T12*U12)/360</f>
        <v>0</v>
      </c>
      <c r="Y12" s="245">
        <f t="shared" ref="Y12:Y40" si="9">(W12*X12)/360</f>
        <v>0</v>
      </c>
      <c r="AB12" s="245">
        <f t="shared" ref="AB12:AB40" si="10">(Z12*AA12)/360</f>
        <v>0</v>
      </c>
      <c r="AE12" s="245">
        <v>0</v>
      </c>
      <c r="AH12" s="245">
        <v>0</v>
      </c>
      <c r="AI12" s="277">
        <f t="shared" si="0"/>
        <v>135000000</v>
      </c>
      <c r="AJ12" s="278">
        <v>3.0000000000000001E-3</v>
      </c>
      <c r="AK12" s="245">
        <f t="shared" ref="AK12:AK40" si="11">(AI12*AJ12)/360</f>
        <v>1125</v>
      </c>
      <c r="AL12" s="277">
        <f t="shared" si="1"/>
        <v>90000000</v>
      </c>
      <c r="AM12" s="278">
        <v>2.3E-3</v>
      </c>
      <c r="AN12" s="245">
        <f t="shared" ref="AN12:AN40" si="12">(AL12*AM12)/360</f>
        <v>575</v>
      </c>
      <c r="AO12" s="277">
        <f>57400000</f>
        <v>57400000</v>
      </c>
      <c r="AP12" s="278">
        <v>2E-3</v>
      </c>
      <c r="AQ12" s="245">
        <f t="shared" ref="AQ12:AQ40" si="13">(AO12*AP12)/360</f>
        <v>318.88888888888891</v>
      </c>
      <c r="AR12" s="277"/>
      <c r="AS12" s="278"/>
      <c r="AT12" s="245">
        <f t="shared" ref="AT12:AT40" si="14">(AR12*AS12)/360</f>
        <v>0</v>
      </c>
      <c r="AU12" s="277"/>
      <c r="AV12" s="278"/>
      <c r="AW12" s="245">
        <f t="shared" ref="AW12:AW40" si="15">(AU12*AV12)/360</f>
        <v>0</v>
      </c>
      <c r="AX12" s="277"/>
      <c r="AY12" s="278"/>
      <c r="AZ12" s="245">
        <f t="shared" ref="AZ12:AZ40" si="16">(AX12*AY12)/360</f>
        <v>0</v>
      </c>
      <c r="BA12" s="277"/>
      <c r="BB12" s="278"/>
      <c r="BC12" s="245">
        <f t="shared" ref="BC12:BC40" si="17">(BA12*BB12)/360</f>
        <v>0</v>
      </c>
      <c r="BF12" s="245">
        <f t="shared" ref="BF12:BF40" si="18">(BD12*BE12)/360</f>
        <v>0</v>
      </c>
      <c r="BI12" s="245">
        <f t="shared" ref="BI12:BI40" si="19">(BG12*BH12)/360</f>
        <v>0</v>
      </c>
      <c r="BL12" s="245">
        <f t="shared" ref="BL12:BL40" si="20">(BJ12*BK12)/360</f>
        <v>0</v>
      </c>
      <c r="BO12" s="245">
        <f t="shared" ref="BO12:BO40" si="21">(BM12*BN12)/360</f>
        <v>0</v>
      </c>
      <c r="BR12" s="245">
        <f t="shared" ref="BR12:BR40" si="22">(BP12*BQ12)/360</f>
        <v>0</v>
      </c>
      <c r="BU12" s="245">
        <f t="shared" ref="BU12:BU40" si="23">(BS12*BT12)/360</f>
        <v>0</v>
      </c>
      <c r="BX12" s="245">
        <f t="shared" ref="BX12:BX40" si="24">(BV12*BW12)/360</f>
        <v>0</v>
      </c>
      <c r="CA12" s="245">
        <f t="shared" ref="CA12:CA40" si="25">(BY12*BZ12)/360</f>
        <v>0</v>
      </c>
      <c r="CD12" s="245">
        <f t="shared" ref="CD12:CD40" si="26">(CB12*CC12)/360</f>
        <v>0</v>
      </c>
      <c r="CG12" s="245">
        <f t="shared" ref="CG12:CG40" si="27">(CE12*CF12)/360</f>
        <v>0</v>
      </c>
      <c r="CJ12" s="245">
        <f t="shared" ref="CJ12:CJ40" si="28">(CH12*CI12)/360</f>
        <v>0</v>
      </c>
      <c r="CM12" s="245">
        <f t="shared" ref="CM12:CM40" si="29">(CK12*CL12)/360</f>
        <v>0</v>
      </c>
      <c r="CP12" s="245">
        <f t="shared" ref="CP12:CP40" si="30">(CN12*CO12)/360</f>
        <v>0</v>
      </c>
      <c r="CS12" s="245">
        <f t="shared" ref="CS12:CS40" si="31">(CQ12*CR12)/360</f>
        <v>0</v>
      </c>
      <c r="CV12" s="245">
        <f t="shared" ref="CV12:CV40" si="32">(CT12*CU12)/360</f>
        <v>0</v>
      </c>
      <c r="CY12" s="245">
        <f t="shared" ref="CY12:CY40" si="33">(CW12*CX12)/360</f>
        <v>0</v>
      </c>
      <c r="DB12" s="245">
        <f t="shared" ref="DB12:DB40" si="34">(CZ12*DA12)/360</f>
        <v>0</v>
      </c>
      <c r="DE12" s="245">
        <f t="shared" ref="DE12:DE40" si="35">(DC12*DD12)/360</f>
        <v>0</v>
      </c>
      <c r="DH12" s="245">
        <f t="shared" ref="DH12:DH40" si="36">(DF12*DG12)/360</f>
        <v>0</v>
      </c>
      <c r="DK12" s="245">
        <f t="shared" ref="DK12:DK40" si="37">(DI12*DJ12)/360</f>
        <v>0</v>
      </c>
      <c r="DN12" s="245">
        <f t="shared" ref="DN12:DN40" si="38">(DL12*DM12)/360</f>
        <v>0</v>
      </c>
      <c r="DQ12" s="245">
        <f t="shared" ref="DQ12:DQ40" si="39">(DO12*DP12)/360</f>
        <v>0</v>
      </c>
      <c r="DT12" s="245">
        <f t="shared" ref="DT12:DT40" si="40">(DR12*DS12)/360</f>
        <v>0</v>
      </c>
      <c r="DW12" s="245">
        <f t="shared" ref="DW12:DW40" si="41">(DU12*DV12)/360</f>
        <v>0</v>
      </c>
      <c r="DY12" s="254"/>
      <c r="DZ12" s="243"/>
      <c r="EA12" s="245"/>
      <c r="EB12" s="279">
        <f t="shared" ref="EB12:EB40" si="42">B12+E12+H12+K12+N12+Q12+T12+W12+Z12+AC12+AF12+AL12+AO12+AR12+AU12+AX12+BA12+BD12+BG12+DU12+AI12+DR12+DO12+DL12+DI12+DF12+DC12+CZ12+CW12+CT12+CQ12+CN12+CK12+CH12+CE12+CB12+BY12+BV12+BS12+BP12+BM12+BJ12</f>
        <v>282400000</v>
      </c>
      <c r="EC12" s="279">
        <f t="shared" ref="EC12:EC40" si="43">EB12-EK12+EL12</f>
        <v>0</v>
      </c>
      <c r="ED12" s="245">
        <f t="shared" ref="ED12:ED40" si="44">D12+G12+J12+M12+P12+S12+V12+Y12+AB12+AE12+AH12+AK12+AN12+AQ12+AT12+AW12+AZ12+BC12+BF12+BI12+DW12+DT12+DQ12+DN12+DK12+DH12+DE12+DB12+CY12+CV12+CS12+CP12+CM12+CJ12+CG12+CD12+CA12+BX12+BU12+BR12+BO12+BL12</f>
        <v>2018.8888888888889</v>
      </c>
      <c r="EE12" s="246">
        <f t="shared" ref="EE12:EE40" si="45">IF(EB12&lt;&gt;0,((ED12/EB12)*360),0)</f>
        <v>2.5736543909348443E-3</v>
      </c>
      <c r="EG12" s="279">
        <f t="shared" ref="EG12:EG40" si="46">Q12+T12+W12+Z12+AC12+AF12</f>
        <v>0</v>
      </c>
      <c r="EH12" s="245">
        <f t="shared" ref="EH12:EH40" si="47">S12+V12+Y12+AB12+AE12+AH12</f>
        <v>0</v>
      </c>
      <c r="EI12" s="246">
        <f t="shared" ref="EI12:EI40" si="48">IF(EG12&lt;&gt;0,((EH12/EG12)*360),0)</f>
        <v>0</v>
      </c>
      <c r="EJ12" s="246"/>
      <c r="EK12" s="279">
        <f t="shared" ref="EK12:EK40" si="49">DR12+DL12+DI12+DF12+DC12+CZ12+CW12+CT12+CQ12+CN12+CK12+CH12+CE12+CB12+BY12+BV12+BS12+BP12+BM12+BJ12+BG12+BD12+BA12+AX12+AU12+AR12+AO12+AL12+AI12+DO12</f>
        <v>282400000</v>
      </c>
      <c r="EL12" s="279">
        <f t="shared" ref="EL12:EL40" si="50">DX12</f>
        <v>0</v>
      </c>
      <c r="EM12" s="279">
        <f t="shared" ref="EM12:EM40" si="51">DT12+DQ12+DN12+DK12+DH12+DE12+DB12+CY12+CV12+CS12+CP12+CM12+CJ12+CG12+CD12+CA12+BX12+BU12+BR12+BO12+BL12+BI12+BF12+BC12+AZ12+AW12+AT12+AQ12+AN12+AK12</f>
        <v>2018.8888888888889</v>
      </c>
      <c r="EN12" s="246">
        <f t="shared" ref="EN12:EN40" si="52">IF(EK12&lt;&gt;0,((EM12/EK12)*360),0)</f>
        <v>2.5736543909348443E-3</v>
      </c>
      <c r="EP12" s="245"/>
    </row>
    <row r="13" spans="1:147" x14ac:dyDescent="0.2">
      <c r="A13" s="276">
        <f t="shared" ref="A13:A40" si="53">1+A12</f>
        <v>44138</v>
      </c>
      <c r="D13" s="245">
        <f t="shared" si="2"/>
        <v>0</v>
      </c>
      <c r="E13" s="245">
        <v>4146950.37</v>
      </c>
      <c r="F13" s="246">
        <v>8.0000000000000004E-4</v>
      </c>
      <c r="G13" s="245">
        <f t="shared" si="3"/>
        <v>9.2154452666666664</v>
      </c>
      <c r="J13" s="245">
        <f t="shared" si="4"/>
        <v>0</v>
      </c>
      <c r="M13" s="245">
        <f t="shared" si="5"/>
        <v>0</v>
      </c>
      <c r="P13" s="245">
        <f t="shared" si="6"/>
        <v>0</v>
      </c>
      <c r="S13" s="245">
        <f t="shared" si="7"/>
        <v>0</v>
      </c>
      <c r="V13" s="245">
        <f t="shared" si="8"/>
        <v>0</v>
      </c>
      <c r="Y13" s="245">
        <f t="shared" si="9"/>
        <v>0</v>
      </c>
      <c r="AB13" s="245">
        <f t="shared" si="10"/>
        <v>0</v>
      </c>
      <c r="AE13" s="245">
        <v>0</v>
      </c>
      <c r="AH13" s="245">
        <v>0</v>
      </c>
      <c r="AI13" s="277">
        <f t="shared" si="0"/>
        <v>135000000</v>
      </c>
      <c r="AJ13" s="278">
        <v>3.0000000000000001E-3</v>
      </c>
      <c r="AK13" s="245">
        <f t="shared" si="11"/>
        <v>1125</v>
      </c>
      <c r="AL13" s="277">
        <f t="shared" si="1"/>
        <v>90000000</v>
      </c>
      <c r="AM13" s="278">
        <v>2.3E-3</v>
      </c>
      <c r="AN13" s="245">
        <f t="shared" si="12"/>
        <v>575</v>
      </c>
      <c r="AO13" s="277">
        <f>50850000</f>
        <v>50850000</v>
      </c>
      <c r="AP13" s="278">
        <v>2E-3</v>
      </c>
      <c r="AQ13" s="245">
        <f t="shared" si="13"/>
        <v>282.5</v>
      </c>
      <c r="AR13" s="277"/>
      <c r="AS13" s="278"/>
      <c r="AT13" s="245">
        <f t="shared" si="14"/>
        <v>0</v>
      </c>
      <c r="AU13" s="277"/>
      <c r="AV13" s="278"/>
      <c r="AW13" s="245">
        <f t="shared" si="15"/>
        <v>0</v>
      </c>
      <c r="AX13" s="277"/>
      <c r="AY13" s="278"/>
      <c r="AZ13" s="245">
        <f t="shared" si="16"/>
        <v>0</v>
      </c>
      <c r="BA13" s="277"/>
      <c r="BB13" s="278"/>
      <c r="BC13" s="245">
        <f t="shared" si="17"/>
        <v>0</v>
      </c>
      <c r="BF13" s="245">
        <f t="shared" si="18"/>
        <v>0</v>
      </c>
      <c r="BI13" s="245">
        <f t="shared" si="19"/>
        <v>0</v>
      </c>
      <c r="BL13" s="245">
        <f t="shared" si="20"/>
        <v>0</v>
      </c>
      <c r="BO13" s="245">
        <f t="shared" si="21"/>
        <v>0</v>
      </c>
      <c r="BR13" s="245">
        <f t="shared" si="22"/>
        <v>0</v>
      </c>
      <c r="BU13" s="245">
        <f t="shared" si="23"/>
        <v>0</v>
      </c>
      <c r="BX13" s="245">
        <f t="shared" si="24"/>
        <v>0</v>
      </c>
      <c r="CA13" s="245">
        <f t="shared" si="25"/>
        <v>0</v>
      </c>
      <c r="CD13" s="245">
        <f t="shared" si="26"/>
        <v>0</v>
      </c>
      <c r="CG13" s="245">
        <f t="shared" si="27"/>
        <v>0</v>
      </c>
      <c r="CJ13" s="245">
        <f t="shared" si="28"/>
        <v>0</v>
      </c>
      <c r="CM13" s="245">
        <f t="shared" si="29"/>
        <v>0</v>
      </c>
      <c r="CP13" s="245">
        <f t="shared" si="30"/>
        <v>0</v>
      </c>
      <c r="CS13" s="245">
        <f t="shared" si="31"/>
        <v>0</v>
      </c>
      <c r="CV13" s="245">
        <f t="shared" si="32"/>
        <v>0</v>
      </c>
      <c r="CY13" s="245">
        <f t="shared" si="33"/>
        <v>0</v>
      </c>
      <c r="DB13" s="245">
        <f t="shared" si="34"/>
        <v>0</v>
      </c>
      <c r="DE13" s="245">
        <f t="shared" si="35"/>
        <v>0</v>
      </c>
      <c r="DH13" s="245">
        <f t="shared" si="36"/>
        <v>0</v>
      </c>
      <c r="DK13" s="245">
        <f t="shared" si="37"/>
        <v>0</v>
      </c>
      <c r="DN13" s="245">
        <f t="shared" si="38"/>
        <v>0</v>
      </c>
      <c r="DQ13" s="245">
        <f t="shared" si="39"/>
        <v>0</v>
      </c>
      <c r="DT13" s="245">
        <f t="shared" si="40"/>
        <v>0</v>
      </c>
      <c r="DW13" s="245">
        <f t="shared" si="41"/>
        <v>0</v>
      </c>
      <c r="DY13" s="254"/>
      <c r="DZ13" s="243"/>
      <c r="EA13" s="245"/>
      <c r="EB13" s="279">
        <f t="shared" si="42"/>
        <v>279996950.37</v>
      </c>
      <c r="EC13" s="279">
        <f t="shared" si="43"/>
        <v>4146950.3700000048</v>
      </c>
      <c r="ED13" s="245">
        <f t="shared" si="44"/>
        <v>1991.7154452666666</v>
      </c>
      <c r="EE13" s="246">
        <f t="shared" si="45"/>
        <v>2.5608048921550827E-3</v>
      </c>
      <c r="EG13" s="279">
        <f t="shared" si="46"/>
        <v>0</v>
      </c>
      <c r="EH13" s="245">
        <f t="shared" si="47"/>
        <v>0</v>
      </c>
      <c r="EI13" s="246">
        <f t="shared" si="48"/>
        <v>0</v>
      </c>
      <c r="EJ13" s="246"/>
      <c r="EK13" s="279">
        <f t="shared" si="49"/>
        <v>275850000</v>
      </c>
      <c r="EL13" s="279">
        <f t="shared" si="50"/>
        <v>0</v>
      </c>
      <c r="EM13" s="279">
        <f t="shared" si="51"/>
        <v>1982.5</v>
      </c>
      <c r="EN13" s="246">
        <f t="shared" si="52"/>
        <v>2.5872756933115822E-3</v>
      </c>
      <c r="EP13" s="245"/>
    </row>
    <row r="14" spans="1:147" x14ac:dyDescent="0.2">
      <c r="A14" s="276">
        <f t="shared" si="53"/>
        <v>44139</v>
      </c>
      <c r="D14" s="245">
        <f t="shared" si="2"/>
        <v>0</v>
      </c>
      <c r="E14" s="245">
        <v>7857992.6699999999</v>
      </c>
      <c r="F14" s="246">
        <v>8.9999999999999998E-4</v>
      </c>
      <c r="G14" s="245">
        <f t="shared" si="3"/>
        <v>19.644981674999997</v>
      </c>
      <c r="J14" s="245">
        <f t="shared" si="4"/>
        <v>0</v>
      </c>
      <c r="M14" s="245">
        <f t="shared" si="5"/>
        <v>0</v>
      </c>
      <c r="P14" s="245">
        <f t="shared" si="6"/>
        <v>0</v>
      </c>
      <c r="S14" s="245">
        <f t="shared" si="7"/>
        <v>0</v>
      </c>
      <c r="V14" s="245">
        <f t="shared" si="8"/>
        <v>0</v>
      </c>
      <c r="Y14" s="245">
        <f t="shared" si="9"/>
        <v>0</v>
      </c>
      <c r="AB14" s="245">
        <f t="shared" si="10"/>
        <v>0</v>
      </c>
      <c r="AE14" s="245">
        <v>0</v>
      </c>
      <c r="AH14" s="245">
        <v>0</v>
      </c>
      <c r="AI14" s="277">
        <f t="shared" si="0"/>
        <v>135000000</v>
      </c>
      <c r="AJ14" s="278">
        <v>3.0000000000000001E-3</v>
      </c>
      <c r="AK14" s="245">
        <f t="shared" si="11"/>
        <v>1125</v>
      </c>
      <c r="AL14" s="277">
        <f t="shared" si="1"/>
        <v>90000000</v>
      </c>
      <c r="AM14" s="278">
        <v>2.3E-3</v>
      </c>
      <c r="AN14" s="245">
        <f t="shared" si="12"/>
        <v>575</v>
      </c>
      <c r="AO14" s="277">
        <f>47400000</f>
        <v>47400000</v>
      </c>
      <c r="AP14" s="278">
        <v>2E-3</v>
      </c>
      <c r="AQ14" s="245">
        <f t="shared" si="13"/>
        <v>263.33333333333331</v>
      </c>
      <c r="AR14" s="277"/>
      <c r="AS14" s="278"/>
      <c r="AT14" s="245">
        <f t="shared" si="14"/>
        <v>0</v>
      </c>
      <c r="AU14" s="277"/>
      <c r="AV14" s="278"/>
      <c r="AW14" s="245">
        <f t="shared" si="15"/>
        <v>0</v>
      </c>
      <c r="AX14" s="277"/>
      <c r="AY14" s="278"/>
      <c r="AZ14" s="245">
        <f t="shared" si="16"/>
        <v>0</v>
      </c>
      <c r="BA14" s="277"/>
      <c r="BB14" s="278"/>
      <c r="BC14" s="245">
        <f t="shared" si="17"/>
        <v>0</v>
      </c>
      <c r="BF14" s="245">
        <f t="shared" si="18"/>
        <v>0</v>
      </c>
      <c r="BI14" s="245">
        <f t="shared" si="19"/>
        <v>0</v>
      </c>
      <c r="BL14" s="245">
        <f t="shared" si="20"/>
        <v>0</v>
      </c>
      <c r="BO14" s="245">
        <f t="shared" si="21"/>
        <v>0</v>
      </c>
      <c r="BR14" s="245">
        <f t="shared" si="22"/>
        <v>0</v>
      </c>
      <c r="BU14" s="245">
        <f t="shared" si="23"/>
        <v>0</v>
      </c>
      <c r="BX14" s="245">
        <f t="shared" si="24"/>
        <v>0</v>
      </c>
      <c r="CA14" s="245">
        <f t="shared" si="25"/>
        <v>0</v>
      </c>
      <c r="CD14" s="245">
        <f t="shared" si="26"/>
        <v>0</v>
      </c>
      <c r="CG14" s="245">
        <f t="shared" si="27"/>
        <v>0</v>
      </c>
      <c r="CJ14" s="245">
        <f t="shared" si="28"/>
        <v>0</v>
      </c>
      <c r="CM14" s="245">
        <f t="shared" si="29"/>
        <v>0</v>
      </c>
      <c r="CP14" s="245">
        <f t="shared" si="30"/>
        <v>0</v>
      </c>
      <c r="CS14" s="245">
        <f t="shared" si="31"/>
        <v>0</v>
      </c>
      <c r="CV14" s="245">
        <f t="shared" si="32"/>
        <v>0</v>
      </c>
      <c r="CY14" s="245">
        <f t="shared" si="33"/>
        <v>0</v>
      </c>
      <c r="DB14" s="245">
        <f t="shared" si="34"/>
        <v>0</v>
      </c>
      <c r="DE14" s="245">
        <f t="shared" si="35"/>
        <v>0</v>
      </c>
      <c r="DH14" s="245">
        <f t="shared" si="36"/>
        <v>0</v>
      </c>
      <c r="DK14" s="245">
        <f t="shared" si="37"/>
        <v>0</v>
      </c>
      <c r="DN14" s="245">
        <f t="shared" si="38"/>
        <v>0</v>
      </c>
      <c r="DQ14" s="245">
        <f t="shared" si="39"/>
        <v>0</v>
      </c>
      <c r="DT14" s="245">
        <f t="shared" si="40"/>
        <v>0</v>
      </c>
      <c r="DW14" s="245">
        <f t="shared" si="41"/>
        <v>0</v>
      </c>
      <c r="DY14" s="254"/>
      <c r="DZ14" s="243"/>
      <c r="EA14" s="245"/>
      <c r="EB14" s="279">
        <f t="shared" si="42"/>
        <v>280257992.67000002</v>
      </c>
      <c r="EC14" s="279">
        <f t="shared" si="43"/>
        <v>7857992.6700000167</v>
      </c>
      <c r="ED14" s="245">
        <f t="shared" si="44"/>
        <v>1982.9783150083333</v>
      </c>
      <c r="EE14" s="246">
        <f t="shared" si="45"/>
        <v>2.5471965548671247E-3</v>
      </c>
      <c r="EG14" s="279">
        <f t="shared" si="46"/>
        <v>0</v>
      </c>
      <c r="EH14" s="245">
        <f t="shared" si="47"/>
        <v>0</v>
      </c>
      <c r="EI14" s="246">
        <f t="shared" si="48"/>
        <v>0</v>
      </c>
      <c r="EJ14" s="246"/>
      <c r="EK14" s="279">
        <f t="shared" si="49"/>
        <v>272400000</v>
      </c>
      <c r="EL14" s="279">
        <f t="shared" si="50"/>
        <v>0</v>
      </c>
      <c r="EM14" s="279">
        <f t="shared" si="51"/>
        <v>1963.3333333333333</v>
      </c>
      <c r="EN14" s="246">
        <f t="shared" si="52"/>
        <v>2.5947136563876649E-3</v>
      </c>
      <c r="EP14" s="245"/>
    </row>
    <row r="15" spans="1:147" x14ac:dyDescent="0.2">
      <c r="A15" s="276">
        <f t="shared" si="53"/>
        <v>44140</v>
      </c>
      <c r="D15" s="245">
        <f t="shared" si="2"/>
        <v>0</v>
      </c>
      <c r="E15" s="245">
        <v>14423886.289999999</v>
      </c>
      <c r="F15" s="246">
        <v>1E-3</v>
      </c>
      <c r="G15" s="245">
        <f t="shared" si="3"/>
        <v>40.066350805555551</v>
      </c>
      <c r="J15" s="245">
        <f t="shared" si="4"/>
        <v>0</v>
      </c>
      <c r="M15" s="245">
        <f t="shared" si="5"/>
        <v>0</v>
      </c>
      <c r="P15" s="245">
        <f t="shared" si="6"/>
        <v>0</v>
      </c>
      <c r="S15" s="245">
        <f t="shared" si="7"/>
        <v>0</v>
      </c>
      <c r="V15" s="245">
        <f t="shared" si="8"/>
        <v>0</v>
      </c>
      <c r="Y15" s="245">
        <f t="shared" si="9"/>
        <v>0</v>
      </c>
      <c r="AB15" s="245">
        <f t="shared" si="10"/>
        <v>0</v>
      </c>
      <c r="AE15" s="245">
        <v>0</v>
      </c>
      <c r="AH15" s="245">
        <v>0</v>
      </c>
      <c r="AI15" s="277">
        <f t="shared" si="0"/>
        <v>135000000</v>
      </c>
      <c r="AJ15" s="278">
        <v>3.0000000000000001E-3</v>
      </c>
      <c r="AK15" s="245">
        <f t="shared" si="11"/>
        <v>1125</v>
      </c>
      <c r="AL15" s="277">
        <f t="shared" si="1"/>
        <v>90000000</v>
      </c>
      <c r="AM15" s="278">
        <v>2.3E-3</v>
      </c>
      <c r="AN15" s="245">
        <f t="shared" si="12"/>
        <v>575</v>
      </c>
      <c r="AO15" s="277">
        <f>40850000</f>
        <v>40850000</v>
      </c>
      <c r="AP15" s="278">
        <v>2E-3</v>
      </c>
      <c r="AQ15" s="245">
        <f t="shared" si="13"/>
        <v>226.94444444444446</v>
      </c>
      <c r="AR15" s="277"/>
      <c r="AS15" s="278"/>
      <c r="AT15" s="245">
        <f t="shared" si="14"/>
        <v>0</v>
      </c>
      <c r="AU15" s="277"/>
      <c r="AV15" s="278"/>
      <c r="AW15" s="245">
        <f t="shared" si="15"/>
        <v>0</v>
      </c>
      <c r="AX15" s="277"/>
      <c r="AY15" s="278"/>
      <c r="AZ15" s="245">
        <f t="shared" si="16"/>
        <v>0</v>
      </c>
      <c r="BA15" s="277"/>
      <c r="BB15" s="278"/>
      <c r="BC15" s="245">
        <f t="shared" si="17"/>
        <v>0</v>
      </c>
      <c r="BF15" s="245">
        <f t="shared" si="18"/>
        <v>0</v>
      </c>
      <c r="BI15" s="245">
        <f t="shared" si="19"/>
        <v>0</v>
      </c>
      <c r="BL15" s="245">
        <f t="shared" si="20"/>
        <v>0</v>
      </c>
      <c r="BO15" s="245">
        <f t="shared" si="21"/>
        <v>0</v>
      </c>
      <c r="BR15" s="245">
        <f t="shared" si="22"/>
        <v>0</v>
      </c>
      <c r="BU15" s="245">
        <f t="shared" si="23"/>
        <v>0</v>
      </c>
      <c r="BX15" s="245">
        <f t="shared" si="24"/>
        <v>0</v>
      </c>
      <c r="CA15" s="245">
        <f t="shared" si="25"/>
        <v>0</v>
      </c>
      <c r="CD15" s="245">
        <f t="shared" si="26"/>
        <v>0</v>
      </c>
      <c r="CG15" s="245">
        <f t="shared" si="27"/>
        <v>0</v>
      </c>
      <c r="CJ15" s="245">
        <f t="shared" si="28"/>
        <v>0</v>
      </c>
      <c r="CM15" s="245">
        <f t="shared" si="29"/>
        <v>0</v>
      </c>
      <c r="CP15" s="245">
        <f t="shared" si="30"/>
        <v>0</v>
      </c>
      <c r="CS15" s="245">
        <f t="shared" si="31"/>
        <v>0</v>
      </c>
      <c r="CV15" s="245">
        <f t="shared" si="32"/>
        <v>0</v>
      </c>
      <c r="CY15" s="245">
        <f t="shared" si="33"/>
        <v>0</v>
      </c>
      <c r="DB15" s="245">
        <f t="shared" si="34"/>
        <v>0</v>
      </c>
      <c r="DE15" s="245">
        <f t="shared" si="35"/>
        <v>0</v>
      </c>
      <c r="DH15" s="245">
        <f t="shared" si="36"/>
        <v>0</v>
      </c>
      <c r="DK15" s="245">
        <f t="shared" si="37"/>
        <v>0</v>
      </c>
      <c r="DN15" s="245">
        <f t="shared" si="38"/>
        <v>0</v>
      </c>
      <c r="DQ15" s="245">
        <f t="shared" si="39"/>
        <v>0</v>
      </c>
      <c r="DT15" s="245">
        <f t="shared" si="40"/>
        <v>0</v>
      </c>
      <c r="DW15" s="245">
        <f t="shared" si="41"/>
        <v>0</v>
      </c>
      <c r="DY15" s="254"/>
      <c r="DZ15" s="243"/>
      <c r="EA15" s="245"/>
      <c r="EB15" s="279">
        <f t="shared" si="42"/>
        <v>280273886.28999996</v>
      </c>
      <c r="EC15" s="279">
        <f t="shared" si="43"/>
        <v>14423886.289999962</v>
      </c>
      <c r="ED15" s="245">
        <f t="shared" si="44"/>
        <v>1967.0107952500002</v>
      </c>
      <c r="EE15" s="246">
        <f t="shared" si="45"/>
        <v>2.5265425033472537E-3</v>
      </c>
      <c r="EG15" s="279">
        <f t="shared" si="46"/>
        <v>0</v>
      </c>
      <c r="EH15" s="245">
        <f t="shared" si="47"/>
        <v>0</v>
      </c>
      <c r="EI15" s="246">
        <f t="shared" si="48"/>
        <v>0</v>
      </c>
      <c r="EJ15" s="246"/>
      <c r="EK15" s="279">
        <f t="shared" si="49"/>
        <v>265850000</v>
      </c>
      <c r="EL15" s="279">
        <f t="shared" si="50"/>
        <v>0</v>
      </c>
      <c r="EM15" s="279">
        <f t="shared" si="51"/>
        <v>1926.9444444444443</v>
      </c>
      <c r="EN15" s="246">
        <f t="shared" si="52"/>
        <v>2.6093661839383109E-3</v>
      </c>
      <c r="EP15" s="245"/>
    </row>
    <row r="16" spans="1:147" x14ac:dyDescent="0.2">
      <c r="A16" s="276">
        <f t="shared" si="53"/>
        <v>44141</v>
      </c>
      <c r="D16" s="245">
        <f t="shared" si="2"/>
        <v>0</v>
      </c>
      <c r="E16" s="245">
        <v>20517750.73</v>
      </c>
      <c r="F16" s="246">
        <v>1E-3</v>
      </c>
      <c r="G16" s="245">
        <f t="shared" si="3"/>
        <v>56.993752027777774</v>
      </c>
      <c r="J16" s="245">
        <f t="shared" si="4"/>
        <v>0</v>
      </c>
      <c r="M16" s="245">
        <f t="shared" si="5"/>
        <v>0</v>
      </c>
      <c r="P16" s="245">
        <f t="shared" si="6"/>
        <v>0</v>
      </c>
      <c r="S16" s="245">
        <f t="shared" si="7"/>
        <v>0</v>
      </c>
      <c r="V16" s="245">
        <f t="shared" si="8"/>
        <v>0</v>
      </c>
      <c r="Y16" s="245">
        <f t="shared" si="9"/>
        <v>0</v>
      </c>
      <c r="AB16" s="245">
        <f t="shared" si="10"/>
        <v>0</v>
      </c>
      <c r="AE16" s="245">
        <v>0</v>
      </c>
      <c r="AH16" s="245">
        <v>0</v>
      </c>
      <c r="AI16" s="277">
        <f t="shared" si="0"/>
        <v>135000000</v>
      </c>
      <c r="AJ16" s="278">
        <v>3.0000000000000001E-3</v>
      </c>
      <c r="AK16" s="245">
        <f t="shared" si="11"/>
        <v>1125</v>
      </c>
      <c r="AL16" s="277">
        <f t="shared" si="1"/>
        <v>90000000</v>
      </c>
      <c r="AM16" s="278">
        <v>2.3E-3</v>
      </c>
      <c r="AN16" s="245">
        <f t="shared" si="12"/>
        <v>575</v>
      </c>
      <c r="AO16" s="277">
        <f>34775000</f>
        <v>34775000</v>
      </c>
      <c r="AP16" s="278">
        <v>2E-3</v>
      </c>
      <c r="AQ16" s="245">
        <f t="shared" si="13"/>
        <v>193.19444444444446</v>
      </c>
      <c r="AR16" s="277"/>
      <c r="AS16" s="278"/>
      <c r="AT16" s="245">
        <f t="shared" si="14"/>
        <v>0</v>
      </c>
      <c r="AU16" s="277"/>
      <c r="AV16" s="278"/>
      <c r="AW16" s="245">
        <f t="shared" si="15"/>
        <v>0</v>
      </c>
      <c r="AX16" s="277"/>
      <c r="AY16" s="278"/>
      <c r="AZ16" s="245">
        <f t="shared" si="16"/>
        <v>0</v>
      </c>
      <c r="BA16" s="277"/>
      <c r="BB16" s="278"/>
      <c r="BC16" s="245">
        <f t="shared" si="17"/>
        <v>0</v>
      </c>
      <c r="BF16" s="245">
        <f t="shared" si="18"/>
        <v>0</v>
      </c>
      <c r="BI16" s="245">
        <f t="shared" si="19"/>
        <v>0</v>
      </c>
      <c r="BL16" s="245">
        <f t="shared" si="20"/>
        <v>0</v>
      </c>
      <c r="BO16" s="245">
        <f t="shared" si="21"/>
        <v>0</v>
      </c>
      <c r="BR16" s="245">
        <f t="shared" si="22"/>
        <v>0</v>
      </c>
      <c r="BU16" s="245">
        <f t="shared" si="23"/>
        <v>0</v>
      </c>
      <c r="BX16" s="245">
        <f t="shared" si="24"/>
        <v>0</v>
      </c>
      <c r="CA16" s="245">
        <f t="shared" si="25"/>
        <v>0</v>
      </c>
      <c r="CD16" s="245">
        <f t="shared" si="26"/>
        <v>0</v>
      </c>
      <c r="CG16" s="245">
        <f t="shared" si="27"/>
        <v>0</v>
      </c>
      <c r="CJ16" s="245">
        <f t="shared" si="28"/>
        <v>0</v>
      </c>
      <c r="CM16" s="245">
        <f t="shared" si="29"/>
        <v>0</v>
      </c>
      <c r="CP16" s="245">
        <f t="shared" si="30"/>
        <v>0</v>
      </c>
      <c r="CS16" s="245">
        <f t="shared" si="31"/>
        <v>0</v>
      </c>
      <c r="CV16" s="245">
        <f t="shared" si="32"/>
        <v>0</v>
      </c>
      <c r="CY16" s="245">
        <f t="shared" si="33"/>
        <v>0</v>
      </c>
      <c r="DB16" s="245">
        <f t="shared" si="34"/>
        <v>0</v>
      </c>
      <c r="DE16" s="245">
        <f t="shared" si="35"/>
        <v>0</v>
      </c>
      <c r="DH16" s="245">
        <f t="shared" si="36"/>
        <v>0</v>
      </c>
      <c r="DK16" s="245">
        <f t="shared" si="37"/>
        <v>0</v>
      </c>
      <c r="DN16" s="245">
        <f t="shared" si="38"/>
        <v>0</v>
      </c>
      <c r="DQ16" s="245">
        <f t="shared" si="39"/>
        <v>0</v>
      </c>
      <c r="DT16" s="245">
        <f t="shared" si="40"/>
        <v>0</v>
      </c>
      <c r="DW16" s="245">
        <f t="shared" si="41"/>
        <v>0</v>
      </c>
      <c r="DY16" s="254"/>
      <c r="DZ16" s="243"/>
      <c r="EA16" s="245"/>
      <c r="EB16" s="279">
        <f t="shared" si="42"/>
        <v>280292750.73000002</v>
      </c>
      <c r="EC16" s="279">
        <f t="shared" si="43"/>
        <v>20517750.730000019</v>
      </c>
      <c r="ED16" s="245">
        <f t="shared" si="44"/>
        <v>1950.1881964722224</v>
      </c>
      <c r="EE16" s="246">
        <f t="shared" si="45"/>
        <v>2.5047659952015201E-3</v>
      </c>
      <c r="EG16" s="279">
        <f t="shared" si="46"/>
        <v>0</v>
      </c>
      <c r="EH16" s="245">
        <f t="shared" si="47"/>
        <v>0</v>
      </c>
      <c r="EI16" s="246">
        <f t="shared" si="48"/>
        <v>0</v>
      </c>
      <c r="EJ16" s="246"/>
      <c r="EK16" s="279">
        <f t="shared" si="49"/>
        <v>259775000</v>
      </c>
      <c r="EL16" s="279">
        <f t="shared" si="50"/>
        <v>0</v>
      </c>
      <c r="EM16" s="279">
        <f t="shared" si="51"/>
        <v>1893.1944444444443</v>
      </c>
      <c r="EN16" s="246">
        <f t="shared" si="52"/>
        <v>2.6236165912809162E-3</v>
      </c>
      <c r="EP16" s="245"/>
    </row>
    <row r="17" spans="1:146" x14ac:dyDescent="0.2">
      <c r="A17" s="276">
        <f t="shared" si="53"/>
        <v>44142</v>
      </c>
      <c r="D17" s="245">
        <f t="shared" si="2"/>
        <v>0</v>
      </c>
      <c r="E17" s="245">
        <v>20517750.73</v>
      </c>
      <c r="F17" s="246">
        <v>1E-3</v>
      </c>
      <c r="G17" s="245">
        <f t="shared" si="3"/>
        <v>56.993752027777774</v>
      </c>
      <c r="J17" s="245">
        <f t="shared" si="4"/>
        <v>0</v>
      </c>
      <c r="M17" s="245">
        <f t="shared" si="5"/>
        <v>0</v>
      </c>
      <c r="P17" s="245">
        <f t="shared" si="6"/>
        <v>0</v>
      </c>
      <c r="S17" s="245">
        <f t="shared" si="7"/>
        <v>0</v>
      </c>
      <c r="V17" s="245">
        <f t="shared" si="8"/>
        <v>0</v>
      </c>
      <c r="Y17" s="245">
        <f t="shared" si="9"/>
        <v>0</v>
      </c>
      <c r="AB17" s="245">
        <f t="shared" si="10"/>
        <v>0</v>
      </c>
      <c r="AE17" s="245">
        <v>0</v>
      </c>
      <c r="AH17" s="245">
        <v>0</v>
      </c>
      <c r="AI17" s="277">
        <f t="shared" si="0"/>
        <v>135000000</v>
      </c>
      <c r="AJ17" s="278">
        <v>3.0000000000000001E-3</v>
      </c>
      <c r="AK17" s="245">
        <f t="shared" si="11"/>
        <v>1125</v>
      </c>
      <c r="AL17" s="277">
        <f t="shared" si="1"/>
        <v>90000000</v>
      </c>
      <c r="AM17" s="278">
        <v>2.3E-3</v>
      </c>
      <c r="AN17" s="245">
        <f t="shared" si="12"/>
        <v>575</v>
      </c>
      <c r="AO17" s="277">
        <f>34775000</f>
        <v>34775000</v>
      </c>
      <c r="AP17" s="278">
        <v>2E-3</v>
      </c>
      <c r="AQ17" s="245">
        <f t="shared" si="13"/>
        <v>193.19444444444446</v>
      </c>
      <c r="AR17" s="277"/>
      <c r="AS17" s="278"/>
      <c r="AT17" s="245">
        <f t="shared" si="14"/>
        <v>0</v>
      </c>
      <c r="AU17" s="277"/>
      <c r="AV17" s="278"/>
      <c r="AW17" s="245">
        <f t="shared" si="15"/>
        <v>0</v>
      </c>
      <c r="AX17" s="277"/>
      <c r="AY17" s="278"/>
      <c r="AZ17" s="245">
        <f t="shared" si="16"/>
        <v>0</v>
      </c>
      <c r="BA17" s="277"/>
      <c r="BB17" s="278"/>
      <c r="BC17" s="245">
        <f t="shared" si="17"/>
        <v>0</v>
      </c>
      <c r="BF17" s="245">
        <f t="shared" si="18"/>
        <v>0</v>
      </c>
      <c r="BI17" s="245">
        <f t="shared" si="19"/>
        <v>0</v>
      </c>
      <c r="BL17" s="245">
        <f t="shared" si="20"/>
        <v>0</v>
      </c>
      <c r="BO17" s="245">
        <f t="shared" si="21"/>
        <v>0</v>
      </c>
      <c r="BR17" s="245">
        <f t="shared" si="22"/>
        <v>0</v>
      </c>
      <c r="BU17" s="245">
        <f t="shared" si="23"/>
        <v>0</v>
      </c>
      <c r="BX17" s="245">
        <f t="shared" si="24"/>
        <v>0</v>
      </c>
      <c r="CA17" s="245">
        <f t="shared" si="25"/>
        <v>0</v>
      </c>
      <c r="CD17" s="245">
        <f t="shared" si="26"/>
        <v>0</v>
      </c>
      <c r="CG17" s="245">
        <f t="shared" si="27"/>
        <v>0</v>
      </c>
      <c r="CJ17" s="245">
        <f t="shared" si="28"/>
        <v>0</v>
      </c>
      <c r="CM17" s="245">
        <f t="shared" si="29"/>
        <v>0</v>
      </c>
      <c r="CP17" s="245">
        <f t="shared" si="30"/>
        <v>0</v>
      </c>
      <c r="CS17" s="245">
        <f t="shared" si="31"/>
        <v>0</v>
      </c>
      <c r="CV17" s="245">
        <f t="shared" si="32"/>
        <v>0</v>
      </c>
      <c r="CY17" s="245">
        <f t="shared" si="33"/>
        <v>0</v>
      </c>
      <c r="DB17" s="245">
        <f t="shared" si="34"/>
        <v>0</v>
      </c>
      <c r="DE17" s="245">
        <f t="shared" si="35"/>
        <v>0</v>
      </c>
      <c r="DH17" s="245">
        <f t="shared" si="36"/>
        <v>0</v>
      </c>
      <c r="DK17" s="245">
        <f t="shared" si="37"/>
        <v>0</v>
      </c>
      <c r="DN17" s="245">
        <f t="shared" si="38"/>
        <v>0</v>
      </c>
      <c r="DQ17" s="245">
        <f t="shared" si="39"/>
        <v>0</v>
      </c>
      <c r="DT17" s="245">
        <f t="shared" si="40"/>
        <v>0</v>
      </c>
      <c r="DW17" s="245">
        <f t="shared" si="41"/>
        <v>0</v>
      </c>
      <c r="DY17" s="254"/>
      <c r="DZ17" s="243"/>
      <c r="EA17" s="245"/>
      <c r="EB17" s="279">
        <f t="shared" si="42"/>
        <v>280292750.73000002</v>
      </c>
      <c r="EC17" s="279">
        <f t="shared" si="43"/>
        <v>20517750.730000019</v>
      </c>
      <c r="ED17" s="245">
        <f t="shared" si="44"/>
        <v>1950.1881964722224</v>
      </c>
      <c r="EE17" s="246">
        <f t="shared" si="45"/>
        <v>2.5047659952015201E-3</v>
      </c>
      <c r="EG17" s="279">
        <f t="shared" si="46"/>
        <v>0</v>
      </c>
      <c r="EH17" s="245">
        <f t="shared" si="47"/>
        <v>0</v>
      </c>
      <c r="EI17" s="246">
        <f t="shared" si="48"/>
        <v>0</v>
      </c>
      <c r="EJ17" s="246"/>
      <c r="EK17" s="279">
        <f t="shared" si="49"/>
        <v>259775000</v>
      </c>
      <c r="EL17" s="279">
        <f t="shared" si="50"/>
        <v>0</v>
      </c>
      <c r="EM17" s="279">
        <f t="shared" si="51"/>
        <v>1893.1944444444443</v>
      </c>
      <c r="EN17" s="246">
        <f t="shared" si="52"/>
        <v>2.6236165912809162E-3</v>
      </c>
      <c r="EP17" s="245"/>
    </row>
    <row r="18" spans="1:146" x14ac:dyDescent="0.2">
      <c r="A18" s="276">
        <f t="shared" si="53"/>
        <v>44143</v>
      </c>
      <c r="D18" s="245">
        <f t="shared" si="2"/>
        <v>0</v>
      </c>
      <c r="E18" s="245">
        <v>20517750.73</v>
      </c>
      <c r="F18" s="246">
        <v>1E-3</v>
      </c>
      <c r="G18" s="245">
        <f t="shared" si="3"/>
        <v>56.993752027777774</v>
      </c>
      <c r="J18" s="245">
        <f t="shared" si="4"/>
        <v>0</v>
      </c>
      <c r="M18" s="245">
        <f t="shared" si="5"/>
        <v>0</v>
      </c>
      <c r="P18" s="245">
        <f t="shared" si="6"/>
        <v>0</v>
      </c>
      <c r="S18" s="245">
        <f t="shared" si="7"/>
        <v>0</v>
      </c>
      <c r="V18" s="245">
        <f t="shared" si="8"/>
        <v>0</v>
      </c>
      <c r="Y18" s="245">
        <f t="shared" si="9"/>
        <v>0</v>
      </c>
      <c r="AB18" s="245">
        <f t="shared" si="10"/>
        <v>0</v>
      </c>
      <c r="AE18" s="245">
        <v>0</v>
      </c>
      <c r="AH18" s="245">
        <v>0</v>
      </c>
      <c r="AI18" s="277">
        <f t="shared" si="0"/>
        <v>135000000</v>
      </c>
      <c r="AJ18" s="278">
        <v>3.0000000000000001E-3</v>
      </c>
      <c r="AK18" s="245">
        <f t="shared" si="11"/>
        <v>1125</v>
      </c>
      <c r="AL18" s="277">
        <f t="shared" si="1"/>
        <v>90000000</v>
      </c>
      <c r="AM18" s="278">
        <v>2.3E-3</v>
      </c>
      <c r="AN18" s="245">
        <f t="shared" si="12"/>
        <v>575</v>
      </c>
      <c r="AO18" s="277">
        <f>34775000</f>
        <v>34775000</v>
      </c>
      <c r="AP18" s="278">
        <v>2E-3</v>
      </c>
      <c r="AQ18" s="245">
        <f t="shared" si="13"/>
        <v>193.19444444444446</v>
      </c>
      <c r="AR18" s="277"/>
      <c r="AS18" s="278"/>
      <c r="AT18" s="245">
        <f t="shared" si="14"/>
        <v>0</v>
      </c>
      <c r="AU18" s="277"/>
      <c r="AV18" s="278"/>
      <c r="AW18" s="245">
        <f t="shared" si="15"/>
        <v>0</v>
      </c>
      <c r="AX18" s="277"/>
      <c r="AY18" s="278"/>
      <c r="AZ18" s="245">
        <f t="shared" si="16"/>
        <v>0</v>
      </c>
      <c r="BA18" s="277"/>
      <c r="BB18" s="278"/>
      <c r="BC18" s="245">
        <f t="shared" si="17"/>
        <v>0</v>
      </c>
      <c r="BF18" s="245">
        <f t="shared" si="18"/>
        <v>0</v>
      </c>
      <c r="BI18" s="245">
        <f t="shared" si="19"/>
        <v>0</v>
      </c>
      <c r="BL18" s="245">
        <f t="shared" si="20"/>
        <v>0</v>
      </c>
      <c r="BO18" s="245">
        <f t="shared" si="21"/>
        <v>0</v>
      </c>
      <c r="BR18" s="245">
        <f t="shared" si="22"/>
        <v>0</v>
      </c>
      <c r="BU18" s="245">
        <f t="shared" si="23"/>
        <v>0</v>
      </c>
      <c r="BX18" s="245">
        <f t="shared" si="24"/>
        <v>0</v>
      </c>
      <c r="CA18" s="245">
        <f t="shared" si="25"/>
        <v>0</v>
      </c>
      <c r="CD18" s="245">
        <f t="shared" si="26"/>
        <v>0</v>
      </c>
      <c r="CG18" s="245">
        <f t="shared" si="27"/>
        <v>0</v>
      </c>
      <c r="CJ18" s="245">
        <f t="shared" si="28"/>
        <v>0</v>
      </c>
      <c r="CM18" s="245">
        <f t="shared" si="29"/>
        <v>0</v>
      </c>
      <c r="CP18" s="245">
        <f t="shared" si="30"/>
        <v>0</v>
      </c>
      <c r="CS18" s="245">
        <f t="shared" si="31"/>
        <v>0</v>
      </c>
      <c r="CV18" s="245">
        <f t="shared" si="32"/>
        <v>0</v>
      </c>
      <c r="CY18" s="245">
        <f t="shared" si="33"/>
        <v>0</v>
      </c>
      <c r="DB18" s="245">
        <f t="shared" si="34"/>
        <v>0</v>
      </c>
      <c r="DE18" s="245">
        <f t="shared" si="35"/>
        <v>0</v>
      </c>
      <c r="DH18" s="245">
        <f t="shared" si="36"/>
        <v>0</v>
      </c>
      <c r="DK18" s="245">
        <f t="shared" si="37"/>
        <v>0</v>
      </c>
      <c r="DN18" s="245">
        <f t="shared" si="38"/>
        <v>0</v>
      </c>
      <c r="DQ18" s="245">
        <f t="shared" si="39"/>
        <v>0</v>
      </c>
      <c r="DT18" s="245">
        <f t="shared" si="40"/>
        <v>0</v>
      </c>
      <c r="DW18" s="245">
        <f t="shared" si="41"/>
        <v>0</v>
      </c>
      <c r="DY18" s="254"/>
      <c r="DZ18" s="243"/>
      <c r="EA18" s="245"/>
      <c r="EB18" s="279">
        <f t="shared" si="42"/>
        <v>280292750.73000002</v>
      </c>
      <c r="EC18" s="279">
        <f t="shared" si="43"/>
        <v>20517750.730000019</v>
      </c>
      <c r="ED18" s="245">
        <f t="shared" si="44"/>
        <v>1950.1881964722224</v>
      </c>
      <c r="EE18" s="246">
        <f t="shared" si="45"/>
        <v>2.5047659952015201E-3</v>
      </c>
      <c r="EG18" s="279">
        <f t="shared" si="46"/>
        <v>0</v>
      </c>
      <c r="EH18" s="245">
        <f t="shared" si="47"/>
        <v>0</v>
      </c>
      <c r="EI18" s="246">
        <f t="shared" si="48"/>
        <v>0</v>
      </c>
      <c r="EJ18" s="246"/>
      <c r="EK18" s="279">
        <f t="shared" si="49"/>
        <v>259775000</v>
      </c>
      <c r="EL18" s="279">
        <f t="shared" si="50"/>
        <v>0</v>
      </c>
      <c r="EM18" s="279">
        <f t="shared" si="51"/>
        <v>1893.1944444444443</v>
      </c>
      <c r="EN18" s="246">
        <f t="shared" si="52"/>
        <v>2.6236165912809162E-3</v>
      </c>
      <c r="EP18" s="245"/>
    </row>
    <row r="19" spans="1:146" x14ac:dyDescent="0.2">
      <c r="A19" s="276">
        <f t="shared" si="53"/>
        <v>44144</v>
      </c>
      <c r="D19" s="245">
        <f t="shared" si="2"/>
        <v>0</v>
      </c>
      <c r="E19" s="245">
        <v>25349071.699999999</v>
      </c>
      <c r="F19" s="246">
        <v>1E-3</v>
      </c>
      <c r="G19" s="245">
        <f t="shared" si="3"/>
        <v>70.414088055555553</v>
      </c>
      <c r="J19" s="245">
        <f t="shared" si="4"/>
        <v>0</v>
      </c>
      <c r="M19" s="245">
        <f t="shared" si="5"/>
        <v>0</v>
      </c>
      <c r="P19" s="245">
        <f t="shared" si="6"/>
        <v>0</v>
      </c>
      <c r="S19" s="245">
        <f t="shared" si="7"/>
        <v>0</v>
      </c>
      <c r="V19" s="245">
        <f t="shared" si="8"/>
        <v>0</v>
      </c>
      <c r="Y19" s="245">
        <f t="shared" si="9"/>
        <v>0</v>
      </c>
      <c r="AB19" s="245">
        <f t="shared" si="10"/>
        <v>0</v>
      </c>
      <c r="AE19" s="245">
        <v>0</v>
      </c>
      <c r="AH19" s="245">
        <v>0</v>
      </c>
      <c r="AI19" s="277">
        <f t="shared" si="0"/>
        <v>135000000</v>
      </c>
      <c r="AJ19" s="278">
        <v>3.0000000000000001E-3</v>
      </c>
      <c r="AK19" s="245">
        <f t="shared" si="11"/>
        <v>1125</v>
      </c>
      <c r="AL19" s="277">
        <f t="shared" si="1"/>
        <v>90000000</v>
      </c>
      <c r="AM19" s="278">
        <v>2.3E-3</v>
      </c>
      <c r="AN19" s="245">
        <f t="shared" si="12"/>
        <v>575</v>
      </c>
      <c r="AO19" s="277">
        <f>29875000+100000</f>
        <v>29975000</v>
      </c>
      <c r="AP19" s="278">
        <v>2E-3</v>
      </c>
      <c r="AQ19" s="245">
        <f t="shared" si="13"/>
        <v>166.52777777777777</v>
      </c>
      <c r="AR19" s="277"/>
      <c r="AS19" s="278"/>
      <c r="AT19" s="245">
        <f t="shared" si="14"/>
        <v>0</v>
      </c>
      <c r="AU19" s="277"/>
      <c r="AV19" s="278"/>
      <c r="AW19" s="245">
        <f t="shared" si="15"/>
        <v>0</v>
      </c>
      <c r="AX19" s="277"/>
      <c r="AY19" s="278"/>
      <c r="AZ19" s="245">
        <f t="shared" si="16"/>
        <v>0</v>
      </c>
      <c r="BA19" s="277"/>
      <c r="BB19" s="278"/>
      <c r="BC19" s="245">
        <f t="shared" si="17"/>
        <v>0</v>
      </c>
      <c r="BF19" s="245">
        <f t="shared" si="18"/>
        <v>0</v>
      </c>
      <c r="BI19" s="245">
        <f t="shared" si="19"/>
        <v>0</v>
      </c>
      <c r="BL19" s="245">
        <f t="shared" si="20"/>
        <v>0</v>
      </c>
      <c r="BO19" s="245">
        <f t="shared" si="21"/>
        <v>0</v>
      </c>
      <c r="BR19" s="245">
        <f t="shared" si="22"/>
        <v>0</v>
      </c>
      <c r="BU19" s="245">
        <f t="shared" si="23"/>
        <v>0</v>
      </c>
      <c r="BX19" s="245">
        <f t="shared" si="24"/>
        <v>0</v>
      </c>
      <c r="CA19" s="245">
        <f t="shared" si="25"/>
        <v>0</v>
      </c>
      <c r="CD19" s="245">
        <f t="shared" si="26"/>
        <v>0</v>
      </c>
      <c r="CG19" s="245">
        <f t="shared" si="27"/>
        <v>0</v>
      </c>
      <c r="CJ19" s="245">
        <f t="shared" si="28"/>
        <v>0</v>
      </c>
      <c r="CM19" s="245">
        <f t="shared" si="29"/>
        <v>0</v>
      </c>
      <c r="CP19" s="245">
        <f t="shared" si="30"/>
        <v>0</v>
      </c>
      <c r="CS19" s="245">
        <f t="shared" si="31"/>
        <v>0</v>
      </c>
      <c r="CV19" s="245">
        <f t="shared" si="32"/>
        <v>0</v>
      </c>
      <c r="CY19" s="245">
        <f t="shared" si="33"/>
        <v>0</v>
      </c>
      <c r="DB19" s="245">
        <f t="shared" si="34"/>
        <v>0</v>
      </c>
      <c r="DE19" s="245">
        <f t="shared" si="35"/>
        <v>0</v>
      </c>
      <c r="DH19" s="245">
        <f t="shared" si="36"/>
        <v>0</v>
      </c>
      <c r="DK19" s="245">
        <f t="shared" si="37"/>
        <v>0</v>
      </c>
      <c r="DN19" s="245">
        <f t="shared" si="38"/>
        <v>0</v>
      </c>
      <c r="DQ19" s="245">
        <f t="shared" si="39"/>
        <v>0</v>
      </c>
      <c r="DT19" s="245">
        <f t="shared" si="40"/>
        <v>0</v>
      </c>
      <c r="DW19" s="245">
        <f t="shared" si="41"/>
        <v>0</v>
      </c>
      <c r="DY19" s="254"/>
      <c r="DZ19" s="243"/>
      <c r="EA19" s="245"/>
      <c r="EB19" s="279">
        <f t="shared" si="42"/>
        <v>280324071.69999999</v>
      </c>
      <c r="EC19" s="279">
        <f t="shared" si="43"/>
        <v>25349071.699999988</v>
      </c>
      <c r="ED19" s="245">
        <f t="shared" si="44"/>
        <v>1936.9418658333334</v>
      </c>
      <c r="EE19" s="246">
        <f t="shared" si="45"/>
        <v>2.4874748268006127E-3</v>
      </c>
      <c r="EG19" s="279">
        <f t="shared" si="46"/>
        <v>0</v>
      </c>
      <c r="EH19" s="245">
        <f t="shared" si="47"/>
        <v>0</v>
      </c>
      <c r="EI19" s="246">
        <f t="shared" si="48"/>
        <v>0</v>
      </c>
      <c r="EJ19" s="246"/>
      <c r="EK19" s="279">
        <f t="shared" si="49"/>
        <v>254975000</v>
      </c>
      <c r="EL19" s="279">
        <f t="shared" si="50"/>
        <v>0</v>
      </c>
      <c r="EM19" s="279">
        <f t="shared" si="51"/>
        <v>1866.5277777777778</v>
      </c>
      <c r="EN19" s="246">
        <f t="shared" si="52"/>
        <v>2.6353564074909305E-3</v>
      </c>
      <c r="EP19" s="245"/>
    </row>
    <row r="20" spans="1:146" x14ac:dyDescent="0.2">
      <c r="A20" s="276">
        <f t="shared" si="53"/>
        <v>44145</v>
      </c>
      <c r="D20" s="245">
        <f t="shared" si="2"/>
        <v>0</v>
      </c>
      <c r="E20" s="245">
        <v>38649045.289999999</v>
      </c>
      <c r="F20" s="246">
        <v>8.9999999999999998E-4</v>
      </c>
      <c r="G20" s="245">
        <f t="shared" si="3"/>
        <v>96.622613224999981</v>
      </c>
      <c r="J20" s="245">
        <f t="shared" si="4"/>
        <v>0</v>
      </c>
      <c r="M20" s="245">
        <f t="shared" si="5"/>
        <v>0</v>
      </c>
      <c r="P20" s="245">
        <f t="shared" si="6"/>
        <v>0</v>
      </c>
      <c r="S20" s="245">
        <f t="shared" si="7"/>
        <v>0</v>
      </c>
      <c r="V20" s="245">
        <f t="shared" si="8"/>
        <v>0</v>
      </c>
      <c r="Y20" s="245">
        <f t="shared" si="9"/>
        <v>0</v>
      </c>
      <c r="AB20" s="245">
        <f t="shared" si="10"/>
        <v>0</v>
      </c>
      <c r="AE20" s="245">
        <v>0</v>
      </c>
      <c r="AH20" s="245">
        <v>0</v>
      </c>
      <c r="AI20" s="277">
        <f t="shared" si="0"/>
        <v>135000000</v>
      </c>
      <c r="AJ20" s="278">
        <v>3.0000000000000001E-3</v>
      </c>
      <c r="AK20" s="245">
        <f t="shared" si="11"/>
        <v>1125</v>
      </c>
      <c r="AL20" s="277">
        <f t="shared" si="1"/>
        <v>90000000</v>
      </c>
      <c r="AM20" s="278">
        <v>2.3E-3</v>
      </c>
      <c r="AN20" s="245">
        <f t="shared" si="12"/>
        <v>575</v>
      </c>
      <c r="AO20" s="277">
        <v>16675000</v>
      </c>
      <c r="AP20" s="278">
        <v>2E-3</v>
      </c>
      <c r="AQ20" s="245">
        <f t="shared" si="13"/>
        <v>92.638888888888886</v>
      </c>
      <c r="AR20" s="277"/>
      <c r="AS20" s="278"/>
      <c r="AT20" s="245">
        <f t="shared" si="14"/>
        <v>0</v>
      </c>
      <c r="AU20" s="277"/>
      <c r="AV20" s="278"/>
      <c r="AW20" s="245">
        <f t="shared" si="15"/>
        <v>0</v>
      </c>
      <c r="AX20" s="277"/>
      <c r="AY20" s="278"/>
      <c r="AZ20" s="245">
        <f t="shared" si="16"/>
        <v>0</v>
      </c>
      <c r="BA20" s="277"/>
      <c r="BB20" s="278"/>
      <c r="BC20" s="245">
        <f t="shared" si="17"/>
        <v>0</v>
      </c>
      <c r="BF20" s="245">
        <f t="shared" si="18"/>
        <v>0</v>
      </c>
      <c r="BI20" s="245">
        <f t="shared" si="19"/>
        <v>0</v>
      </c>
      <c r="BL20" s="245">
        <f t="shared" si="20"/>
        <v>0</v>
      </c>
      <c r="BO20" s="245">
        <f t="shared" si="21"/>
        <v>0</v>
      </c>
      <c r="BR20" s="245">
        <f t="shared" si="22"/>
        <v>0</v>
      </c>
      <c r="BU20" s="245">
        <f t="shared" si="23"/>
        <v>0</v>
      </c>
      <c r="BX20" s="245">
        <f t="shared" si="24"/>
        <v>0</v>
      </c>
      <c r="CA20" s="245">
        <f t="shared" si="25"/>
        <v>0</v>
      </c>
      <c r="CD20" s="245">
        <f t="shared" si="26"/>
        <v>0</v>
      </c>
      <c r="CG20" s="245">
        <f t="shared" si="27"/>
        <v>0</v>
      </c>
      <c r="CJ20" s="245">
        <f t="shared" si="28"/>
        <v>0</v>
      </c>
      <c r="CM20" s="245">
        <f t="shared" si="29"/>
        <v>0</v>
      </c>
      <c r="CP20" s="245">
        <f t="shared" si="30"/>
        <v>0</v>
      </c>
      <c r="CS20" s="245">
        <f t="shared" si="31"/>
        <v>0</v>
      </c>
      <c r="CV20" s="245">
        <f t="shared" si="32"/>
        <v>0</v>
      </c>
      <c r="CY20" s="245">
        <f t="shared" si="33"/>
        <v>0</v>
      </c>
      <c r="DB20" s="245">
        <f t="shared" si="34"/>
        <v>0</v>
      </c>
      <c r="DE20" s="245">
        <f t="shared" si="35"/>
        <v>0</v>
      </c>
      <c r="DH20" s="245">
        <f t="shared" si="36"/>
        <v>0</v>
      </c>
      <c r="DK20" s="245">
        <f t="shared" si="37"/>
        <v>0</v>
      </c>
      <c r="DN20" s="245">
        <f t="shared" si="38"/>
        <v>0</v>
      </c>
      <c r="DQ20" s="245">
        <f t="shared" si="39"/>
        <v>0</v>
      </c>
      <c r="DT20" s="245">
        <f t="shared" si="40"/>
        <v>0</v>
      </c>
      <c r="DW20" s="245">
        <f t="shared" si="41"/>
        <v>0</v>
      </c>
      <c r="DY20" s="254"/>
      <c r="DZ20" s="243"/>
      <c r="EA20" s="245"/>
      <c r="EB20" s="279">
        <f t="shared" si="42"/>
        <v>280324045.28999996</v>
      </c>
      <c r="EC20" s="279">
        <f t="shared" si="43"/>
        <v>38649045.289999962</v>
      </c>
      <c r="ED20" s="245">
        <f t="shared" si="44"/>
        <v>1889.2615021138888</v>
      </c>
      <c r="EE20" s="246">
        <f t="shared" si="45"/>
        <v>2.4262426009776998E-3</v>
      </c>
      <c r="EG20" s="279">
        <f t="shared" si="46"/>
        <v>0</v>
      </c>
      <c r="EH20" s="245">
        <f t="shared" si="47"/>
        <v>0</v>
      </c>
      <c r="EI20" s="246">
        <f t="shared" si="48"/>
        <v>0</v>
      </c>
      <c r="EJ20" s="246"/>
      <c r="EK20" s="279">
        <f t="shared" si="49"/>
        <v>241675000</v>
      </c>
      <c r="EL20" s="279">
        <f t="shared" si="50"/>
        <v>0</v>
      </c>
      <c r="EM20" s="279">
        <f t="shared" si="51"/>
        <v>1792.6388888888889</v>
      </c>
      <c r="EN20" s="246">
        <f t="shared" si="52"/>
        <v>2.6703217130443777E-3</v>
      </c>
      <c r="EP20" s="245"/>
    </row>
    <row r="21" spans="1:146" x14ac:dyDescent="0.2">
      <c r="A21" s="276">
        <f t="shared" si="53"/>
        <v>44146</v>
      </c>
      <c r="D21" s="245">
        <f t="shared" si="2"/>
        <v>0</v>
      </c>
      <c r="E21" s="245">
        <v>38649045.289999999</v>
      </c>
      <c r="F21" s="246">
        <v>8.9999999999999998E-4</v>
      </c>
      <c r="G21" s="245">
        <f t="shared" si="3"/>
        <v>96.622613224999981</v>
      </c>
      <c r="J21" s="245">
        <f t="shared" si="4"/>
        <v>0</v>
      </c>
      <c r="M21" s="245">
        <f t="shared" si="5"/>
        <v>0</v>
      </c>
      <c r="P21" s="245">
        <f t="shared" si="6"/>
        <v>0</v>
      </c>
      <c r="S21" s="245">
        <f t="shared" si="7"/>
        <v>0</v>
      </c>
      <c r="V21" s="245">
        <f t="shared" si="8"/>
        <v>0</v>
      </c>
      <c r="Y21" s="245">
        <f t="shared" si="9"/>
        <v>0</v>
      </c>
      <c r="AB21" s="245">
        <f t="shared" si="10"/>
        <v>0</v>
      </c>
      <c r="AE21" s="245">
        <v>0</v>
      </c>
      <c r="AH21" s="245">
        <v>0</v>
      </c>
      <c r="AI21" s="277">
        <f t="shared" si="0"/>
        <v>135000000</v>
      </c>
      <c r="AJ21" s="278">
        <v>3.0000000000000001E-3</v>
      </c>
      <c r="AK21" s="245">
        <f t="shared" si="11"/>
        <v>1125</v>
      </c>
      <c r="AL21" s="277">
        <f t="shared" si="1"/>
        <v>90000000</v>
      </c>
      <c r="AM21" s="278">
        <v>2.3E-3</v>
      </c>
      <c r="AN21" s="245">
        <f t="shared" si="12"/>
        <v>575</v>
      </c>
      <c r="AO21" s="277">
        <v>16675000</v>
      </c>
      <c r="AP21" s="278">
        <v>2E-3</v>
      </c>
      <c r="AQ21" s="245">
        <f t="shared" si="13"/>
        <v>92.638888888888886</v>
      </c>
      <c r="AR21" s="277"/>
      <c r="AS21" s="278"/>
      <c r="AT21" s="245">
        <f t="shared" si="14"/>
        <v>0</v>
      </c>
      <c r="AU21" s="277"/>
      <c r="AV21" s="278"/>
      <c r="AW21" s="245">
        <f t="shared" si="15"/>
        <v>0</v>
      </c>
      <c r="AX21" s="277"/>
      <c r="AY21" s="278"/>
      <c r="AZ21" s="245">
        <f t="shared" si="16"/>
        <v>0</v>
      </c>
      <c r="BA21" s="277"/>
      <c r="BB21" s="278"/>
      <c r="BC21" s="245">
        <f t="shared" si="17"/>
        <v>0</v>
      </c>
      <c r="BF21" s="245">
        <f t="shared" si="18"/>
        <v>0</v>
      </c>
      <c r="BI21" s="245">
        <f t="shared" si="19"/>
        <v>0</v>
      </c>
      <c r="BL21" s="245">
        <f t="shared" si="20"/>
        <v>0</v>
      </c>
      <c r="BO21" s="245">
        <f t="shared" si="21"/>
        <v>0</v>
      </c>
      <c r="BR21" s="245">
        <f t="shared" si="22"/>
        <v>0</v>
      </c>
      <c r="BU21" s="245">
        <f t="shared" si="23"/>
        <v>0</v>
      </c>
      <c r="BX21" s="245">
        <f t="shared" si="24"/>
        <v>0</v>
      </c>
      <c r="CA21" s="245">
        <f t="shared" si="25"/>
        <v>0</v>
      </c>
      <c r="CD21" s="245">
        <f t="shared" si="26"/>
        <v>0</v>
      </c>
      <c r="CG21" s="245">
        <f t="shared" si="27"/>
        <v>0</v>
      </c>
      <c r="CJ21" s="245">
        <f t="shared" si="28"/>
        <v>0</v>
      </c>
      <c r="CM21" s="245">
        <f t="shared" si="29"/>
        <v>0</v>
      </c>
      <c r="CP21" s="245">
        <f t="shared" si="30"/>
        <v>0</v>
      </c>
      <c r="CS21" s="245">
        <f t="shared" si="31"/>
        <v>0</v>
      </c>
      <c r="CV21" s="245">
        <f t="shared" si="32"/>
        <v>0</v>
      </c>
      <c r="CY21" s="245">
        <f t="shared" si="33"/>
        <v>0</v>
      </c>
      <c r="DB21" s="245">
        <f t="shared" si="34"/>
        <v>0</v>
      </c>
      <c r="DE21" s="245">
        <f t="shared" si="35"/>
        <v>0</v>
      </c>
      <c r="DH21" s="245">
        <f t="shared" si="36"/>
        <v>0</v>
      </c>
      <c r="DK21" s="245">
        <f t="shared" si="37"/>
        <v>0</v>
      </c>
      <c r="DN21" s="245">
        <f t="shared" si="38"/>
        <v>0</v>
      </c>
      <c r="DQ21" s="245">
        <f t="shared" si="39"/>
        <v>0</v>
      </c>
      <c r="DT21" s="245">
        <f t="shared" si="40"/>
        <v>0</v>
      </c>
      <c r="DW21" s="245">
        <f t="shared" si="41"/>
        <v>0</v>
      </c>
      <c r="DY21" s="254"/>
      <c r="DZ21" s="243"/>
      <c r="EA21" s="245"/>
      <c r="EB21" s="279">
        <f t="shared" si="42"/>
        <v>280324045.28999996</v>
      </c>
      <c r="EC21" s="279">
        <f t="shared" si="43"/>
        <v>38649045.289999962</v>
      </c>
      <c r="ED21" s="245">
        <f t="shared" si="44"/>
        <v>1889.2615021138888</v>
      </c>
      <c r="EE21" s="246">
        <f t="shared" si="45"/>
        <v>2.4262426009776998E-3</v>
      </c>
      <c r="EG21" s="279">
        <f t="shared" si="46"/>
        <v>0</v>
      </c>
      <c r="EH21" s="245">
        <f t="shared" si="47"/>
        <v>0</v>
      </c>
      <c r="EI21" s="246">
        <f t="shared" si="48"/>
        <v>0</v>
      </c>
      <c r="EJ21" s="246"/>
      <c r="EK21" s="279">
        <f t="shared" si="49"/>
        <v>241675000</v>
      </c>
      <c r="EL21" s="279">
        <f t="shared" si="50"/>
        <v>0</v>
      </c>
      <c r="EM21" s="279">
        <f t="shared" si="51"/>
        <v>1792.6388888888889</v>
      </c>
      <c r="EN21" s="246">
        <f t="shared" si="52"/>
        <v>2.6703217130443777E-3</v>
      </c>
      <c r="EP21" s="245"/>
    </row>
    <row r="22" spans="1:146" x14ac:dyDescent="0.2">
      <c r="A22" s="276">
        <f t="shared" si="53"/>
        <v>44147</v>
      </c>
      <c r="D22" s="245">
        <f t="shared" si="2"/>
        <v>0</v>
      </c>
      <c r="E22" s="245">
        <v>43370757.619999997</v>
      </c>
      <c r="F22" s="246">
        <v>8.9999999999999998E-4</v>
      </c>
      <c r="G22" s="245">
        <f t="shared" si="3"/>
        <v>108.42689404999999</v>
      </c>
      <c r="J22" s="245">
        <f t="shared" si="4"/>
        <v>0</v>
      </c>
      <c r="M22" s="245">
        <f t="shared" si="5"/>
        <v>0</v>
      </c>
      <c r="P22" s="245">
        <f t="shared" si="6"/>
        <v>0</v>
      </c>
      <c r="S22" s="245">
        <f t="shared" si="7"/>
        <v>0</v>
      </c>
      <c r="V22" s="245">
        <f t="shared" si="8"/>
        <v>0</v>
      </c>
      <c r="Y22" s="245">
        <f t="shared" si="9"/>
        <v>0</v>
      </c>
      <c r="AB22" s="245">
        <f t="shared" si="10"/>
        <v>0</v>
      </c>
      <c r="AE22" s="245">
        <v>0</v>
      </c>
      <c r="AH22" s="245">
        <v>0</v>
      </c>
      <c r="AI22" s="277">
        <f t="shared" si="0"/>
        <v>135000000</v>
      </c>
      <c r="AJ22" s="278">
        <v>3.0000000000000001E-3</v>
      </c>
      <c r="AK22" s="245">
        <f t="shared" si="11"/>
        <v>1125</v>
      </c>
      <c r="AL22" s="277">
        <f t="shared" si="1"/>
        <v>90000000</v>
      </c>
      <c r="AM22" s="278">
        <v>2.3E-3</v>
      </c>
      <c r="AN22" s="245">
        <f t="shared" si="12"/>
        <v>575</v>
      </c>
      <c r="AO22" s="277">
        <v>11975000</v>
      </c>
      <c r="AP22" s="278">
        <v>2E-3</v>
      </c>
      <c r="AQ22" s="245">
        <f t="shared" si="13"/>
        <v>66.527777777777771</v>
      </c>
      <c r="AR22" s="277"/>
      <c r="AS22" s="278"/>
      <c r="AT22" s="245">
        <f t="shared" si="14"/>
        <v>0</v>
      </c>
      <c r="AU22" s="277"/>
      <c r="AV22" s="278"/>
      <c r="AW22" s="245">
        <f t="shared" si="15"/>
        <v>0</v>
      </c>
      <c r="AX22" s="277"/>
      <c r="AY22" s="278"/>
      <c r="AZ22" s="245">
        <f t="shared" si="16"/>
        <v>0</v>
      </c>
      <c r="BA22" s="277"/>
      <c r="BB22" s="278"/>
      <c r="BC22" s="245">
        <f t="shared" si="17"/>
        <v>0</v>
      </c>
      <c r="BF22" s="245">
        <f t="shared" si="18"/>
        <v>0</v>
      </c>
      <c r="BI22" s="245">
        <f t="shared" si="19"/>
        <v>0</v>
      </c>
      <c r="BL22" s="245">
        <f t="shared" si="20"/>
        <v>0</v>
      </c>
      <c r="BO22" s="245">
        <f t="shared" si="21"/>
        <v>0</v>
      </c>
      <c r="BR22" s="245">
        <f t="shared" si="22"/>
        <v>0</v>
      </c>
      <c r="BU22" s="245">
        <f t="shared" si="23"/>
        <v>0</v>
      </c>
      <c r="BX22" s="245">
        <f t="shared" si="24"/>
        <v>0</v>
      </c>
      <c r="CA22" s="245">
        <f t="shared" si="25"/>
        <v>0</v>
      </c>
      <c r="CD22" s="245">
        <f t="shared" si="26"/>
        <v>0</v>
      </c>
      <c r="CG22" s="245">
        <f t="shared" si="27"/>
        <v>0</v>
      </c>
      <c r="CJ22" s="245">
        <f t="shared" si="28"/>
        <v>0</v>
      </c>
      <c r="CM22" s="245">
        <f t="shared" si="29"/>
        <v>0</v>
      </c>
      <c r="CP22" s="245">
        <f t="shared" si="30"/>
        <v>0</v>
      </c>
      <c r="CS22" s="245">
        <f t="shared" si="31"/>
        <v>0</v>
      </c>
      <c r="CV22" s="245">
        <f t="shared" si="32"/>
        <v>0</v>
      </c>
      <c r="CY22" s="245">
        <f t="shared" si="33"/>
        <v>0</v>
      </c>
      <c r="DB22" s="245">
        <f t="shared" si="34"/>
        <v>0</v>
      </c>
      <c r="DE22" s="245">
        <f t="shared" si="35"/>
        <v>0</v>
      </c>
      <c r="DH22" s="245">
        <f t="shared" si="36"/>
        <v>0</v>
      </c>
      <c r="DK22" s="245">
        <f t="shared" si="37"/>
        <v>0</v>
      </c>
      <c r="DN22" s="245">
        <f t="shared" si="38"/>
        <v>0</v>
      </c>
      <c r="DQ22" s="245">
        <f t="shared" si="39"/>
        <v>0</v>
      </c>
      <c r="DT22" s="245">
        <f t="shared" si="40"/>
        <v>0</v>
      </c>
      <c r="DW22" s="245">
        <f t="shared" si="41"/>
        <v>0</v>
      </c>
      <c r="DY22" s="254"/>
      <c r="DZ22" s="243"/>
      <c r="EA22" s="245"/>
      <c r="EB22" s="279">
        <f t="shared" si="42"/>
        <v>280345757.62</v>
      </c>
      <c r="EC22" s="279">
        <f t="shared" si="43"/>
        <v>43370757.620000005</v>
      </c>
      <c r="ED22" s="245">
        <f t="shared" si="44"/>
        <v>1874.9546718277779</v>
      </c>
      <c r="EE22" s="246">
        <f t="shared" si="45"/>
        <v>2.4076828826955876E-3</v>
      </c>
      <c r="EG22" s="279">
        <f t="shared" si="46"/>
        <v>0</v>
      </c>
      <c r="EH22" s="245">
        <f t="shared" si="47"/>
        <v>0</v>
      </c>
      <c r="EI22" s="246">
        <f t="shared" si="48"/>
        <v>0</v>
      </c>
      <c r="EJ22" s="246"/>
      <c r="EK22" s="279">
        <f t="shared" si="49"/>
        <v>236975000</v>
      </c>
      <c r="EL22" s="279">
        <f t="shared" si="50"/>
        <v>0</v>
      </c>
      <c r="EM22" s="279">
        <f t="shared" si="51"/>
        <v>1766.5277777777778</v>
      </c>
      <c r="EN22" s="246">
        <f t="shared" si="52"/>
        <v>2.6836164152336745E-3</v>
      </c>
      <c r="EP22" s="245"/>
    </row>
    <row r="23" spans="1:146" x14ac:dyDescent="0.2">
      <c r="A23" s="276">
        <f t="shared" si="53"/>
        <v>44148</v>
      </c>
      <c r="D23" s="245">
        <f t="shared" si="2"/>
        <v>0</v>
      </c>
      <c r="E23" s="245">
        <v>47944339.740000002</v>
      </c>
      <c r="F23" s="246">
        <v>1E-3</v>
      </c>
      <c r="G23" s="245">
        <f t="shared" si="3"/>
        <v>133.17872149999999</v>
      </c>
      <c r="J23" s="245">
        <f t="shared" si="4"/>
        <v>0</v>
      </c>
      <c r="M23" s="245">
        <f t="shared" si="5"/>
        <v>0</v>
      </c>
      <c r="P23" s="245">
        <f t="shared" si="6"/>
        <v>0</v>
      </c>
      <c r="S23" s="245">
        <f t="shared" si="7"/>
        <v>0</v>
      </c>
      <c r="V23" s="245">
        <f t="shared" si="8"/>
        <v>0</v>
      </c>
      <c r="Y23" s="245">
        <f t="shared" si="9"/>
        <v>0</v>
      </c>
      <c r="AB23" s="245">
        <f t="shared" si="10"/>
        <v>0</v>
      </c>
      <c r="AE23" s="245">
        <v>0</v>
      </c>
      <c r="AH23" s="245">
        <v>0</v>
      </c>
      <c r="AI23" s="277">
        <f t="shared" si="0"/>
        <v>135000000</v>
      </c>
      <c r="AJ23" s="278">
        <v>3.0000000000000001E-3</v>
      </c>
      <c r="AK23" s="245">
        <f t="shared" si="11"/>
        <v>1125</v>
      </c>
      <c r="AL23" s="277">
        <f t="shared" si="1"/>
        <v>90000000</v>
      </c>
      <c r="AM23" s="278">
        <v>2.3E-3</v>
      </c>
      <c r="AN23" s="245">
        <f t="shared" si="12"/>
        <v>575</v>
      </c>
      <c r="AO23" s="277">
        <v>7400000</v>
      </c>
      <c r="AP23" s="278">
        <v>2E-3</v>
      </c>
      <c r="AQ23" s="245">
        <f t="shared" si="13"/>
        <v>41.111111111111114</v>
      </c>
      <c r="AR23" s="277"/>
      <c r="AS23" s="278"/>
      <c r="AT23" s="245">
        <f t="shared" si="14"/>
        <v>0</v>
      </c>
      <c r="AU23" s="277"/>
      <c r="AV23" s="278"/>
      <c r="AW23" s="245">
        <f t="shared" si="15"/>
        <v>0</v>
      </c>
      <c r="AX23" s="277"/>
      <c r="AY23" s="278"/>
      <c r="AZ23" s="245">
        <f t="shared" si="16"/>
        <v>0</v>
      </c>
      <c r="BA23" s="277"/>
      <c r="BB23" s="278"/>
      <c r="BC23" s="245">
        <f t="shared" si="17"/>
        <v>0</v>
      </c>
      <c r="BF23" s="245">
        <f t="shared" si="18"/>
        <v>0</v>
      </c>
      <c r="BI23" s="245">
        <f t="shared" si="19"/>
        <v>0</v>
      </c>
      <c r="BL23" s="245">
        <f t="shared" si="20"/>
        <v>0</v>
      </c>
      <c r="BO23" s="245">
        <f t="shared" si="21"/>
        <v>0</v>
      </c>
      <c r="BR23" s="245">
        <f t="shared" si="22"/>
        <v>0</v>
      </c>
      <c r="BU23" s="245">
        <f t="shared" si="23"/>
        <v>0</v>
      </c>
      <c r="BX23" s="245">
        <f t="shared" si="24"/>
        <v>0</v>
      </c>
      <c r="CA23" s="245">
        <f t="shared" si="25"/>
        <v>0</v>
      </c>
      <c r="CD23" s="245">
        <f t="shared" si="26"/>
        <v>0</v>
      </c>
      <c r="CG23" s="245">
        <f t="shared" si="27"/>
        <v>0</v>
      </c>
      <c r="CJ23" s="245">
        <f t="shared" si="28"/>
        <v>0</v>
      </c>
      <c r="CM23" s="245">
        <f t="shared" si="29"/>
        <v>0</v>
      </c>
      <c r="CP23" s="245">
        <f t="shared" si="30"/>
        <v>0</v>
      </c>
      <c r="CS23" s="245">
        <f t="shared" si="31"/>
        <v>0</v>
      </c>
      <c r="CV23" s="245">
        <f t="shared" si="32"/>
        <v>0</v>
      </c>
      <c r="CY23" s="245">
        <f t="shared" si="33"/>
        <v>0</v>
      </c>
      <c r="DB23" s="245">
        <f t="shared" si="34"/>
        <v>0</v>
      </c>
      <c r="DE23" s="245">
        <f t="shared" si="35"/>
        <v>0</v>
      </c>
      <c r="DH23" s="245">
        <f t="shared" si="36"/>
        <v>0</v>
      </c>
      <c r="DK23" s="245">
        <f t="shared" si="37"/>
        <v>0</v>
      </c>
      <c r="DN23" s="245">
        <f t="shared" si="38"/>
        <v>0</v>
      </c>
      <c r="DQ23" s="245">
        <f t="shared" si="39"/>
        <v>0</v>
      </c>
      <c r="DT23" s="245">
        <f t="shared" si="40"/>
        <v>0</v>
      </c>
      <c r="DW23" s="245">
        <f t="shared" si="41"/>
        <v>0</v>
      </c>
      <c r="DY23" s="254"/>
      <c r="DZ23" s="243"/>
      <c r="EA23" s="245"/>
      <c r="EB23" s="279">
        <f t="shared" si="42"/>
        <v>280344339.74000001</v>
      </c>
      <c r="EC23" s="279">
        <f t="shared" si="43"/>
        <v>47944339.74000001</v>
      </c>
      <c r="ED23" s="245">
        <f t="shared" si="44"/>
        <v>1874.289832611111</v>
      </c>
      <c r="EE23" s="246">
        <f t="shared" si="45"/>
        <v>2.4068413165244523E-3</v>
      </c>
      <c r="EG23" s="279">
        <f t="shared" si="46"/>
        <v>0</v>
      </c>
      <c r="EH23" s="245">
        <f t="shared" si="47"/>
        <v>0</v>
      </c>
      <c r="EI23" s="246">
        <f t="shared" si="48"/>
        <v>0</v>
      </c>
      <c r="EJ23" s="246"/>
      <c r="EK23" s="279">
        <f t="shared" si="49"/>
        <v>232400000</v>
      </c>
      <c r="EL23" s="279">
        <f t="shared" si="50"/>
        <v>0</v>
      </c>
      <c r="EM23" s="279">
        <f t="shared" si="51"/>
        <v>1741.1111111111111</v>
      </c>
      <c r="EN23" s="246">
        <f t="shared" si="52"/>
        <v>2.6970740103270225E-3</v>
      </c>
      <c r="EP23" s="245"/>
    </row>
    <row r="24" spans="1:146" x14ac:dyDescent="0.2">
      <c r="A24" s="276">
        <f t="shared" si="53"/>
        <v>44149</v>
      </c>
      <c r="D24" s="245">
        <f t="shared" si="2"/>
        <v>0</v>
      </c>
      <c r="E24" s="245">
        <v>47944339.740000002</v>
      </c>
      <c r="F24" s="246">
        <v>1E-3</v>
      </c>
      <c r="G24" s="245">
        <f t="shared" si="3"/>
        <v>133.17872149999999</v>
      </c>
      <c r="J24" s="245">
        <f t="shared" si="4"/>
        <v>0</v>
      </c>
      <c r="M24" s="245">
        <f t="shared" si="5"/>
        <v>0</v>
      </c>
      <c r="P24" s="245">
        <f t="shared" si="6"/>
        <v>0</v>
      </c>
      <c r="S24" s="245">
        <f t="shared" si="7"/>
        <v>0</v>
      </c>
      <c r="V24" s="245">
        <f t="shared" si="8"/>
        <v>0</v>
      </c>
      <c r="Y24" s="245">
        <f t="shared" si="9"/>
        <v>0</v>
      </c>
      <c r="AB24" s="245">
        <f t="shared" si="10"/>
        <v>0</v>
      </c>
      <c r="AE24" s="245">
        <v>0</v>
      </c>
      <c r="AH24" s="245">
        <v>0</v>
      </c>
      <c r="AI24" s="277">
        <f t="shared" si="0"/>
        <v>135000000</v>
      </c>
      <c r="AJ24" s="278">
        <v>3.0000000000000001E-3</v>
      </c>
      <c r="AK24" s="245">
        <f t="shared" si="11"/>
        <v>1125</v>
      </c>
      <c r="AL24" s="277">
        <f t="shared" si="1"/>
        <v>90000000</v>
      </c>
      <c r="AM24" s="278">
        <v>2.3E-3</v>
      </c>
      <c r="AN24" s="245">
        <f t="shared" si="12"/>
        <v>575</v>
      </c>
      <c r="AO24" s="277">
        <v>7400000</v>
      </c>
      <c r="AP24" s="278">
        <v>2E-3</v>
      </c>
      <c r="AQ24" s="245">
        <f t="shared" si="13"/>
        <v>41.111111111111114</v>
      </c>
      <c r="AR24" s="277"/>
      <c r="AS24" s="278"/>
      <c r="AT24" s="245">
        <f t="shared" si="14"/>
        <v>0</v>
      </c>
      <c r="AU24" s="277"/>
      <c r="AV24" s="278"/>
      <c r="AW24" s="245">
        <f t="shared" si="15"/>
        <v>0</v>
      </c>
      <c r="AX24" s="277"/>
      <c r="AY24" s="278"/>
      <c r="AZ24" s="245">
        <f t="shared" si="16"/>
        <v>0</v>
      </c>
      <c r="BA24" s="277"/>
      <c r="BB24" s="278"/>
      <c r="BC24" s="245">
        <f t="shared" si="17"/>
        <v>0</v>
      </c>
      <c r="BF24" s="245">
        <f t="shared" si="18"/>
        <v>0</v>
      </c>
      <c r="BI24" s="245">
        <f t="shared" si="19"/>
        <v>0</v>
      </c>
      <c r="BL24" s="245">
        <f t="shared" si="20"/>
        <v>0</v>
      </c>
      <c r="BO24" s="245">
        <f t="shared" si="21"/>
        <v>0</v>
      </c>
      <c r="BR24" s="245">
        <f t="shared" si="22"/>
        <v>0</v>
      </c>
      <c r="BU24" s="245">
        <f t="shared" si="23"/>
        <v>0</v>
      </c>
      <c r="BX24" s="245">
        <f t="shared" si="24"/>
        <v>0</v>
      </c>
      <c r="CA24" s="245">
        <f t="shared" si="25"/>
        <v>0</v>
      </c>
      <c r="CD24" s="245">
        <f t="shared" si="26"/>
        <v>0</v>
      </c>
      <c r="CG24" s="245">
        <f t="shared" si="27"/>
        <v>0</v>
      </c>
      <c r="CJ24" s="245">
        <f t="shared" si="28"/>
        <v>0</v>
      </c>
      <c r="CM24" s="245">
        <f t="shared" si="29"/>
        <v>0</v>
      </c>
      <c r="CP24" s="245">
        <f t="shared" si="30"/>
        <v>0</v>
      </c>
      <c r="CS24" s="245">
        <f t="shared" si="31"/>
        <v>0</v>
      </c>
      <c r="CV24" s="245">
        <f t="shared" si="32"/>
        <v>0</v>
      </c>
      <c r="CY24" s="245">
        <f t="shared" si="33"/>
        <v>0</v>
      </c>
      <c r="DB24" s="245">
        <f t="shared" si="34"/>
        <v>0</v>
      </c>
      <c r="DE24" s="245">
        <f t="shared" si="35"/>
        <v>0</v>
      </c>
      <c r="DH24" s="245">
        <f t="shared" si="36"/>
        <v>0</v>
      </c>
      <c r="DK24" s="245">
        <f t="shared" si="37"/>
        <v>0</v>
      </c>
      <c r="DN24" s="245">
        <f t="shared" si="38"/>
        <v>0</v>
      </c>
      <c r="DQ24" s="245">
        <f t="shared" si="39"/>
        <v>0</v>
      </c>
      <c r="DT24" s="245">
        <f t="shared" si="40"/>
        <v>0</v>
      </c>
      <c r="DW24" s="245">
        <f t="shared" si="41"/>
        <v>0</v>
      </c>
      <c r="DY24" s="254"/>
      <c r="DZ24" s="243"/>
      <c r="EA24" s="245"/>
      <c r="EB24" s="279">
        <f t="shared" si="42"/>
        <v>280344339.74000001</v>
      </c>
      <c r="EC24" s="279">
        <f t="shared" si="43"/>
        <v>47944339.74000001</v>
      </c>
      <c r="ED24" s="245">
        <f t="shared" si="44"/>
        <v>1874.289832611111</v>
      </c>
      <c r="EE24" s="246">
        <f t="shared" si="45"/>
        <v>2.4068413165244523E-3</v>
      </c>
      <c r="EG24" s="279">
        <f t="shared" si="46"/>
        <v>0</v>
      </c>
      <c r="EH24" s="245">
        <f t="shared" si="47"/>
        <v>0</v>
      </c>
      <c r="EI24" s="246">
        <f t="shared" si="48"/>
        <v>0</v>
      </c>
      <c r="EJ24" s="246"/>
      <c r="EK24" s="279">
        <f t="shared" si="49"/>
        <v>232400000</v>
      </c>
      <c r="EL24" s="279">
        <f t="shared" si="50"/>
        <v>0</v>
      </c>
      <c r="EM24" s="279">
        <f t="shared" si="51"/>
        <v>1741.1111111111111</v>
      </c>
      <c r="EN24" s="246">
        <f t="shared" si="52"/>
        <v>2.6970740103270225E-3</v>
      </c>
      <c r="EP24" s="245"/>
    </row>
    <row r="25" spans="1:146" x14ac:dyDescent="0.2">
      <c r="A25" s="276">
        <f t="shared" si="53"/>
        <v>44150</v>
      </c>
      <c r="D25" s="245">
        <f t="shared" si="2"/>
        <v>0</v>
      </c>
      <c r="E25" s="245">
        <v>47944339.740000002</v>
      </c>
      <c r="F25" s="246">
        <v>1E-3</v>
      </c>
      <c r="G25" s="245">
        <f t="shared" si="3"/>
        <v>133.17872149999999</v>
      </c>
      <c r="J25" s="245">
        <f t="shared" si="4"/>
        <v>0</v>
      </c>
      <c r="M25" s="245">
        <f t="shared" si="5"/>
        <v>0</v>
      </c>
      <c r="P25" s="245">
        <f t="shared" si="6"/>
        <v>0</v>
      </c>
      <c r="S25" s="245">
        <f t="shared" si="7"/>
        <v>0</v>
      </c>
      <c r="V25" s="245">
        <f t="shared" si="8"/>
        <v>0</v>
      </c>
      <c r="Y25" s="245">
        <f t="shared" si="9"/>
        <v>0</v>
      </c>
      <c r="AB25" s="245">
        <f t="shared" si="10"/>
        <v>0</v>
      </c>
      <c r="AE25" s="245">
        <v>0</v>
      </c>
      <c r="AH25" s="245">
        <v>0</v>
      </c>
      <c r="AI25" s="277">
        <f t="shared" si="0"/>
        <v>135000000</v>
      </c>
      <c r="AJ25" s="278">
        <v>3.0000000000000001E-3</v>
      </c>
      <c r="AK25" s="245">
        <f t="shared" si="11"/>
        <v>1125</v>
      </c>
      <c r="AL25" s="277">
        <f t="shared" si="1"/>
        <v>90000000</v>
      </c>
      <c r="AM25" s="278">
        <v>2.3E-3</v>
      </c>
      <c r="AN25" s="245">
        <f t="shared" si="12"/>
        <v>575</v>
      </c>
      <c r="AO25" s="277">
        <v>7400000</v>
      </c>
      <c r="AP25" s="278">
        <v>2E-3</v>
      </c>
      <c r="AQ25" s="245">
        <f t="shared" si="13"/>
        <v>41.111111111111114</v>
      </c>
      <c r="AR25" s="277"/>
      <c r="AS25" s="278"/>
      <c r="AT25" s="245">
        <f t="shared" si="14"/>
        <v>0</v>
      </c>
      <c r="AU25" s="277"/>
      <c r="AV25" s="278"/>
      <c r="AW25" s="245">
        <f t="shared" si="15"/>
        <v>0</v>
      </c>
      <c r="AX25" s="277"/>
      <c r="AY25" s="278"/>
      <c r="AZ25" s="245">
        <f t="shared" si="16"/>
        <v>0</v>
      </c>
      <c r="BA25" s="277"/>
      <c r="BB25" s="278"/>
      <c r="BC25" s="245">
        <f t="shared" si="17"/>
        <v>0</v>
      </c>
      <c r="BF25" s="245">
        <f t="shared" si="18"/>
        <v>0</v>
      </c>
      <c r="BI25" s="245">
        <f t="shared" si="19"/>
        <v>0</v>
      </c>
      <c r="BL25" s="245">
        <f t="shared" si="20"/>
        <v>0</v>
      </c>
      <c r="BO25" s="245">
        <f t="shared" si="21"/>
        <v>0</v>
      </c>
      <c r="BR25" s="245">
        <f t="shared" si="22"/>
        <v>0</v>
      </c>
      <c r="BU25" s="245">
        <f t="shared" si="23"/>
        <v>0</v>
      </c>
      <c r="BX25" s="245">
        <f t="shared" si="24"/>
        <v>0</v>
      </c>
      <c r="CA25" s="245">
        <f t="shared" si="25"/>
        <v>0</v>
      </c>
      <c r="CD25" s="245">
        <f t="shared" si="26"/>
        <v>0</v>
      </c>
      <c r="CG25" s="245">
        <f t="shared" si="27"/>
        <v>0</v>
      </c>
      <c r="CJ25" s="245">
        <f t="shared" si="28"/>
        <v>0</v>
      </c>
      <c r="CM25" s="245">
        <f t="shared" si="29"/>
        <v>0</v>
      </c>
      <c r="CP25" s="245">
        <f t="shared" si="30"/>
        <v>0</v>
      </c>
      <c r="CS25" s="245">
        <f t="shared" si="31"/>
        <v>0</v>
      </c>
      <c r="CV25" s="245">
        <f t="shared" si="32"/>
        <v>0</v>
      </c>
      <c r="CY25" s="245">
        <f t="shared" si="33"/>
        <v>0</v>
      </c>
      <c r="DB25" s="245">
        <f t="shared" si="34"/>
        <v>0</v>
      </c>
      <c r="DE25" s="245">
        <f t="shared" si="35"/>
        <v>0</v>
      </c>
      <c r="DH25" s="245">
        <f t="shared" si="36"/>
        <v>0</v>
      </c>
      <c r="DK25" s="245">
        <f t="shared" si="37"/>
        <v>0</v>
      </c>
      <c r="DN25" s="245">
        <f t="shared" si="38"/>
        <v>0</v>
      </c>
      <c r="DQ25" s="245">
        <f t="shared" si="39"/>
        <v>0</v>
      </c>
      <c r="DT25" s="245">
        <f t="shared" si="40"/>
        <v>0</v>
      </c>
      <c r="DW25" s="245">
        <f t="shared" si="41"/>
        <v>0</v>
      </c>
      <c r="DY25" s="254"/>
      <c r="DZ25" s="243"/>
      <c r="EA25" s="245"/>
      <c r="EB25" s="279">
        <f t="shared" si="42"/>
        <v>280344339.74000001</v>
      </c>
      <c r="EC25" s="279">
        <f t="shared" si="43"/>
        <v>47944339.74000001</v>
      </c>
      <c r="ED25" s="245">
        <f t="shared" si="44"/>
        <v>1874.289832611111</v>
      </c>
      <c r="EE25" s="246">
        <f t="shared" si="45"/>
        <v>2.4068413165244523E-3</v>
      </c>
      <c r="EG25" s="279">
        <f t="shared" si="46"/>
        <v>0</v>
      </c>
      <c r="EH25" s="245">
        <f t="shared" si="47"/>
        <v>0</v>
      </c>
      <c r="EI25" s="246">
        <f t="shared" si="48"/>
        <v>0</v>
      </c>
      <c r="EJ25" s="246"/>
      <c r="EK25" s="279">
        <f t="shared" si="49"/>
        <v>232400000</v>
      </c>
      <c r="EL25" s="279">
        <f t="shared" si="50"/>
        <v>0</v>
      </c>
      <c r="EM25" s="279">
        <f t="shared" si="51"/>
        <v>1741.1111111111111</v>
      </c>
      <c r="EN25" s="246">
        <f t="shared" si="52"/>
        <v>2.6970740103270225E-3</v>
      </c>
      <c r="EP25" s="245"/>
    </row>
    <row r="26" spans="1:146" x14ac:dyDescent="0.2">
      <c r="A26" s="276">
        <f t="shared" si="53"/>
        <v>44151</v>
      </c>
      <c r="D26" s="245">
        <f t="shared" si="2"/>
        <v>0</v>
      </c>
      <c r="E26" s="245">
        <v>50554283.960000001</v>
      </c>
      <c r="F26" s="246">
        <v>1.1000000000000001E-3</v>
      </c>
      <c r="G26" s="245">
        <f t="shared" si="3"/>
        <v>154.47142321111113</v>
      </c>
      <c r="J26" s="245">
        <f t="shared" si="4"/>
        <v>0</v>
      </c>
      <c r="M26" s="245">
        <f t="shared" si="5"/>
        <v>0</v>
      </c>
      <c r="P26" s="245">
        <f t="shared" si="6"/>
        <v>0</v>
      </c>
      <c r="S26" s="245">
        <f t="shared" si="7"/>
        <v>0</v>
      </c>
      <c r="V26" s="245">
        <f t="shared" si="8"/>
        <v>0</v>
      </c>
      <c r="Y26" s="245">
        <f t="shared" si="9"/>
        <v>0</v>
      </c>
      <c r="AB26" s="245">
        <f t="shared" si="10"/>
        <v>0</v>
      </c>
      <c r="AE26" s="245">
        <v>0</v>
      </c>
      <c r="AH26" s="245">
        <v>0</v>
      </c>
      <c r="AI26" s="277">
        <f t="shared" si="0"/>
        <v>135000000</v>
      </c>
      <c r="AJ26" s="278">
        <v>3.0000000000000001E-3</v>
      </c>
      <c r="AK26" s="245">
        <f t="shared" si="11"/>
        <v>1125</v>
      </c>
      <c r="AL26" s="277">
        <f t="shared" si="1"/>
        <v>90000000</v>
      </c>
      <c r="AM26" s="278">
        <v>2.3E-3</v>
      </c>
      <c r="AN26" s="245">
        <f t="shared" si="12"/>
        <v>575</v>
      </c>
      <c r="AO26" s="277">
        <f>18925000</f>
        <v>18925000</v>
      </c>
      <c r="AP26" s="278">
        <v>2E-3</v>
      </c>
      <c r="AQ26" s="245">
        <f t="shared" si="13"/>
        <v>105.13888888888889</v>
      </c>
      <c r="AR26" s="277"/>
      <c r="AS26" s="278"/>
      <c r="AT26" s="245">
        <f t="shared" si="14"/>
        <v>0</v>
      </c>
      <c r="AU26" s="277"/>
      <c r="AV26" s="278"/>
      <c r="AW26" s="245">
        <f t="shared" si="15"/>
        <v>0</v>
      </c>
      <c r="AX26" s="277"/>
      <c r="AY26" s="278"/>
      <c r="AZ26" s="245">
        <f t="shared" si="16"/>
        <v>0</v>
      </c>
      <c r="BA26" s="277"/>
      <c r="BB26" s="278"/>
      <c r="BC26" s="245">
        <f t="shared" si="17"/>
        <v>0</v>
      </c>
      <c r="BF26" s="245">
        <f t="shared" si="18"/>
        <v>0</v>
      </c>
      <c r="BI26" s="245">
        <f t="shared" si="19"/>
        <v>0</v>
      </c>
      <c r="BL26" s="245">
        <f t="shared" si="20"/>
        <v>0</v>
      </c>
      <c r="BO26" s="245">
        <f t="shared" si="21"/>
        <v>0</v>
      </c>
      <c r="BR26" s="245">
        <f t="shared" si="22"/>
        <v>0</v>
      </c>
      <c r="BU26" s="245">
        <f t="shared" si="23"/>
        <v>0</v>
      </c>
      <c r="BX26" s="245">
        <f t="shared" si="24"/>
        <v>0</v>
      </c>
      <c r="CA26" s="245">
        <f t="shared" si="25"/>
        <v>0</v>
      </c>
      <c r="CD26" s="245">
        <f t="shared" si="26"/>
        <v>0</v>
      </c>
      <c r="CG26" s="245">
        <f t="shared" si="27"/>
        <v>0</v>
      </c>
      <c r="CJ26" s="245">
        <f t="shared" si="28"/>
        <v>0</v>
      </c>
      <c r="CM26" s="245">
        <f t="shared" si="29"/>
        <v>0</v>
      </c>
      <c r="CP26" s="245">
        <f t="shared" si="30"/>
        <v>0</v>
      </c>
      <c r="CS26" s="245">
        <f t="shared" si="31"/>
        <v>0</v>
      </c>
      <c r="CV26" s="245">
        <f t="shared" si="32"/>
        <v>0</v>
      </c>
      <c r="CY26" s="245">
        <f t="shared" si="33"/>
        <v>0</v>
      </c>
      <c r="DB26" s="245">
        <f t="shared" si="34"/>
        <v>0</v>
      </c>
      <c r="DE26" s="245">
        <f t="shared" si="35"/>
        <v>0</v>
      </c>
      <c r="DH26" s="245">
        <f t="shared" si="36"/>
        <v>0</v>
      </c>
      <c r="DK26" s="245">
        <f t="shared" si="37"/>
        <v>0</v>
      </c>
      <c r="DN26" s="245">
        <f t="shared" si="38"/>
        <v>0</v>
      </c>
      <c r="DQ26" s="245">
        <f t="shared" si="39"/>
        <v>0</v>
      </c>
      <c r="DT26" s="245">
        <f t="shared" si="40"/>
        <v>0</v>
      </c>
      <c r="DW26" s="245">
        <f t="shared" si="41"/>
        <v>0</v>
      </c>
      <c r="DY26" s="254"/>
      <c r="DZ26" s="243"/>
      <c r="EA26" s="245"/>
      <c r="EB26" s="279">
        <f t="shared" si="42"/>
        <v>294479283.96000004</v>
      </c>
      <c r="EC26" s="279">
        <f t="shared" si="43"/>
        <v>50554283.960000038</v>
      </c>
      <c r="ED26" s="245">
        <f t="shared" si="44"/>
        <v>1959.6103121000001</v>
      </c>
      <c r="EE26" s="246">
        <f t="shared" si="45"/>
        <v>2.3956174535245903E-3</v>
      </c>
      <c r="EG26" s="279">
        <f t="shared" si="46"/>
        <v>0</v>
      </c>
      <c r="EH26" s="245">
        <f t="shared" si="47"/>
        <v>0</v>
      </c>
      <c r="EI26" s="246">
        <f t="shared" si="48"/>
        <v>0</v>
      </c>
      <c r="EJ26" s="246"/>
      <c r="EK26" s="279">
        <f t="shared" si="49"/>
        <v>243925000</v>
      </c>
      <c r="EL26" s="279">
        <f t="shared" si="50"/>
        <v>0</v>
      </c>
      <c r="EM26" s="279">
        <f t="shared" si="51"/>
        <v>1805.1388888888889</v>
      </c>
      <c r="EN26" s="246">
        <f t="shared" si="52"/>
        <v>2.6641385671825357E-3</v>
      </c>
      <c r="EP26" s="245"/>
    </row>
    <row r="27" spans="1:146" x14ac:dyDescent="0.2">
      <c r="A27" s="276">
        <f t="shared" si="53"/>
        <v>44152</v>
      </c>
      <c r="D27" s="245">
        <f t="shared" si="2"/>
        <v>0</v>
      </c>
      <c r="E27" s="245">
        <v>62376928.289999999</v>
      </c>
      <c r="F27" s="246">
        <v>1.1000000000000001E-3</v>
      </c>
      <c r="G27" s="245">
        <f t="shared" si="3"/>
        <v>190.59616977500002</v>
      </c>
      <c r="J27" s="245">
        <f t="shared" si="4"/>
        <v>0</v>
      </c>
      <c r="M27" s="245">
        <f t="shared" si="5"/>
        <v>0</v>
      </c>
      <c r="P27" s="245">
        <f t="shared" si="6"/>
        <v>0</v>
      </c>
      <c r="S27" s="245">
        <f t="shared" si="7"/>
        <v>0</v>
      </c>
      <c r="V27" s="245">
        <f t="shared" si="8"/>
        <v>0</v>
      </c>
      <c r="Y27" s="245">
        <f t="shared" si="9"/>
        <v>0</v>
      </c>
      <c r="AB27" s="245">
        <f t="shared" si="10"/>
        <v>0</v>
      </c>
      <c r="AE27" s="245">
        <v>0</v>
      </c>
      <c r="AH27" s="245">
        <v>0</v>
      </c>
      <c r="AI27" s="277">
        <f t="shared" si="0"/>
        <v>135000000</v>
      </c>
      <c r="AJ27" s="278">
        <v>3.0000000000000001E-3</v>
      </c>
      <c r="AK27" s="245">
        <f t="shared" si="11"/>
        <v>1125</v>
      </c>
      <c r="AL27" s="277">
        <f t="shared" si="1"/>
        <v>90000000</v>
      </c>
      <c r="AM27" s="278">
        <v>2.3E-3</v>
      </c>
      <c r="AN27" s="245">
        <f t="shared" si="12"/>
        <v>575</v>
      </c>
      <c r="AO27" s="277">
        <f>7100000</f>
        <v>7100000</v>
      </c>
      <c r="AP27" s="278">
        <v>2E-3</v>
      </c>
      <c r="AQ27" s="245">
        <f t="shared" si="13"/>
        <v>39.444444444444443</v>
      </c>
      <c r="AR27" s="277"/>
      <c r="AS27" s="278"/>
      <c r="AT27" s="245">
        <f t="shared" si="14"/>
        <v>0</v>
      </c>
      <c r="AU27" s="277"/>
      <c r="AV27" s="278"/>
      <c r="AW27" s="245">
        <f t="shared" si="15"/>
        <v>0</v>
      </c>
      <c r="AX27" s="277"/>
      <c r="AY27" s="278"/>
      <c r="AZ27" s="245">
        <f t="shared" si="16"/>
        <v>0</v>
      </c>
      <c r="BA27" s="277"/>
      <c r="BB27" s="278"/>
      <c r="BC27" s="245">
        <f t="shared" si="17"/>
        <v>0</v>
      </c>
      <c r="BF27" s="245">
        <f t="shared" si="18"/>
        <v>0</v>
      </c>
      <c r="BI27" s="245">
        <f t="shared" si="19"/>
        <v>0</v>
      </c>
      <c r="BL27" s="245">
        <f t="shared" si="20"/>
        <v>0</v>
      </c>
      <c r="BO27" s="245">
        <f t="shared" si="21"/>
        <v>0</v>
      </c>
      <c r="BR27" s="245">
        <f t="shared" si="22"/>
        <v>0</v>
      </c>
      <c r="BU27" s="245">
        <f t="shared" si="23"/>
        <v>0</v>
      </c>
      <c r="BX27" s="245">
        <f t="shared" si="24"/>
        <v>0</v>
      </c>
      <c r="CA27" s="245">
        <f t="shared" si="25"/>
        <v>0</v>
      </c>
      <c r="CD27" s="245">
        <f t="shared" si="26"/>
        <v>0</v>
      </c>
      <c r="CG27" s="245">
        <f t="shared" si="27"/>
        <v>0</v>
      </c>
      <c r="CJ27" s="245">
        <f t="shared" si="28"/>
        <v>0</v>
      </c>
      <c r="CM27" s="245">
        <f t="shared" si="29"/>
        <v>0</v>
      </c>
      <c r="CP27" s="245">
        <f t="shared" si="30"/>
        <v>0</v>
      </c>
      <c r="CS27" s="245">
        <f t="shared" si="31"/>
        <v>0</v>
      </c>
      <c r="CV27" s="245">
        <f t="shared" si="32"/>
        <v>0</v>
      </c>
      <c r="CY27" s="245">
        <f t="shared" si="33"/>
        <v>0</v>
      </c>
      <c r="DB27" s="245">
        <f t="shared" si="34"/>
        <v>0</v>
      </c>
      <c r="DE27" s="245">
        <f t="shared" si="35"/>
        <v>0</v>
      </c>
      <c r="DH27" s="245">
        <f t="shared" si="36"/>
        <v>0</v>
      </c>
      <c r="DK27" s="245">
        <f t="shared" si="37"/>
        <v>0</v>
      </c>
      <c r="DN27" s="245">
        <f t="shared" si="38"/>
        <v>0</v>
      </c>
      <c r="DQ27" s="245">
        <f t="shared" si="39"/>
        <v>0</v>
      </c>
      <c r="DT27" s="245">
        <f t="shared" si="40"/>
        <v>0</v>
      </c>
      <c r="DW27" s="245">
        <f t="shared" si="41"/>
        <v>0</v>
      </c>
      <c r="DY27" s="254"/>
      <c r="DZ27" s="243"/>
      <c r="EA27" s="245"/>
      <c r="EB27" s="279">
        <f t="shared" si="42"/>
        <v>294476928.28999996</v>
      </c>
      <c r="EC27" s="279">
        <f t="shared" si="43"/>
        <v>62376928.289999962</v>
      </c>
      <c r="ED27" s="245">
        <f t="shared" si="44"/>
        <v>1930.0406142194443</v>
      </c>
      <c r="EE27" s="246">
        <f t="shared" si="45"/>
        <v>2.3594874652955785E-3</v>
      </c>
      <c r="EG27" s="279">
        <f t="shared" si="46"/>
        <v>0</v>
      </c>
      <c r="EH27" s="245">
        <f t="shared" si="47"/>
        <v>0</v>
      </c>
      <c r="EI27" s="246">
        <f t="shared" si="48"/>
        <v>0</v>
      </c>
      <c r="EJ27" s="246"/>
      <c r="EK27" s="279">
        <f t="shared" si="49"/>
        <v>232100000</v>
      </c>
      <c r="EL27" s="279">
        <f t="shared" si="50"/>
        <v>0</v>
      </c>
      <c r="EM27" s="279">
        <f t="shared" si="51"/>
        <v>1739.4444444444443</v>
      </c>
      <c r="EN27" s="246">
        <f t="shared" si="52"/>
        <v>2.697975010771219E-3</v>
      </c>
      <c r="EP27" s="245"/>
    </row>
    <row r="28" spans="1:146" x14ac:dyDescent="0.2">
      <c r="A28" s="276">
        <f t="shared" si="53"/>
        <v>44153</v>
      </c>
      <c r="D28" s="245">
        <f t="shared" si="2"/>
        <v>0</v>
      </c>
      <c r="E28" s="245">
        <v>65448902.329999998</v>
      </c>
      <c r="F28" s="246">
        <v>8.9999999999999998E-4</v>
      </c>
      <c r="G28" s="245">
        <f t="shared" si="3"/>
        <v>163.622255825</v>
      </c>
      <c r="J28" s="245">
        <f t="shared" si="4"/>
        <v>0</v>
      </c>
      <c r="M28" s="245">
        <f t="shared" si="5"/>
        <v>0</v>
      </c>
      <c r="P28" s="245">
        <f t="shared" si="6"/>
        <v>0</v>
      </c>
      <c r="S28" s="245">
        <f t="shared" si="7"/>
        <v>0</v>
      </c>
      <c r="V28" s="245">
        <f t="shared" si="8"/>
        <v>0</v>
      </c>
      <c r="Y28" s="245">
        <f t="shared" si="9"/>
        <v>0</v>
      </c>
      <c r="AB28" s="245">
        <f t="shared" si="10"/>
        <v>0</v>
      </c>
      <c r="AE28" s="245">
        <v>0</v>
      </c>
      <c r="AH28" s="245">
        <v>0</v>
      </c>
      <c r="AI28" s="277">
        <f t="shared" si="0"/>
        <v>135000000</v>
      </c>
      <c r="AJ28" s="278">
        <v>3.0000000000000001E-3</v>
      </c>
      <c r="AK28" s="245">
        <f t="shared" si="11"/>
        <v>1125</v>
      </c>
      <c r="AL28" s="277">
        <f t="shared" si="1"/>
        <v>90000000</v>
      </c>
      <c r="AM28" s="278">
        <v>2.3E-3</v>
      </c>
      <c r="AN28" s="245">
        <f t="shared" si="12"/>
        <v>575</v>
      </c>
      <c r="AO28" s="277">
        <f>4175000</f>
        <v>4175000</v>
      </c>
      <c r="AP28" s="278">
        <v>2E-3</v>
      </c>
      <c r="AQ28" s="245">
        <f t="shared" si="13"/>
        <v>23.194444444444443</v>
      </c>
      <c r="AR28" s="277"/>
      <c r="AS28" s="278"/>
      <c r="AT28" s="245">
        <f t="shared" si="14"/>
        <v>0</v>
      </c>
      <c r="AU28" s="277"/>
      <c r="AV28" s="278"/>
      <c r="AW28" s="245">
        <f t="shared" si="15"/>
        <v>0</v>
      </c>
      <c r="AX28" s="277"/>
      <c r="AY28" s="278"/>
      <c r="AZ28" s="245">
        <f t="shared" si="16"/>
        <v>0</v>
      </c>
      <c r="BA28" s="277"/>
      <c r="BB28" s="278"/>
      <c r="BC28" s="245">
        <f t="shared" si="17"/>
        <v>0</v>
      </c>
      <c r="BF28" s="245">
        <f t="shared" si="18"/>
        <v>0</v>
      </c>
      <c r="BI28" s="245">
        <f t="shared" si="19"/>
        <v>0</v>
      </c>
      <c r="BL28" s="245">
        <f t="shared" si="20"/>
        <v>0</v>
      </c>
      <c r="BO28" s="245">
        <f t="shared" si="21"/>
        <v>0</v>
      </c>
      <c r="BR28" s="245">
        <f t="shared" si="22"/>
        <v>0</v>
      </c>
      <c r="BU28" s="245">
        <f t="shared" si="23"/>
        <v>0</v>
      </c>
      <c r="BX28" s="245">
        <f t="shared" si="24"/>
        <v>0</v>
      </c>
      <c r="CA28" s="245">
        <f t="shared" si="25"/>
        <v>0</v>
      </c>
      <c r="CD28" s="245">
        <f t="shared" si="26"/>
        <v>0</v>
      </c>
      <c r="CG28" s="245">
        <f t="shared" si="27"/>
        <v>0</v>
      </c>
      <c r="CJ28" s="245">
        <f t="shared" si="28"/>
        <v>0</v>
      </c>
      <c r="CM28" s="245">
        <f t="shared" si="29"/>
        <v>0</v>
      </c>
      <c r="CP28" s="245">
        <f t="shared" si="30"/>
        <v>0</v>
      </c>
      <c r="CS28" s="245">
        <f t="shared" si="31"/>
        <v>0</v>
      </c>
      <c r="CV28" s="245">
        <f t="shared" si="32"/>
        <v>0</v>
      </c>
      <c r="CY28" s="245">
        <f t="shared" si="33"/>
        <v>0</v>
      </c>
      <c r="DB28" s="245">
        <f t="shared" si="34"/>
        <v>0</v>
      </c>
      <c r="DE28" s="245">
        <f t="shared" si="35"/>
        <v>0</v>
      </c>
      <c r="DH28" s="245">
        <f t="shared" si="36"/>
        <v>0</v>
      </c>
      <c r="DK28" s="245">
        <f t="shared" si="37"/>
        <v>0</v>
      </c>
      <c r="DN28" s="245">
        <f t="shared" si="38"/>
        <v>0</v>
      </c>
      <c r="DQ28" s="245">
        <f t="shared" si="39"/>
        <v>0</v>
      </c>
      <c r="DT28" s="245">
        <f t="shared" si="40"/>
        <v>0</v>
      </c>
      <c r="DW28" s="245">
        <f t="shared" si="41"/>
        <v>0</v>
      </c>
      <c r="DY28" s="254"/>
      <c r="DZ28" s="243"/>
      <c r="EA28" s="245"/>
      <c r="EB28" s="279">
        <f t="shared" si="42"/>
        <v>294623902.32999998</v>
      </c>
      <c r="EC28" s="279">
        <f t="shared" si="43"/>
        <v>65448902.329999983</v>
      </c>
      <c r="ED28" s="245">
        <f t="shared" si="44"/>
        <v>1886.8167002694443</v>
      </c>
      <c r="EE28" s="246">
        <f t="shared" si="45"/>
        <v>2.3054952660839668E-3</v>
      </c>
      <c r="EG28" s="279">
        <f t="shared" si="46"/>
        <v>0</v>
      </c>
      <c r="EH28" s="245">
        <f t="shared" si="47"/>
        <v>0</v>
      </c>
      <c r="EI28" s="246">
        <f t="shared" si="48"/>
        <v>0</v>
      </c>
      <c r="EJ28" s="246"/>
      <c r="EK28" s="279">
        <f t="shared" si="49"/>
        <v>229175000</v>
      </c>
      <c r="EL28" s="279">
        <f t="shared" si="50"/>
        <v>0</v>
      </c>
      <c r="EM28" s="279">
        <f t="shared" si="51"/>
        <v>1723.1944444444443</v>
      </c>
      <c r="EN28" s="246">
        <f t="shared" si="52"/>
        <v>2.7068833860586887E-3</v>
      </c>
      <c r="EP28" s="245"/>
    </row>
    <row r="29" spans="1:146" x14ac:dyDescent="0.2">
      <c r="A29" s="276">
        <f t="shared" si="53"/>
        <v>44154</v>
      </c>
      <c r="D29" s="245">
        <f t="shared" si="2"/>
        <v>0</v>
      </c>
      <c r="E29" s="245">
        <v>65266125.810000002</v>
      </c>
      <c r="F29" s="246">
        <v>1.1999999999999999E-3</v>
      </c>
      <c r="G29" s="245">
        <f t="shared" si="3"/>
        <v>217.55375269999999</v>
      </c>
      <c r="J29" s="245">
        <f t="shared" si="4"/>
        <v>0</v>
      </c>
      <c r="M29" s="245">
        <f t="shared" si="5"/>
        <v>0</v>
      </c>
      <c r="P29" s="245">
        <f t="shared" si="6"/>
        <v>0</v>
      </c>
      <c r="S29" s="245">
        <f t="shared" si="7"/>
        <v>0</v>
      </c>
      <c r="V29" s="245">
        <f t="shared" si="8"/>
        <v>0</v>
      </c>
      <c r="Y29" s="245">
        <f t="shared" si="9"/>
        <v>0</v>
      </c>
      <c r="AB29" s="245">
        <f t="shared" si="10"/>
        <v>0</v>
      </c>
      <c r="AE29" s="245">
        <v>0</v>
      </c>
      <c r="AH29" s="245">
        <v>0</v>
      </c>
      <c r="AI29" s="277">
        <f t="shared" si="0"/>
        <v>135000000</v>
      </c>
      <c r="AJ29" s="278">
        <v>3.0000000000000001E-3</v>
      </c>
      <c r="AK29" s="245">
        <f t="shared" si="11"/>
        <v>1125</v>
      </c>
      <c r="AL29" s="277">
        <f t="shared" si="1"/>
        <v>90000000</v>
      </c>
      <c r="AM29" s="278">
        <v>2.3E-3</v>
      </c>
      <c r="AN29" s="245">
        <f t="shared" si="12"/>
        <v>575</v>
      </c>
      <c r="AO29" s="277">
        <f>4375000</f>
        <v>4375000</v>
      </c>
      <c r="AP29" s="278">
        <v>2E-3</v>
      </c>
      <c r="AQ29" s="245">
        <f t="shared" si="13"/>
        <v>24.305555555555557</v>
      </c>
      <c r="AR29" s="277"/>
      <c r="AS29" s="278"/>
      <c r="AT29" s="245">
        <f t="shared" si="14"/>
        <v>0</v>
      </c>
      <c r="AU29" s="277"/>
      <c r="AV29" s="278"/>
      <c r="AW29" s="245">
        <f t="shared" si="15"/>
        <v>0</v>
      </c>
      <c r="AX29" s="277"/>
      <c r="AY29" s="278"/>
      <c r="AZ29" s="245">
        <f t="shared" si="16"/>
        <v>0</v>
      </c>
      <c r="BA29" s="277"/>
      <c r="BB29" s="278"/>
      <c r="BC29" s="245">
        <f t="shared" si="17"/>
        <v>0</v>
      </c>
      <c r="BF29" s="245">
        <f t="shared" si="18"/>
        <v>0</v>
      </c>
      <c r="BI29" s="245">
        <f t="shared" si="19"/>
        <v>0</v>
      </c>
      <c r="BL29" s="245">
        <f t="shared" si="20"/>
        <v>0</v>
      </c>
      <c r="BO29" s="245">
        <f t="shared" si="21"/>
        <v>0</v>
      </c>
      <c r="BR29" s="245">
        <f t="shared" si="22"/>
        <v>0</v>
      </c>
      <c r="BU29" s="245">
        <f t="shared" si="23"/>
        <v>0</v>
      </c>
      <c r="BX29" s="245">
        <f t="shared" si="24"/>
        <v>0</v>
      </c>
      <c r="CA29" s="245">
        <f t="shared" si="25"/>
        <v>0</v>
      </c>
      <c r="CD29" s="245">
        <f t="shared" si="26"/>
        <v>0</v>
      </c>
      <c r="CG29" s="245">
        <f t="shared" si="27"/>
        <v>0</v>
      </c>
      <c r="CJ29" s="245">
        <f t="shared" si="28"/>
        <v>0</v>
      </c>
      <c r="CM29" s="245">
        <f t="shared" si="29"/>
        <v>0</v>
      </c>
      <c r="CP29" s="245">
        <f t="shared" si="30"/>
        <v>0</v>
      </c>
      <c r="CS29" s="245">
        <f t="shared" si="31"/>
        <v>0</v>
      </c>
      <c r="CV29" s="245">
        <f t="shared" si="32"/>
        <v>0</v>
      </c>
      <c r="CY29" s="245">
        <f t="shared" si="33"/>
        <v>0</v>
      </c>
      <c r="DB29" s="245">
        <f t="shared" si="34"/>
        <v>0</v>
      </c>
      <c r="DE29" s="245">
        <f t="shared" si="35"/>
        <v>0</v>
      </c>
      <c r="DH29" s="245">
        <f t="shared" si="36"/>
        <v>0</v>
      </c>
      <c r="DK29" s="245">
        <f t="shared" si="37"/>
        <v>0</v>
      </c>
      <c r="DN29" s="245">
        <f t="shared" si="38"/>
        <v>0</v>
      </c>
      <c r="DQ29" s="245">
        <f t="shared" si="39"/>
        <v>0</v>
      </c>
      <c r="DT29" s="245">
        <f t="shared" si="40"/>
        <v>0</v>
      </c>
      <c r="DW29" s="245">
        <f t="shared" si="41"/>
        <v>0</v>
      </c>
      <c r="DY29" s="254"/>
      <c r="DZ29" s="243"/>
      <c r="EA29" s="245"/>
      <c r="EB29" s="279">
        <f t="shared" si="42"/>
        <v>294641125.81</v>
      </c>
      <c r="EC29" s="279">
        <f t="shared" si="43"/>
        <v>65266125.810000002</v>
      </c>
      <c r="ED29" s="245">
        <f t="shared" si="44"/>
        <v>1941.8593082555556</v>
      </c>
      <c r="EE29" s="246">
        <f t="shared" si="45"/>
        <v>2.3726129509252431E-3</v>
      </c>
      <c r="EG29" s="279">
        <f t="shared" si="46"/>
        <v>0</v>
      </c>
      <c r="EH29" s="245">
        <f t="shared" si="47"/>
        <v>0</v>
      </c>
      <c r="EI29" s="246">
        <f t="shared" si="48"/>
        <v>0</v>
      </c>
      <c r="EJ29" s="246"/>
      <c r="EK29" s="279">
        <f t="shared" si="49"/>
        <v>229375000</v>
      </c>
      <c r="EL29" s="279">
        <f t="shared" si="50"/>
        <v>0</v>
      </c>
      <c r="EM29" s="279">
        <f t="shared" si="51"/>
        <v>1724.3055555555557</v>
      </c>
      <c r="EN29" s="246">
        <f t="shared" si="52"/>
        <v>2.7062670299727522E-3</v>
      </c>
      <c r="EP29" s="245"/>
    </row>
    <row r="30" spans="1:146" x14ac:dyDescent="0.2">
      <c r="A30" s="276">
        <f t="shared" si="53"/>
        <v>44155</v>
      </c>
      <c r="D30" s="245">
        <f t="shared" si="2"/>
        <v>0</v>
      </c>
      <c r="E30" s="245">
        <v>119653672.2</v>
      </c>
      <c r="F30" s="246">
        <v>8.9999999999999998E-4</v>
      </c>
      <c r="G30" s="245">
        <f t="shared" si="3"/>
        <v>299.13418050000001</v>
      </c>
      <c r="J30" s="245">
        <f t="shared" si="4"/>
        <v>0</v>
      </c>
      <c r="M30" s="245">
        <f t="shared" si="5"/>
        <v>0</v>
      </c>
      <c r="P30" s="245">
        <f t="shared" si="6"/>
        <v>0</v>
      </c>
      <c r="S30" s="245">
        <f t="shared" si="7"/>
        <v>0</v>
      </c>
      <c r="V30" s="245">
        <f t="shared" si="8"/>
        <v>0</v>
      </c>
      <c r="Y30" s="245">
        <f t="shared" si="9"/>
        <v>0</v>
      </c>
      <c r="AB30" s="245">
        <f t="shared" si="10"/>
        <v>0</v>
      </c>
      <c r="AE30" s="245">
        <v>0</v>
      </c>
      <c r="AH30" s="245">
        <v>0</v>
      </c>
      <c r="AI30" s="277">
        <f t="shared" si="0"/>
        <v>135000000</v>
      </c>
      <c r="AJ30" s="278">
        <v>3.0000000000000001E-3</v>
      </c>
      <c r="AK30" s="245">
        <f t="shared" si="11"/>
        <v>1125</v>
      </c>
      <c r="AL30" s="277">
        <f>30000000</f>
        <v>30000000</v>
      </c>
      <c r="AM30" s="278">
        <v>3.0000000000000001E-3</v>
      </c>
      <c r="AN30" s="245">
        <f t="shared" si="12"/>
        <v>250</v>
      </c>
      <c r="AO30" s="277">
        <f>5700000</f>
        <v>5700000</v>
      </c>
      <c r="AP30" s="278">
        <v>2E-3</v>
      </c>
      <c r="AQ30" s="245">
        <f t="shared" si="13"/>
        <v>31.666666666666668</v>
      </c>
      <c r="AR30" s="277"/>
      <c r="AS30" s="278"/>
      <c r="AT30" s="245">
        <f t="shared" si="14"/>
        <v>0</v>
      </c>
      <c r="AU30" s="277"/>
      <c r="AV30" s="278"/>
      <c r="AW30" s="245">
        <f t="shared" si="15"/>
        <v>0</v>
      </c>
      <c r="AX30" s="277"/>
      <c r="AY30" s="278"/>
      <c r="AZ30" s="245">
        <f t="shared" si="16"/>
        <v>0</v>
      </c>
      <c r="BA30" s="277"/>
      <c r="BB30" s="278"/>
      <c r="BC30" s="245">
        <f t="shared" si="17"/>
        <v>0</v>
      </c>
      <c r="BF30" s="245">
        <f t="shared" si="18"/>
        <v>0</v>
      </c>
      <c r="BI30" s="245">
        <f t="shared" si="19"/>
        <v>0</v>
      </c>
      <c r="BL30" s="245">
        <f t="shared" si="20"/>
        <v>0</v>
      </c>
      <c r="BO30" s="245">
        <f t="shared" si="21"/>
        <v>0</v>
      </c>
      <c r="BR30" s="245">
        <f t="shared" si="22"/>
        <v>0</v>
      </c>
      <c r="BU30" s="245">
        <f t="shared" si="23"/>
        <v>0</v>
      </c>
      <c r="BX30" s="245">
        <f t="shared" si="24"/>
        <v>0</v>
      </c>
      <c r="CA30" s="245">
        <f t="shared" si="25"/>
        <v>0</v>
      </c>
      <c r="CD30" s="245">
        <f t="shared" si="26"/>
        <v>0</v>
      </c>
      <c r="CG30" s="245">
        <f t="shared" si="27"/>
        <v>0</v>
      </c>
      <c r="CJ30" s="245">
        <f t="shared" si="28"/>
        <v>0</v>
      </c>
      <c r="CM30" s="245">
        <f t="shared" si="29"/>
        <v>0</v>
      </c>
      <c r="CP30" s="245">
        <f t="shared" si="30"/>
        <v>0</v>
      </c>
      <c r="CS30" s="245">
        <f t="shared" si="31"/>
        <v>0</v>
      </c>
      <c r="CV30" s="245">
        <f t="shared" si="32"/>
        <v>0</v>
      </c>
      <c r="CY30" s="245">
        <f t="shared" si="33"/>
        <v>0</v>
      </c>
      <c r="DB30" s="245">
        <f t="shared" si="34"/>
        <v>0</v>
      </c>
      <c r="DE30" s="245">
        <f t="shared" si="35"/>
        <v>0</v>
      </c>
      <c r="DH30" s="245">
        <f t="shared" si="36"/>
        <v>0</v>
      </c>
      <c r="DK30" s="245">
        <f t="shared" si="37"/>
        <v>0</v>
      </c>
      <c r="DN30" s="245">
        <f t="shared" si="38"/>
        <v>0</v>
      </c>
      <c r="DQ30" s="245">
        <f t="shared" si="39"/>
        <v>0</v>
      </c>
      <c r="DT30" s="245">
        <f t="shared" si="40"/>
        <v>0</v>
      </c>
      <c r="DW30" s="245">
        <f t="shared" si="41"/>
        <v>0</v>
      </c>
      <c r="DY30" s="254"/>
      <c r="DZ30" s="243"/>
      <c r="EA30" s="245"/>
      <c r="EB30" s="279">
        <f t="shared" si="42"/>
        <v>290353672.19999999</v>
      </c>
      <c r="EC30" s="279">
        <f t="shared" si="43"/>
        <v>119653672.19999999</v>
      </c>
      <c r="ED30" s="245">
        <f t="shared" si="44"/>
        <v>1705.8008471666667</v>
      </c>
      <c r="EE30" s="246">
        <f t="shared" si="45"/>
        <v>2.1149665520917081E-3</v>
      </c>
      <c r="EG30" s="279">
        <f t="shared" si="46"/>
        <v>0</v>
      </c>
      <c r="EH30" s="245">
        <f t="shared" si="47"/>
        <v>0</v>
      </c>
      <c r="EI30" s="246">
        <f t="shared" si="48"/>
        <v>0</v>
      </c>
      <c r="EJ30" s="246"/>
      <c r="EK30" s="279">
        <f t="shared" si="49"/>
        <v>170700000</v>
      </c>
      <c r="EL30" s="279">
        <f t="shared" si="50"/>
        <v>0</v>
      </c>
      <c r="EM30" s="279">
        <f t="shared" si="51"/>
        <v>1406.6666666666667</v>
      </c>
      <c r="EN30" s="246">
        <f t="shared" si="52"/>
        <v>2.966608084358524E-3</v>
      </c>
      <c r="EP30" s="245"/>
    </row>
    <row r="31" spans="1:146" x14ac:dyDescent="0.2">
      <c r="A31" s="276">
        <f t="shared" si="53"/>
        <v>44156</v>
      </c>
      <c r="D31" s="245">
        <f t="shared" si="2"/>
        <v>0</v>
      </c>
      <c r="E31" s="245">
        <v>119653672.2</v>
      </c>
      <c r="F31" s="246">
        <v>8.9999999999999998E-4</v>
      </c>
      <c r="G31" s="245">
        <f t="shared" si="3"/>
        <v>299.13418050000001</v>
      </c>
      <c r="J31" s="245">
        <f t="shared" si="4"/>
        <v>0</v>
      </c>
      <c r="M31" s="245">
        <f t="shared" si="5"/>
        <v>0</v>
      </c>
      <c r="P31" s="245">
        <f t="shared" si="6"/>
        <v>0</v>
      </c>
      <c r="S31" s="245">
        <f t="shared" si="7"/>
        <v>0</v>
      </c>
      <c r="V31" s="245">
        <f t="shared" si="8"/>
        <v>0</v>
      </c>
      <c r="Y31" s="245">
        <f t="shared" si="9"/>
        <v>0</v>
      </c>
      <c r="AB31" s="245">
        <f t="shared" si="10"/>
        <v>0</v>
      </c>
      <c r="AE31" s="245">
        <v>0</v>
      </c>
      <c r="AH31" s="245">
        <v>0</v>
      </c>
      <c r="AI31" s="277">
        <f t="shared" si="0"/>
        <v>135000000</v>
      </c>
      <c r="AJ31" s="278">
        <v>3.0000000000000001E-3</v>
      </c>
      <c r="AK31" s="245">
        <f t="shared" si="11"/>
        <v>1125</v>
      </c>
      <c r="AL31" s="277">
        <f>30000000</f>
        <v>30000000</v>
      </c>
      <c r="AM31" s="278">
        <v>3.0000000000000001E-3</v>
      </c>
      <c r="AN31" s="245">
        <f t="shared" si="12"/>
        <v>250</v>
      </c>
      <c r="AO31" s="277">
        <f>5700000</f>
        <v>5700000</v>
      </c>
      <c r="AP31" s="278">
        <v>2E-3</v>
      </c>
      <c r="AQ31" s="245">
        <f t="shared" si="13"/>
        <v>31.666666666666668</v>
      </c>
      <c r="AR31" s="277"/>
      <c r="AS31" s="278"/>
      <c r="AT31" s="245">
        <f t="shared" si="14"/>
        <v>0</v>
      </c>
      <c r="AU31" s="277"/>
      <c r="AV31" s="278"/>
      <c r="AW31" s="245">
        <f t="shared" si="15"/>
        <v>0</v>
      </c>
      <c r="AX31" s="277"/>
      <c r="AY31" s="278"/>
      <c r="AZ31" s="245">
        <f t="shared" si="16"/>
        <v>0</v>
      </c>
      <c r="BA31" s="277"/>
      <c r="BB31" s="278"/>
      <c r="BC31" s="245">
        <f t="shared" si="17"/>
        <v>0</v>
      </c>
      <c r="BF31" s="245">
        <f t="shared" si="18"/>
        <v>0</v>
      </c>
      <c r="BI31" s="245">
        <f t="shared" si="19"/>
        <v>0</v>
      </c>
      <c r="BL31" s="245">
        <f t="shared" si="20"/>
        <v>0</v>
      </c>
      <c r="BO31" s="245">
        <f t="shared" si="21"/>
        <v>0</v>
      </c>
      <c r="BR31" s="245">
        <f t="shared" si="22"/>
        <v>0</v>
      </c>
      <c r="BU31" s="245">
        <f t="shared" si="23"/>
        <v>0</v>
      </c>
      <c r="BX31" s="245">
        <f t="shared" si="24"/>
        <v>0</v>
      </c>
      <c r="CA31" s="245">
        <f t="shared" si="25"/>
        <v>0</v>
      </c>
      <c r="CD31" s="245">
        <f t="shared" si="26"/>
        <v>0</v>
      </c>
      <c r="CG31" s="245">
        <f t="shared" si="27"/>
        <v>0</v>
      </c>
      <c r="CJ31" s="245">
        <f t="shared" si="28"/>
        <v>0</v>
      </c>
      <c r="CM31" s="245">
        <f t="shared" si="29"/>
        <v>0</v>
      </c>
      <c r="CP31" s="245">
        <f t="shared" si="30"/>
        <v>0</v>
      </c>
      <c r="CS31" s="245">
        <f t="shared" si="31"/>
        <v>0</v>
      </c>
      <c r="CV31" s="245">
        <f t="shared" si="32"/>
        <v>0</v>
      </c>
      <c r="CY31" s="245">
        <f t="shared" si="33"/>
        <v>0</v>
      </c>
      <c r="DB31" s="245">
        <f t="shared" si="34"/>
        <v>0</v>
      </c>
      <c r="DE31" s="245">
        <f t="shared" si="35"/>
        <v>0</v>
      </c>
      <c r="DH31" s="245">
        <f t="shared" si="36"/>
        <v>0</v>
      </c>
      <c r="DK31" s="245">
        <f t="shared" si="37"/>
        <v>0</v>
      </c>
      <c r="DN31" s="245">
        <f t="shared" si="38"/>
        <v>0</v>
      </c>
      <c r="DQ31" s="245">
        <f t="shared" si="39"/>
        <v>0</v>
      </c>
      <c r="DT31" s="245">
        <f t="shared" si="40"/>
        <v>0</v>
      </c>
      <c r="DW31" s="245">
        <f t="shared" si="41"/>
        <v>0</v>
      </c>
      <c r="DY31" s="254"/>
      <c r="DZ31" s="243"/>
      <c r="EA31" s="245"/>
      <c r="EB31" s="279">
        <f t="shared" si="42"/>
        <v>290353672.19999999</v>
      </c>
      <c r="EC31" s="279">
        <f t="shared" si="43"/>
        <v>119653672.19999999</v>
      </c>
      <c r="ED31" s="245">
        <f t="shared" si="44"/>
        <v>1705.8008471666667</v>
      </c>
      <c r="EE31" s="246">
        <f t="shared" si="45"/>
        <v>2.1149665520917081E-3</v>
      </c>
      <c r="EG31" s="279">
        <f t="shared" si="46"/>
        <v>0</v>
      </c>
      <c r="EH31" s="245">
        <f t="shared" si="47"/>
        <v>0</v>
      </c>
      <c r="EI31" s="246">
        <f t="shared" si="48"/>
        <v>0</v>
      </c>
      <c r="EJ31" s="246"/>
      <c r="EK31" s="279">
        <f t="shared" si="49"/>
        <v>170700000</v>
      </c>
      <c r="EL31" s="279">
        <f t="shared" si="50"/>
        <v>0</v>
      </c>
      <c r="EM31" s="279">
        <f t="shared" si="51"/>
        <v>1406.6666666666667</v>
      </c>
      <c r="EN31" s="246">
        <f t="shared" si="52"/>
        <v>2.966608084358524E-3</v>
      </c>
      <c r="EP31" s="245"/>
    </row>
    <row r="32" spans="1:146" x14ac:dyDescent="0.2">
      <c r="A32" s="276">
        <f t="shared" si="53"/>
        <v>44157</v>
      </c>
      <c r="D32" s="245">
        <f t="shared" si="2"/>
        <v>0</v>
      </c>
      <c r="E32" s="245">
        <v>119653672.2</v>
      </c>
      <c r="F32" s="246">
        <v>8.9999999999999998E-4</v>
      </c>
      <c r="G32" s="245">
        <f t="shared" si="3"/>
        <v>299.13418050000001</v>
      </c>
      <c r="J32" s="245">
        <f t="shared" si="4"/>
        <v>0</v>
      </c>
      <c r="M32" s="245">
        <f t="shared" si="5"/>
        <v>0</v>
      </c>
      <c r="P32" s="245">
        <f t="shared" si="6"/>
        <v>0</v>
      </c>
      <c r="S32" s="245">
        <f t="shared" si="7"/>
        <v>0</v>
      </c>
      <c r="V32" s="245">
        <f t="shared" si="8"/>
        <v>0</v>
      </c>
      <c r="Y32" s="245">
        <f t="shared" si="9"/>
        <v>0</v>
      </c>
      <c r="AB32" s="245">
        <f t="shared" si="10"/>
        <v>0</v>
      </c>
      <c r="AE32" s="245">
        <v>0</v>
      </c>
      <c r="AH32" s="245">
        <v>0</v>
      </c>
      <c r="AI32" s="277">
        <f t="shared" si="0"/>
        <v>135000000</v>
      </c>
      <c r="AJ32" s="278">
        <v>3.0000000000000001E-3</v>
      </c>
      <c r="AK32" s="245">
        <f t="shared" si="11"/>
        <v>1125</v>
      </c>
      <c r="AL32" s="277">
        <f>30000000</f>
        <v>30000000</v>
      </c>
      <c r="AM32" s="278">
        <v>3.0000000000000001E-3</v>
      </c>
      <c r="AN32" s="245">
        <f t="shared" si="12"/>
        <v>250</v>
      </c>
      <c r="AO32" s="277">
        <f>5700000</f>
        <v>5700000</v>
      </c>
      <c r="AP32" s="278">
        <v>2E-3</v>
      </c>
      <c r="AQ32" s="245">
        <f t="shared" si="13"/>
        <v>31.666666666666668</v>
      </c>
      <c r="AR32" s="277"/>
      <c r="AS32" s="278"/>
      <c r="AT32" s="245">
        <f t="shared" si="14"/>
        <v>0</v>
      </c>
      <c r="AU32" s="277"/>
      <c r="AV32" s="278"/>
      <c r="AW32" s="245">
        <f t="shared" si="15"/>
        <v>0</v>
      </c>
      <c r="AX32" s="277"/>
      <c r="AY32" s="278"/>
      <c r="AZ32" s="245">
        <f t="shared" si="16"/>
        <v>0</v>
      </c>
      <c r="BA32" s="277"/>
      <c r="BB32" s="278"/>
      <c r="BC32" s="245">
        <f t="shared" si="17"/>
        <v>0</v>
      </c>
      <c r="BF32" s="245">
        <f t="shared" si="18"/>
        <v>0</v>
      </c>
      <c r="BI32" s="245">
        <f t="shared" si="19"/>
        <v>0</v>
      </c>
      <c r="BL32" s="245">
        <f t="shared" si="20"/>
        <v>0</v>
      </c>
      <c r="BO32" s="245">
        <f t="shared" si="21"/>
        <v>0</v>
      </c>
      <c r="BR32" s="245">
        <f t="shared" si="22"/>
        <v>0</v>
      </c>
      <c r="BU32" s="245">
        <f t="shared" si="23"/>
        <v>0</v>
      </c>
      <c r="BX32" s="245">
        <f t="shared" si="24"/>
        <v>0</v>
      </c>
      <c r="CA32" s="245">
        <f t="shared" si="25"/>
        <v>0</v>
      </c>
      <c r="CD32" s="245">
        <f t="shared" si="26"/>
        <v>0</v>
      </c>
      <c r="CG32" s="245">
        <f t="shared" si="27"/>
        <v>0</v>
      </c>
      <c r="CJ32" s="245">
        <f t="shared" si="28"/>
        <v>0</v>
      </c>
      <c r="CM32" s="245">
        <f t="shared" si="29"/>
        <v>0</v>
      </c>
      <c r="CP32" s="245">
        <f t="shared" si="30"/>
        <v>0</v>
      </c>
      <c r="CS32" s="245">
        <f t="shared" si="31"/>
        <v>0</v>
      </c>
      <c r="CV32" s="245">
        <f t="shared" si="32"/>
        <v>0</v>
      </c>
      <c r="CY32" s="245">
        <f t="shared" si="33"/>
        <v>0</v>
      </c>
      <c r="DB32" s="245">
        <f t="shared" si="34"/>
        <v>0</v>
      </c>
      <c r="DE32" s="245">
        <f t="shared" si="35"/>
        <v>0</v>
      </c>
      <c r="DH32" s="245">
        <f t="shared" si="36"/>
        <v>0</v>
      </c>
      <c r="DK32" s="245">
        <f t="shared" si="37"/>
        <v>0</v>
      </c>
      <c r="DN32" s="245">
        <f t="shared" si="38"/>
        <v>0</v>
      </c>
      <c r="DQ32" s="245">
        <f t="shared" si="39"/>
        <v>0</v>
      </c>
      <c r="DT32" s="245">
        <f t="shared" si="40"/>
        <v>0</v>
      </c>
      <c r="DW32" s="245">
        <f t="shared" si="41"/>
        <v>0</v>
      </c>
      <c r="DY32" s="254"/>
      <c r="DZ32" s="243"/>
      <c r="EA32" s="245"/>
      <c r="EB32" s="279">
        <f t="shared" si="42"/>
        <v>290353672.19999999</v>
      </c>
      <c r="EC32" s="279">
        <f t="shared" si="43"/>
        <v>119653672.19999999</v>
      </c>
      <c r="ED32" s="245">
        <f t="shared" si="44"/>
        <v>1705.8008471666667</v>
      </c>
      <c r="EE32" s="246">
        <f t="shared" si="45"/>
        <v>2.1149665520917081E-3</v>
      </c>
      <c r="EG32" s="279">
        <f t="shared" si="46"/>
        <v>0</v>
      </c>
      <c r="EH32" s="245">
        <f t="shared" si="47"/>
        <v>0</v>
      </c>
      <c r="EI32" s="246">
        <f t="shared" si="48"/>
        <v>0</v>
      </c>
      <c r="EJ32" s="246"/>
      <c r="EK32" s="279">
        <f t="shared" si="49"/>
        <v>170700000</v>
      </c>
      <c r="EL32" s="279">
        <f t="shared" si="50"/>
        <v>0</v>
      </c>
      <c r="EM32" s="279">
        <f t="shared" si="51"/>
        <v>1406.6666666666667</v>
      </c>
      <c r="EN32" s="246">
        <f t="shared" si="52"/>
        <v>2.966608084358524E-3</v>
      </c>
      <c r="EP32" s="245"/>
    </row>
    <row r="33" spans="1:146" x14ac:dyDescent="0.2">
      <c r="A33" s="276">
        <f t="shared" si="53"/>
        <v>44158</v>
      </c>
      <c r="D33" s="245">
        <f t="shared" si="2"/>
        <v>0</v>
      </c>
      <c r="E33" s="245">
        <v>106525646.17</v>
      </c>
      <c r="F33" s="246">
        <v>8.9999999999999998E-4</v>
      </c>
      <c r="G33" s="245">
        <f t="shared" si="3"/>
        <v>266.31411542500001</v>
      </c>
      <c r="J33" s="245">
        <f t="shared" si="4"/>
        <v>0</v>
      </c>
      <c r="M33" s="245">
        <f t="shared" si="5"/>
        <v>0</v>
      </c>
      <c r="P33" s="245">
        <f t="shared" si="6"/>
        <v>0</v>
      </c>
      <c r="S33" s="245">
        <f t="shared" si="7"/>
        <v>0</v>
      </c>
      <c r="V33" s="245">
        <f t="shared" si="8"/>
        <v>0</v>
      </c>
      <c r="Y33" s="245">
        <f t="shared" si="9"/>
        <v>0</v>
      </c>
      <c r="AB33" s="245">
        <f t="shared" si="10"/>
        <v>0</v>
      </c>
      <c r="AE33" s="245">
        <v>0</v>
      </c>
      <c r="AH33" s="245">
        <v>0</v>
      </c>
      <c r="AI33" s="277">
        <f t="shared" si="0"/>
        <v>135000000</v>
      </c>
      <c r="AJ33" s="278">
        <v>3.0000000000000001E-3</v>
      </c>
      <c r="AK33" s="245">
        <f t="shared" si="11"/>
        <v>1125</v>
      </c>
      <c r="AL33" s="277">
        <f>30000000</f>
        <v>30000000</v>
      </c>
      <c r="AM33" s="278">
        <v>3.0000000000000001E-3</v>
      </c>
      <c r="AN33" s="245">
        <f t="shared" si="12"/>
        <v>250</v>
      </c>
      <c r="AO33" s="277">
        <f>18825000</f>
        <v>18825000</v>
      </c>
      <c r="AP33" s="278">
        <v>2E-3</v>
      </c>
      <c r="AQ33" s="245">
        <f t="shared" si="13"/>
        <v>104.58333333333333</v>
      </c>
      <c r="AR33" s="277"/>
      <c r="AS33" s="278"/>
      <c r="AT33" s="245">
        <f t="shared" si="14"/>
        <v>0</v>
      </c>
      <c r="AU33" s="277"/>
      <c r="AV33" s="278"/>
      <c r="AW33" s="245">
        <f t="shared" si="15"/>
        <v>0</v>
      </c>
      <c r="AX33" s="277"/>
      <c r="AY33" s="278"/>
      <c r="AZ33" s="245">
        <f t="shared" si="16"/>
        <v>0</v>
      </c>
      <c r="BA33" s="277"/>
      <c r="BB33" s="278"/>
      <c r="BC33" s="245">
        <f t="shared" si="17"/>
        <v>0</v>
      </c>
      <c r="BF33" s="245">
        <f t="shared" si="18"/>
        <v>0</v>
      </c>
      <c r="BI33" s="245">
        <f t="shared" si="19"/>
        <v>0</v>
      </c>
      <c r="BL33" s="245">
        <f t="shared" si="20"/>
        <v>0</v>
      </c>
      <c r="BO33" s="245">
        <f t="shared" si="21"/>
        <v>0</v>
      </c>
      <c r="BR33" s="245">
        <f t="shared" si="22"/>
        <v>0</v>
      </c>
      <c r="BU33" s="245">
        <f t="shared" si="23"/>
        <v>0</v>
      </c>
      <c r="BX33" s="245">
        <f t="shared" si="24"/>
        <v>0</v>
      </c>
      <c r="CA33" s="245">
        <f t="shared" si="25"/>
        <v>0</v>
      </c>
      <c r="CD33" s="245">
        <f t="shared" si="26"/>
        <v>0</v>
      </c>
      <c r="CG33" s="245">
        <f t="shared" si="27"/>
        <v>0</v>
      </c>
      <c r="CJ33" s="245">
        <f t="shared" si="28"/>
        <v>0</v>
      </c>
      <c r="CM33" s="245">
        <f t="shared" si="29"/>
        <v>0</v>
      </c>
      <c r="CP33" s="245">
        <f t="shared" si="30"/>
        <v>0</v>
      </c>
      <c r="CS33" s="245">
        <f t="shared" si="31"/>
        <v>0</v>
      </c>
      <c r="CV33" s="245">
        <f t="shared" si="32"/>
        <v>0</v>
      </c>
      <c r="CY33" s="245">
        <f t="shared" si="33"/>
        <v>0</v>
      </c>
      <c r="DB33" s="245">
        <f t="shared" si="34"/>
        <v>0</v>
      </c>
      <c r="DE33" s="245">
        <f t="shared" si="35"/>
        <v>0</v>
      </c>
      <c r="DH33" s="245">
        <f t="shared" si="36"/>
        <v>0</v>
      </c>
      <c r="DK33" s="245">
        <f t="shared" si="37"/>
        <v>0</v>
      </c>
      <c r="DN33" s="245">
        <f t="shared" si="38"/>
        <v>0</v>
      </c>
      <c r="DQ33" s="245">
        <f t="shared" si="39"/>
        <v>0</v>
      </c>
      <c r="DT33" s="245">
        <f t="shared" si="40"/>
        <v>0</v>
      </c>
      <c r="DW33" s="245">
        <f t="shared" si="41"/>
        <v>0</v>
      </c>
      <c r="DY33" s="254"/>
      <c r="DZ33" s="243"/>
      <c r="EA33" s="245"/>
      <c r="EB33" s="279">
        <f t="shared" si="42"/>
        <v>290350646.17000002</v>
      </c>
      <c r="EC33" s="279">
        <f t="shared" si="43"/>
        <v>106525646.17000002</v>
      </c>
      <c r="ED33" s="245">
        <f t="shared" si="44"/>
        <v>1745.8974487583332</v>
      </c>
      <c r="EE33" s="246">
        <f t="shared" si="45"/>
        <v>2.1647035742603455E-3</v>
      </c>
      <c r="EG33" s="279">
        <f t="shared" si="46"/>
        <v>0</v>
      </c>
      <c r="EH33" s="245">
        <f t="shared" si="47"/>
        <v>0</v>
      </c>
      <c r="EI33" s="246">
        <f t="shared" si="48"/>
        <v>0</v>
      </c>
      <c r="EJ33" s="246"/>
      <c r="EK33" s="279">
        <f t="shared" si="49"/>
        <v>183825000</v>
      </c>
      <c r="EL33" s="279">
        <f t="shared" si="50"/>
        <v>0</v>
      </c>
      <c r="EM33" s="279">
        <f t="shared" si="51"/>
        <v>1479.5833333333333</v>
      </c>
      <c r="EN33" s="246">
        <f t="shared" si="52"/>
        <v>2.8975928192574458E-3</v>
      </c>
      <c r="EP33" s="245"/>
    </row>
    <row r="34" spans="1:146" x14ac:dyDescent="0.2">
      <c r="A34" s="276">
        <f t="shared" si="53"/>
        <v>44159</v>
      </c>
      <c r="D34" s="245">
        <f t="shared" si="2"/>
        <v>0</v>
      </c>
      <c r="E34" s="245">
        <v>1599286.21</v>
      </c>
      <c r="F34" s="246">
        <v>7.000000000000001E-4</v>
      </c>
      <c r="G34" s="245">
        <f t="shared" si="3"/>
        <v>3.1097231861111116</v>
      </c>
      <c r="J34" s="245">
        <f t="shared" si="4"/>
        <v>0</v>
      </c>
      <c r="M34" s="245">
        <f t="shared" si="5"/>
        <v>0</v>
      </c>
      <c r="P34" s="245">
        <f t="shared" si="6"/>
        <v>0</v>
      </c>
      <c r="S34" s="245">
        <f t="shared" si="7"/>
        <v>0</v>
      </c>
      <c r="V34" s="245">
        <f t="shared" si="8"/>
        <v>0</v>
      </c>
      <c r="Y34" s="245">
        <f t="shared" si="9"/>
        <v>0</v>
      </c>
      <c r="AB34" s="245">
        <f t="shared" si="10"/>
        <v>0</v>
      </c>
      <c r="AE34" s="245">
        <v>0</v>
      </c>
      <c r="AH34" s="245">
        <v>0</v>
      </c>
      <c r="AI34" s="277">
        <f t="shared" si="0"/>
        <v>135000000</v>
      </c>
      <c r="AJ34" s="278">
        <v>3.0000000000000001E-3</v>
      </c>
      <c r="AK34" s="245">
        <f t="shared" si="11"/>
        <v>1125</v>
      </c>
      <c r="AL34" s="277">
        <f t="shared" ref="AL34:AL40" si="54">30000000+60000000+50000000</f>
        <v>140000000</v>
      </c>
      <c r="AM34" s="278">
        <v>3.0000000000000001E-3</v>
      </c>
      <c r="AN34" s="245">
        <f t="shared" si="12"/>
        <v>1166.6666666666667</v>
      </c>
      <c r="AO34" s="277">
        <v>13900000</v>
      </c>
      <c r="AP34" s="278">
        <v>2E-3</v>
      </c>
      <c r="AQ34" s="245">
        <f t="shared" si="13"/>
        <v>77.222222222222229</v>
      </c>
      <c r="AR34" s="277"/>
      <c r="AS34" s="278"/>
      <c r="AT34" s="245">
        <f t="shared" si="14"/>
        <v>0</v>
      </c>
      <c r="AU34" s="277"/>
      <c r="AV34" s="278"/>
      <c r="AW34" s="245">
        <f t="shared" si="15"/>
        <v>0</v>
      </c>
      <c r="AX34" s="277"/>
      <c r="AY34" s="278"/>
      <c r="AZ34" s="245">
        <f t="shared" si="16"/>
        <v>0</v>
      </c>
      <c r="BA34" s="277"/>
      <c r="BB34" s="278"/>
      <c r="BC34" s="245">
        <f t="shared" si="17"/>
        <v>0</v>
      </c>
      <c r="BF34" s="245">
        <f t="shared" si="18"/>
        <v>0</v>
      </c>
      <c r="BI34" s="245">
        <f t="shared" si="19"/>
        <v>0</v>
      </c>
      <c r="BL34" s="245">
        <f t="shared" si="20"/>
        <v>0</v>
      </c>
      <c r="BO34" s="245">
        <f t="shared" si="21"/>
        <v>0</v>
      </c>
      <c r="BR34" s="245">
        <f t="shared" si="22"/>
        <v>0</v>
      </c>
      <c r="BU34" s="245">
        <f t="shared" si="23"/>
        <v>0</v>
      </c>
      <c r="BX34" s="245">
        <f t="shared" si="24"/>
        <v>0</v>
      </c>
      <c r="CA34" s="245">
        <f t="shared" si="25"/>
        <v>0</v>
      </c>
      <c r="CD34" s="245">
        <f t="shared" si="26"/>
        <v>0</v>
      </c>
      <c r="CG34" s="245">
        <f t="shared" si="27"/>
        <v>0</v>
      </c>
      <c r="CJ34" s="245">
        <f t="shared" si="28"/>
        <v>0</v>
      </c>
      <c r="CM34" s="245">
        <f t="shared" si="29"/>
        <v>0</v>
      </c>
      <c r="CP34" s="245">
        <f t="shared" si="30"/>
        <v>0</v>
      </c>
      <c r="CS34" s="245">
        <f t="shared" si="31"/>
        <v>0</v>
      </c>
      <c r="CV34" s="245">
        <f t="shared" si="32"/>
        <v>0</v>
      </c>
      <c r="CY34" s="245">
        <f t="shared" si="33"/>
        <v>0</v>
      </c>
      <c r="DB34" s="245">
        <f t="shared" si="34"/>
        <v>0</v>
      </c>
      <c r="DE34" s="245">
        <f t="shared" si="35"/>
        <v>0</v>
      </c>
      <c r="DH34" s="245">
        <f t="shared" si="36"/>
        <v>0</v>
      </c>
      <c r="DK34" s="245">
        <f t="shared" si="37"/>
        <v>0</v>
      </c>
      <c r="DN34" s="245">
        <f t="shared" si="38"/>
        <v>0</v>
      </c>
      <c r="DQ34" s="245">
        <f t="shared" si="39"/>
        <v>0</v>
      </c>
      <c r="DT34" s="245">
        <f t="shared" si="40"/>
        <v>0</v>
      </c>
      <c r="DW34" s="245">
        <f t="shared" si="41"/>
        <v>0</v>
      </c>
      <c r="DY34" s="254"/>
      <c r="DZ34" s="243"/>
      <c r="EA34" s="245"/>
      <c r="EB34" s="279">
        <f t="shared" si="42"/>
        <v>290499286.21000004</v>
      </c>
      <c r="EC34" s="279">
        <f t="shared" si="43"/>
        <v>1599286.2100000381</v>
      </c>
      <c r="ED34" s="245">
        <f t="shared" si="44"/>
        <v>2371.998612075</v>
      </c>
      <c r="EE34" s="246">
        <f t="shared" si="45"/>
        <v>2.9394891515489205E-3</v>
      </c>
      <c r="EG34" s="279">
        <f t="shared" si="46"/>
        <v>0</v>
      </c>
      <c r="EH34" s="245">
        <f t="shared" si="47"/>
        <v>0</v>
      </c>
      <c r="EI34" s="246">
        <f t="shared" si="48"/>
        <v>0</v>
      </c>
      <c r="EJ34" s="246"/>
      <c r="EK34" s="279">
        <f t="shared" si="49"/>
        <v>288900000</v>
      </c>
      <c r="EL34" s="279">
        <f t="shared" si="50"/>
        <v>0</v>
      </c>
      <c r="EM34" s="279">
        <f t="shared" si="51"/>
        <v>2368.8888888888887</v>
      </c>
      <c r="EN34" s="246">
        <f t="shared" si="52"/>
        <v>2.9518864659051568E-3</v>
      </c>
      <c r="EP34" s="245"/>
    </row>
    <row r="35" spans="1:146" x14ac:dyDescent="0.2">
      <c r="A35" s="276">
        <f t="shared" si="53"/>
        <v>44160</v>
      </c>
      <c r="D35" s="245">
        <f t="shared" si="2"/>
        <v>0</v>
      </c>
      <c r="E35" s="245">
        <v>0</v>
      </c>
      <c r="F35" s="246">
        <v>1.0387E-3</v>
      </c>
      <c r="G35" s="245">
        <f t="shared" si="3"/>
        <v>0</v>
      </c>
      <c r="J35" s="245">
        <f t="shared" si="4"/>
        <v>0</v>
      </c>
      <c r="M35" s="245">
        <f t="shared" si="5"/>
        <v>0</v>
      </c>
      <c r="P35" s="245">
        <f t="shared" si="6"/>
        <v>0</v>
      </c>
      <c r="S35" s="245">
        <f t="shared" si="7"/>
        <v>0</v>
      </c>
      <c r="V35" s="245">
        <f t="shared" si="8"/>
        <v>0</v>
      </c>
      <c r="Y35" s="245">
        <f t="shared" si="9"/>
        <v>0</v>
      </c>
      <c r="AB35" s="245">
        <f t="shared" si="10"/>
        <v>0</v>
      </c>
      <c r="AE35" s="245">
        <v>0</v>
      </c>
      <c r="AH35" s="245">
        <v>0</v>
      </c>
      <c r="AI35" s="277">
        <f t="shared" si="0"/>
        <v>135000000</v>
      </c>
      <c r="AJ35" s="278">
        <v>3.0000000000000001E-3</v>
      </c>
      <c r="AK35" s="245">
        <f t="shared" si="11"/>
        <v>1125</v>
      </c>
      <c r="AL35" s="277">
        <f t="shared" si="54"/>
        <v>140000000</v>
      </c>
      <c r="AM35" s="278">
        <v>3.0000000000000001E-3</v>
      </c>
      <c r="AN35" s="245">
        <f t="shared" si="12"/>
        <v>1166.6666666666667</v>
      </c>
      <c r="AO35" s="277">
        <v>20425000</v>
      </c>
      <c r="AP35" s="278">
        <v>2E-3</v>
      </c>
      <c r="AQ35" s="245">
        <f t="shared" si="13"/>
        <v>113.47222222222223</v>
      </c>
      <c r="AR35" s="277"/>
      <c r="AS35" s="278"/>
      <c r="AT35" s="245">
        <f t="shared" si="14"/>
        <v>0</v>
      </c>
      <c r="AU35" s="277"/>
      <c r="AV35" s="278"/>
      <c r="AW35" s="245">
        <f t="shared" si="15"/>
        <v>0</v>
      </c>
      <c r="AX35" s="277"/>
      <c r="AY35" s="278"/>
      <c r="AZ35" s="245">
        <f t="shared" si="16"/>
        <v>0</v>
      </c>
      <c r="BA35" s="277"/>
      <c r="BB35" s="278"/>
      <c r="BC35" s="245">
        <f t="shared" si="17"/>
        <v>0</v>
      </c>
      <c r="BF35" s="245">
        <f t="shared" si="18"/>
        <v>0</v>
      </c>
      <c r="BI35" s="245">
        <f t="shared" si="19"/>
        <v>0</v>
      </c>
      <c r="BL35" s="245">
        <f t="shared" si="20"/>
        <v>0</v>
      </c>
      <c r="BO35" s="245">
        <f t="shared" si="21"/>
        <v>0</v>
      </c>
      <c r="BR35" s="245">
        <f t="shared" si="22"/>
        <v>0</v>
      </c>
      <c r="BU35" s="245">
        <f t="shared" si="23"/>
        <v>0</v>
      </c>
      <c r="BX35" s="245">
        <f t="shared" si="24"/>
        <v>0</v>
      </c>
      <c r="CA35" s="245">
        <f t="shared" si="25"/>
        <v>0</v>
      </c>
      <c r="CD35" s="245">
        <f t="shared" si="26"/>
        <v>0</v>
      </c>
      <c r="CG35" s="245">
        <f t="shared" si="27"/>
        <v>0</v>
      </c>
      <c r="CJ35" s="245">
        <f t="shared" si="28"/>
        <v>0</v>
      </c>
      <c r="CM35" s="245">
        <f t="shared" si="29"/>
        <v>0</v>
      </c>
      <c r="CP35" s="245">
        <f t="shared" si="30"/>
        <v>0</v>
      </c>
      <c r="CS35" s="245">
        <f t="shared" si="31"/>
        <v>0</v>
      </c>
      <c r="CV35" s="245">
        <f t="shared" si="32"/>
        <v>0</v>
      </c>
      <c r="CY35" s="245">
        <f t="shared" si="33"/>
        <v>0</v>
      </c>
      <c r="DB35" s="245">
        <f t="shared" si="34"/>
        <v>0</v>
      </c>
      <c r="DE35" s="245">
        <f t="shared" si="35"/>
        <v>0</v>
      </c>
      <c r="DH35" s="245">
        <f t="shared" si="36"/>
        <v>0</v>
      </c>
      <c r="DK35" s="245">
        <f t="shared" si="37"/>
        <v>0</v>
      </c>
      <c r="DN35" s="245">
        <f t="shared" si="38"/>
        <v>0</v>
      </c>
      <c r="DQ35" s="245">
        <f t="shared" si="39"/>
        <v>0</v>
      </c>
      <c r="DT35" s="245">
        <f t="shared" si="40"/>
        <v>0</v>
      </c>
      <c r="DW35" s="245">
        <f t="shared" si="41"/>
        <v>0</v>
      </c>
      <c r="DY35" s="254"/>
      <c r="DZ35" s="243"/>
      <c r="EA35" s="245"/>
      <c r="EB35" s="279">
        <f t="shared" si="42"/>
        <v>295425000</v>
      </c>
      <c r="EC35" s="279">
        <f t="shared" si="43"/>
        <v>0</v>
      </c>
      <c r="ED35" s="245">
        <f t="shared" si="44"/>
        <v>2405.1388888888891</v>
      </c>
      <c r="EE35" s="246">
        <f t="shared" si="45"/>
        <v>2.9308623170009309E-3</v>
      </c>
      <c r="EG35" s="279">
        <f t="shared" si="46"/>
        <v>0</v>
      </c>
      <c r="EH35" s="245">
        <f t="shared" si="47"/>
        <v>0</v>
      </c>
      <c r="EI35" s="246">
        <f t="shared" si="48"/>
        <v>0</v>
      </c>
      <c r="EJ35" s="246"/>
      <c r="EK35" s="279">
        <f t="shared" si="49"/>
        <v>295425000</v>
      </c>
      <c r="EL35" s="279">
        <f t="shared" si="50"/>
        <v>0</v>
      </c>
      <c r="EM35" s="279">
        <f t="shared" si="51"/>
        <v>2405.1388888888887</v>
      </c>
      <c r="EN35" s="246">
        <f t="shared" si="52"/>
        <v>2.9308623170009309E-3</v>
      </c>
      <c r="EP35" s="245"/>
    </row>
    <row r="36" spans="1:146" x14ac:dyDescent="0.2">
      <c r="A36" s="276">
        <f t="shared" si="53"/>
        <v>44161</v>
      </c>
      <c r="D36" s="245">
        <f t="shared" si="2"/>
        <v>0</v>
      </c>
      <c r="E36" s="245">
        <v>0</v>
      </c>
      <c r="F36" s="246">
        <v>1.0387E-3</v>
      </c>
      <c r="G36" s="245">
        <f t="shared" si="3"/>
        <v>0</v>
      </c>
      <c r="J36" s="245">
        <f t="shared" si="4"/>
        <v>0</v>
      </c>
      <c r="M36" s="245">
        <f t="shared" si="5"/>
        <v>0</v>
      </c>
      <c r="P36" s="245">
        <f t="shared" si="6"/>
        <v>0</v>
      </c>
      <c r="S36" s="245">
        <f t="shared" si="7"/>
        <v>0</v>
      </c>
      <c r="V36" s="245">
        <f t="shared" si="8"/>
        <v>0</v>
      </c>
      <c r="Y36" s="245">
        <f t="shared" si="9"/>
        <v>0</v>
      </c>
      <c r="AB36" s="245">
        <f t="shared" si="10"/>
        <v>0</v>
      </c>
      <c r="AE36" s="245">
        <v>0</v>
      </c>
      <c r="AH36" s="245">
        <v>0</v>
      </c>
      <c r="AI36" s="277">
        <f t="shared" si="0"/>
        <v>135000000</v>
      </c>
      <c r="AJ36" s="278">
        <v>3.0000000000000001E-3</v>
      </c>
      <c r="AK36" s="245">
        <f t="shared" si="11"/>
        <v>1125</v>
      </c>
      <c r="AL36" s="277">
        <f t="shared" si="54"/>
        <v>140000000</v>
      </c>
      <c r="AM36" s="278">
        <v>3.0000000000000001E-3</v>
      </c>
      <c r="AN36" s="245">
        <f t="shared" si="12"/>
        <v>1166.6666666666667</v>
      </c>
      <c r="AO36" s="277">
        <v>20425000</v>
      </c>
      <c r="AP36" s="278">
        <v>2E-3</v>
      </c>
      <c r="AQ36" s="245">
        <f t="shared" si="13"/>
        <v>113.47222222222223</v>
      </c>
      <c r="AR36" s="277"/>
      <c r="AS36" s="278"/>
      <c r="AT36" s="245">
        <f t="shared" si="14"/>
        <v>0</v>
      </c>
      <c r="AU36" s="277"/>
      <c r="AV36" s="278"/>
      <c r="AW36" s="245">
        <f t="shared" si="15"/>
        <v>0</v>
      </c>
      <c r="AX36" s="277"/>
      <c r="AY36" s="278"/>
      <c r="AZ36" s="245">
        <f t="shared" si="16"/>
        <v>0</v>
      </c>
      <c r="BA36" s="277"/>
      <c r="BB36" s="278"/>
      <c r="BC36" s="245">
        <f t="shared" si="17"/>
        <v>0</v>
      </c>
      <c r="BF36" s="245">
        <f t="shared" si="18"/>
        <v>0</v>
      </c>
      <c r="BI36" s="245">
        <f t="shared" si="19"/>
        <v>0</v>
      </c>
      <c r="BL36" s="245">
        <f t="shared" si="20"/>
        <v>0</v>
      </c>
      <c r="BO36" s="245">
        <f t="shared" si="21"/>
        <v>0</v>
      </c>
      <c r="BR36" s="245">
        <f t="shared" si="22"/>
        <v>0</v>
      </c>
      <c r="BU36" s="245">
        <f t="shared" si="23"/>
        <v>0</v>
      </c>
      <c r="BX36" s="245">
        <f t="shared" si="24"/>
        <v>0</v>
      </c>
      <c r="CA36" s="245">
        <f t="shared" si="25"/>
        <v>0</v>
      </c>
      <c r="CD36" s="245">
        <f t="shared" si="26"/>
        <v>0</v>
      </c>
      <c r="CG36" s="245">
        <f t="shared" si="27"/>
        <v>0</v>
      </c>
      <c r="CJ36" s="245">
        <f t="shared" si="28"/>
        <v>0</v>
      </c>
      <c r="CM36" s="245">
        <f t="shared" si="29"/>
        <v>0</v>
      </c>
      <c r="CP36" s="245">
        <f t="shared" si="30"/>
        <v>0</v>
      </c>
      <c r="CS36" s="245">
        <f t="shared" si="31"/>
        <v>0</v>
      </c>
      <c r="CV36" s="245">
        <f t="shared" si="32"/>
        <v>0</v>
      </c>
      <c r="CY36" s="245">
        <f t="shared" si="33"/>
        <v>0</v>
      </c>
      <c r="DB36" s="245">
        <f t="shared" si="34"/>
        <v>0</v>
      </c>
      <c r="DE36" s="245">
        <f t="shared" si="35"/>
        <v>0</v>
      </c>
      <c r="DH36" s="245">
        <f t="shared" si="36"/>
        <v>0</v>
      </c>
      <c r="DK36" s="245">
        <f t="shared" si="37"/>
        <v>0</v>
      </c>
      <c r="DN36" s="245">
        <f t="shared" si="38"/>
        <v>0</v>
      </c>
      <c r="DQ36" s="245">
        <f t="shared" si="39"/>
        <v>0</v>
      </c>
      <c r="DT36" s="245">
        <f t="shared" si="40"/>
        <v>0</v>
      </c>
      <c r="DW36" s="245">
        <f t="shared" si="41"/>
        <v>0</v>
      </c>
      <c r="DY36" s="254"/>
      <c r="DZ36" s="243"/>
      <c r="EA36" s="245"/>
      <c r="EB36" s="279">
        <f t="shared" si="42"/>
        <v>295425000</v>
      </c>
      <c r="EC36" s="279">
        <f t="shared" si="43"/>
        <v>0</v>
      </c>
      <c r="ED36" s="245">
        <f t="shared" si="44"/>
        <v>2405.1388888888891</v>
      </c>
      <c r="EE36" s="246">
        <f t="shared" si="45"/>
        <v>2.9308623170009309E-3</v>
      </c>
      <c r="EG36" s="279">
        <f t="shared" si="46"/>
        <v>0</v>
      </c>
      <c r="EH36" s="245">
        <f t="shared" si="47"/>
        <v>0</v>
      </c>
      <c r="EI36" s="246">
        <f t="shared" si="48"/>
        <v>0</v>
      </c>
      <c r="EJ36" s="246"/>
      <c r="EK36" s="279">
        <f t="shared" si="49"/>
        <v>295425000</v>
      </c>
      <c r="EL36" s="279">
        <f t="shared" si="50"/>
        <v>0</v>
      </c>
      <c r="EM36" s="279">
        <f t="shared" si="51"/>
        <v>2405.1388888888887</v>
      </c>
      <c r="EN36" s="246">
        <f t="shared" si="52"/>
        <v>2.9308623170009309E-3</v>
      </c>
      <c r="EP36" s="245"/>
    </row>
    <row r="37" spans="1:146" x14ac:dyDescent="0.2">
      <c r="A37" s="276">
        <f t="shared" si="53"/>
        <v>44162</v>
      </c>
      <c r="D37" s="245">
        <f t="shared" si="2"/>
        <v>0</v>
      </c>
      <c r="E37" s="245">
        <v>0</v>
      </c>
      <c r="F37" s="246">
        <v>1.3651E-3</v>
      </c>
      <c r="G37" s="245">
        <f t="shared" si="3"/>
        <v>0</v>
      </c>
      <c r="J37" s="245">
        <f t="shared" si="4"/>
        <v>0</v>
      </c>
      <c r="M37" s="245">
        <f t="shared" si="5"/>
        <v>0</v>
      </c>
      <c r="P37" s="245">
        <f t="shared" si="6"/>
        <v>0</v>
      </c>
      <c r="S37" s="245">
        <f t="shared" si="7"/>
        <v>0</v>
      </c>
      <c r="V37" s="245">
        <f t="shared" si="8"/>
        <v>0</v>
      </c>
      <c r="Y37" s="245">
        <f t="shared" si="9"/>
        <v>0</v>
      </c>
      <c r="AB37" s="245">
        <f t="shared" si="10"/>
        <v>0</v>
      </c>
      <c r="AE37" s="245">
        <v>0</v>
      </c>
      <c r="AH37" s="245">
        <v>0</v>
      </c>
      <c r="AI37" s="277">
        <f t="shared" si="0"/>
        <v>135000000</v>
      </c>
      <c r="AJ37" s="278">
        <v>3.0000000000000001E-3</v>
      </c>
      <c r="AK37" s="245">
        <f t="shared" si="11"/>
        <v>1125</v>
      </c>
      <c r="AL37" s="277">
        <f t="shared" si="54"/>
        <v>140000000</v>
      </c>
      <c r="AM37" s="278">
        <v>3.0000000000000001E-3</v>
      </c>
      <c r="AN37" s="245">
        <f t="shared" si="12"/>
        <v>1166.6666666666667</v>
      </c>
      <c r="AO37" s="277">
        <f>20425000+4775000</f>
        <v>25200000</v>
      </c>
      <c r="AP37" s="278">
        <v>2E-3</v>
      </c>
      <c r="AQ37" s="245">
        <f t="shared" si="13"/>
        <v>140</v>
      </c>
      <c r="AR37" s="277"/>
      <c r="AS37" s="278"/>
      <c r="AT37" s="245">
        <f t="shared" si="14"/>
        <v>0</v>
      </c>
      <c r="AU37" s="277"/>
      <c r="AV37" s="278"/>
      <c r="AW37" s="245">
        <f t="shared" si="15"/>
        <v>0</v>
      </c>
      <c r="AX37" s="277"/>
      <c r="AY37" s="278"/>
      <c r="AZ37" s="245">
        <f t="shared" si="16"/>
        <v>0</v>
      </c>
      <c r="BA37" s="277"/>
      <c r="BB37" s="278"/>
      <c r="BC37" s="245">
        <f t="shared" si="17"/>
        <v>0</v>
      </c>
      <c r="BF37" s="245">
        <f t="shared" si="18"/>
        <v>0</v>
      </c>
      <c r="BI37" s="245">
        <f t="shared" si="19"/>
        <v>0</v>
      </c>
      <c r="BL37" s="245">
        <f t="shared" si="20"/>
        <v>0</v>
      </c>
      <c r="BO37" s="245">
        <f t="shared" si="21"/>
        <v>0</v>
      </c>
      <c r="BR37" s="245">
        <f t="shared" si="22"/>
        <v>0</v>
      </c>
      <c r="BU37" s="245">
        <f t="shared" si="23"/>
        <v>0</v>
      </c>
      <c r="BX37" s="245">
        <f t="shared" si="24"/>
        <v>0</v>
      </c>
      <c r="CA37" s="245">
        <f t="shared" si="25"/>
        <v>0</v>
      </c>
      <c r="CD37" s="245">
        <f t="shared" si="26"/>
        <v>0</v>
      </c>
      <c r="CG37" s="245">
        <f t="shared" si="27"/>
        <v>0</v>
      </c>
      <c r="CJ37" s="245">
        <f t="shared" si="28"/>
        <v>0</v>
      </c>
      <c r="CM37" s="245">
        <f t="shared" si="29"/>
        <v>0</v>
      </c>
      <c r="CP37" s="245">
        <f t="shared" si="30"/>
        <v>0</v>
      </c>
      <c r="CS37" s="245">
        <f t="shared" si="31"/>
        <v>0</v>
      </c>
      <c r="CV37" s="245">
        <f t="shared" si="32"/>
        <v>0</v>
      </c>
      <c r="CY37" s="245">
        <f t="shared" si="33"/>
        <v>0</v>
      </c>
      <c r="DB37" s="245">
        <f t="shared" si="34"/>
        <v>0</v>
      </c>
      <c r="DE37" s="245">
        <f t="shared" si="35"/>
        <v>0</v>
      </c>
      <c r="DH37" s="245">
        <f t="shared" si="36"/>
        <v>0</v>
      </c>
      <c r="DK37" s="245">
        <f t="shared" si="37"/>
        <v>0</v>
      </c>
      <c r="DN37" s="245">
        <f t="shared" si="38"/>
        <v>0</v>
      </c>
      <c r="DQ37" s="245">
        <f t="shared" si="39"/>
        <v>0</v>
      </c>
      <c r="DT37" s="245">
        <f t="shared" si="40"/>
        <v>0</v>
      </c>
      <c r="DW37" s="245">
        <f t="shared" si="41"/>
        <v>0</v>
      </c>
      <c r="DY37" s="254"/>
      <c r="DZ37" s="243"/>
      <c r="EA37" s="245"/>
      <c r="EB37" s="279">
        <f t="shared" si="42"/>
        <v>300200000</v>
      </c>
      <c r="EC37" s="279">
        <f t="shared" si="43"/>
        <v>0</v>
      </c>
      <c r="ED37" s="245">
        <f t="shared" si="44"/>
        <v>2431.666666666667</v>
      </c>
      <c r="EE37" s="246">
        <f t="shared" si="45"/>
        <v>2.9160559626915392E-3</v>
      </c>
      <c r="EG37" s="279">
        <f t="shared" si="46"/>
        <v>0</v>
      </c>
      <c r="EH37" s="245">
        <f t="shared" si="47"/>
        <v>0</v>
      </c>
      <c r="EI37" s="246">
        <f t="shared" si="48"/>
        <v>0</v>
      </c>
      <c r="EJ37" s="246"/>
      <c r="EK37" s="279">
        <f t="shared" si="49"/>
        <v>300200000</v>
      </c>
      <c r="EL37" s="279">
        <f t="shared" si="50"/>
        <v>0</v>
      </c>
      <c r="EM37" s="279">
        <f t="shared" si="51"/>
        <v>2431.666666666667</v>
      </c>
      <c r="EN37" s="246">
        <f t="shared" si="52"/>
        <v>2.9160559626915392E-3</v>
      </c>
      <c r="EP37" s="245"/>
    </row>
    <row r="38" spans="1:146" x14ac:dyDescent="0.2">
      <c r="A38" s="276">
        <f t="shared" si="53"/>
        <v>44163</v>
      </c>
      <c r="D38" s="245">
        <f t="shared" si="2"/>
        <v>0</v>
      </c>
      <c r="E38" s="245">
        <v>0</v>
      </c>
      <c r="F38" s="246">
        <v>1.3651E-3</v>
      </c>
      <c r="G38" s="245">
        <f t="shared" si="3"/>
        <v>0</v>
      </c>
      <c r="J38" s="245">
        <f t="shared" si="4"/>
        <v>0</v>
      </c>
      <c r="M38" s="245">
        <f t="shared" si="5"/>
        <v>0</v>
      </c>
      <c r="P38" s="245">
        <f t="shared" si="6"/>
        <v>0</v>
      </c>
      <c r="S38" s="245">
        <f t="shared" si="7"/>
        <v>0</v>
      </c>
      <c r="V38" s="245">
        <f t="shared" si="8"/>
        <v>0</v>
      </c>
      <c r="Y38" s="245">
        <f t="shared" si="9"/>
        <v>0</v>
      </c>
      <c r="AB38" s="245">
        <f t="shared" si="10"/>
        <v>0</v>
      </c>
      <c r="AE38" s="245">
        <v>0</v>
      </c>
      <c r="AH38" s="245">
        <v>0</v>
      </c>
      <c r="AI38" s="277">
        <f t="shared" si="0"/>
        <v>135000000</v>
      </c>
      <c r="AJ38" s="278">
        <v>3.0000000000000001E-3</v>
      </c>
      <c r="AK38" s="245">
        <f t="shared" si="11"/>
        <v>1125</v>
      </c>
      <c r="AL38" s="277">
        <f t="shared" si="54"/>
        <v>140000000</v>
      </c>
      <c r="AM38" s="278">
        <v>3.0000000000000001E-3</v>
      </c>
      <c r="AN38" s="245">
        <f t="shared" si="12"/>
        <v>1166.6666666666667</v>
      </c>
      <c r="AO38" s="277">
        <f>20425000+4775000</f>
        <v>25200000</v>
      </c>
      <c r="AP38" s="278">
        <v>2E-3</v>
      </c>
      <c r="AQ38" s="245">
        <f t="shared" si="13"/>
        <v>140</v>
      </c>
      <c r="AR38" s="277"/>
      <c r="AS38" s="278"/>
      <c r="AT38" s="245">
        <f t="shared" si="14"/>
        <v>0</v>
      </c>
      <c r="AU38" s="277"/>
      <c r="AV38" s="278"/>
      <c r="AW38" s="245">
        <f t="shared" si="15"/>
        <v>0</v>
      </c>
      <c r="AX38" s="277"/>
      <c r="AY38" s="278"/>
      <c r="AZ38" s="245">
        <f t="shared" si="16"/>
        <v>0</v>
      </c>
      <c r="BA38" s="277"/>
      <c r="BB38" s="278"/>
      <c r="BC38" s="245">
        <f t="shared" si="17"/>
        <v>0</v>
      </c>
      <c r="BF38" s="245">
        <f t="shared" si="18"/>
        <v>0</v>
      </c>
      <c r="BI38" s="245">
        <f t="shared" si="19"/>
        <v>0</v>
      </c>
      <c r="BL38" s="245">
        <f t="shared" si="20"/>
        <v>0</v>
      </c>
      <c r="BO38" s="245">
        <f t="shared" si="21"/>
        <v>0</v>
      </c>
      <c r="BR38" s="245">
        <f t="shared" si="22"/>
        <v>0</v>
      </c>
      <c r="BU38" s="245">
        <f t="shared" si="23"/>
        <v>0</v>
      </c>
      <c r="BX38" s="245">
        <f t="shared" si="24"/>
        <v>0</v>
      </c>
      <c r="CA38" s="245">
        <f t="shared" si="25"/>
        <v>0</v>
      </c>
      <c r="CD38" s="245">
        <f t="shared" si="26"/>
        <v>0</v>
      </c>
      <c r="CG38" s="245">
        <f t="shared" si="27"/>
        <v>0</v>
      </c>
      <c r="CJ38" s="245">
        <f t="shared" si="28"/>
        <v>0</v>
      </c>
      <c r="CM38" s="245">
        <f t="shared" si="29"/>
        <v>0</v>
      </c>
      <c r="CP38" s="245">
        <f t="shared" si="30"/>
        <v>0</v>
      </c>
      <c r="CS38" s="245">
        <f t="shared" si="31"/>
        <v>0</v>
      </c>
      <c r="CV38" s="245">
        <f t="shared" si="32"/>
        <v>0</v>
      </c>
      <c r="CY38" s="245">
        <f t="shared" si="33"/>
        <v>0</v>
      </c>
      <c r="DB38" s="245">
        <f t="shared" si="34"/>
        <v>0</v>
      </c>
      <c r="DE38" s="245">
        <f t="shared" si="35"/>
        <v>0</v>
      </c>
      <c r="DH38" s="245">
        <f t="shared" si="36"/>
        <v>0</v>
      </c>
      <c r="DK38" s="245">
        <f t="shared" si="37"/>
        <v>0</v>
      </c>
      <c r="DN38" s="245">
        <f t="shared" si="38"/>
        <v>0</v>
      </c>
      <c r="DQ38" s="245">
        <f t="shared" si="39"/>
        <v>0</v>
      </c>
      <c r="DT38" s="245">
        <f t="shared" si="40"/>
        <v>0</v>
      </c>
      <c r="DW38" s="245">
        <f t="shared" si="41"/>
        <v>0</v>
      </c>
      <c r="DY38" s="254"/>
      <c r="DZ38" s="243"/>
      <c r="EA38" s="245"/>
      <c r="EB38" s="279">
        <f t="shared" si="42"/>
        <v>300200000</v>
      </c>
      <c r="EC38" s="279">
        <f t="shared" si="43"/>
        <v>0</v>
      </c>
      <c r="ED38" s="245">
        <f t="shared" si="44"/>
        <v>2431.666666666667</v>
      </c>
      <c r="EE38" s="246">
        <f t="shared" si="45"/>
        <v>2.9160559626915392E-3</v>
      </c>
      <c r="EG38" s="279">
        <f t="shared" si="46"/>
        <v>0</v>
      </c>
      <c r="EH38" s="245">
        <f t="shared" si="47"/>
        <v>0</v>
      </c>
      <c r="EI38" s="246">
        <f t="shared" si="48"/>
        <v>0</v>
      </c>
      <c r="EJ38" s="246"/>
      <c r="EK38" s="279">
        <f t="shared" si="49"/>
        <v>300200000</v>
      </c>
      <c r="EL38" s="279">
        <f t="shared" si="50"/>
        <v>0</v>
      </c>
      <c r="EM38" s="279">
        <f t="shared" si="51"/>
        <v>2431.666666666667</v>
      </c>
      <c r="EN38" s="246">
        <f t="shared" si="52"/>
        <v>2.9160559626915392E-3</v>
      </c>
      <c r="EP38" s="245"/>
    </row>
    <row r="39" spans="1:146" x14ac:dyDescent="0.2">
      <c r="A39" s="276">
        <f t="shared" si="53"/>
        <v>44164</v>
      </c>
      <c r="D39" s="245">
        <f t="shared" si="2"/>
        <v>0</v>
      </c>
      <c r="E39" s="245">
        <v>0</v>
      </c>
      <c r="F39" s="246">
        <v>1.3651E-3</v>
      </c>
      <c r="G39" s="245">
        <f t="shared" si="3"/>
        <v>0</v>
      </c>
      <c r="J39" s="245">
        <f t="shared" si="4"/>
        <v>0</v>
      </c>
      <c r="M39" s="245">
        <f t="shared" si="5"/>
        <v>0</v>
      </c>
      <c r="P39" s="245">
        <f t="shared" si="6"/>
        <v>0</v>
      </c>
      <c r="S39" s="245">
        <f t="shared" si="7"/>
        <v>0</v>
      </c>
      <c r="V39" s="245">
        <f t="shared" si="8"/>
        <v>0</v>
      </c>
      <c r="Y39" s="245">
        <f t="shared" si="9"/>
        <v>0</v>
      </c>
      <c r="AB39" s="245">
        <f t="shared" si="10"/>
        <v>0</v>
      </c>
      <c r="AE39" s="245">
        <v>0</v>
      </c>
      <c r="AH39" s="245">
        <v>0</v>
      </c>
      <c r="AI39" s="277">
        <f t="shared" si="0"/>
        <v>135000000</v>
      </c>
      <c r="AJ39" s="278">
        <v>3.0000000000000001E-3</v>
      </c>
      <c r="AK39" s="245">
        <f t="shared" si="11"/>
        <v>1125</v>
      </c>
      <c r="AL39" s="277">
        <f t="shared" si="54"/>
        <v>140000000</v>
      </c>
      <c r="AM39" s="278">
        <v>3.0000000000000001E-3</v>
      </c>
      <c r="AN39" s="245">
        <f t="shared" si="12"/>
        <v>1166.6666666666667</v>
      </c>
      <c r="AO39" s="277">
        <f>20425000+4775000</f>
        <v>25200000</v>
      </c>
      <c r="AP39" s="278">
        <v>2E-3</v>
      </c>
      <c r="AQ39" s="245">
        <f t="shared" si="13"/>
        <v>140</v>
      </c>
      <c r="AR39" s="277"/>
      <c r="AS39" s="278"/>
      <c r="AT39" s="245">
        <f t="shared" si="14"/>
        <v>0</v>
      </c>
      <c r="AU39" s="277"/>
      <c r="AV39" s="278"/>
      <c r="AW39" s="245">
        <f t="shared" si="15"/>
        <v>0</v>
      </c>
      <c r="AX39" s="277"/>
      <c r="AY39" s="278"/>
      <c r="AZ39" s="245">
        <f t="shared" si="16"/>
        <v>0</v>
      </c>
      <c r="BA39" s="277"/>
      <c r="BB39" s="278"/>
      <c r="BC39" s="245">
        <f t="shared" si="17"/>
        <v>0</v>
      </c>
      <c r="BF39" s="245">
        <f t="shared" si="18"/>
        <v>0</v>
      </c>
      <c r="BI39" s="245">
        <f t="shared" si="19"/>
        <v>0</v>
      </c>
      <c r="BL39" s="245">
        <f t="shared" si="20"/>
        <v>0</v>
      </c>
      <c r="BO39" s="245">
        <f t="shared" si="21"/>
        <v>0</v>
      </c>
      <c r="BR39" s="245">
        <f t="shared" si="22"/>
        <v>0</v>
      </c>
      <c r="BU39" s="245">
        <f t="shared" si="23"/>
        <v>0</v>
      </c>
      <c r="BX39" s="245">
        <f t="shared" si="24"/>
        <v>0</v>
      </c>
      <c r="CA39" s="245">
        <f t="shared" si="25"/>
        <v>0</v>
      </c>
      <c r="CD39" s="245">
        <f t="shared" si="26"/>
        <v>0</v>
      </c>
      <c r="CG39" s="245">
        <f t="shared" si="27"/>
        <v>0</v>
      </c>
      <c r="CJ39" s="245">
        <f t="shared" si="28"/>
        <v>0</v>
      </c>
      <c r="CM39" s="245">
        <f t="shared" si="29"/>
        <v>0</v>
      </c>
      <c r="CP39" s="245">
        <f t="shared" si="30"/>
        <v>0</v>
      </c>
      <c r="CS39" s="245">
        <f t="shared" si="31"/>
        <v>0</v>
      </c>
      <c r="CV39" s="245">
        <f t="shared" si="32"/>
        <v>0</v>
      </c>
      <c r="CY39" s="245">
        <f t="shared" si="33"/>
        <v>0</v>
      </c>
      <c r="DB39" s="245">
        <f t="shared" si="34"/>
        <v>0</v>
      </c>
      <c r="DE39" s="245">
        <f t="shared" si="35"/>
        <v>0</v>
      </c>
      <c r="DH39" s="245">
        <f t="shared" si="36"/>
        <v>0</v>
      </c>
      <c r="DK39" s="245">
        <f t="shared" si="37"/>
        <v>0</v>
      </c>
      <c r="DN39" s="245">
        <f t="shared" si="38"/>
        <v>0</v>
      </c>
      <c r="DQ39" s="245">
        <f t="shared" si="39"/>
        <v>0</v>
      </c>
      <c r="DT39" s="245">
        <f t="shared" si="40"/>
        <v>0</v>
      </c>
      <c r="DW39" s="245">
        <f t="shared" si="41"/>
        <v>0</v>
      </c>
      <c r="DY39" s="254"/>
      <c r="DZ39" s="243"/>
      <c r="EA39" s="245"/>
      <c r="EB39" s="279">
        <f t="shared" si="42"/>
        <v>300200000</v>
      </c>
      <c r="EC39" s="279">
        <f t="shared" si="43"/>
        <v>0</v>
      </c>
      <c r="ED39" s="245">
        <f t="shared" si="44"/>
        <v>2431.666666666667</v>
      </c>
      <c r="EE39" s="246">
        <f t="shared" si="45"/>
        <v>2.9160559626915392E-3</v>
      </c>
      <c r="EG39" s="279">
        <f t="shared" si="46"/>
        <v>0</v>
      </c>
      <c r="EH39" s="245">
        <f t="shared" si="47"/>
        <v>0</v>
      </c>
      <c r="EI39" s="246">
        <f t="shared" si="48"/>
        <v>0</v>
      </c>
      <c r="EJ39" s="246"/>
      <c r="EK39" s="279">
        <f t="shared" si="49"/>
        <v>300200000</v>
      </c>
      <c r="EL39" s="279">
        <f t="shared" si="50"/>
        <v>0</v>
      </c>
      <c r="EM39" s="279">
        <f t="shared" si="51"/>
        <v>2431.666666666667</v>
      </c>
      <c r="EN39" s="246">
        <f t="shared" si="52"/>
        <v>2.9160559626915392E-3</v>
      </c>
      <c r="EP39" s="245"/>
    </row>
    <row r="40" spans="1:146" x14ac:dyDescent="0.2">
      <c r="A40" s="276">
        <f t="shared" si="53"/>
        <v>44165</v>
      </c>
      <c r="D40" s="245">
        <f t="shared" si="2"/>
        <v>0</v>
      </c>
      <c r="E40" s="245">
        <v>0</v>
      </c>
      <c r="F40" s="246">
        <v>1.7294000000000001E-3</v>
      </c>
      <c r="G40" s="245">
        <f t="shared" si="3"/>
        <v>0</v>
      </c>
      <c r="J40" s="245">
        <f t="shared" si="4"/>
        <v>0</v>
      </c>
      <c r="M40" s="245">
        <f t="shared" si="5"/>
        <v>0</v>
      </c>
      <c r="P40" s="245">
        <f t="shared" si="6"/>
        <v>0</v>
      </c>
      <c r="S40" s="245">
        <f t="shared" si="7"/>
        <v>0</v>
      </c>
      <c r="V40" s="245">
        <f t="shared" si="8"/>
        <v>0</v>
      </c>
      <c r="Y40" s="245">
        <f t="shared" si="9"/>
        <v>0</v>
      </c>
      <c r="AB40" s="245">
        <f t="shared" si="10"/>
        <v>0</v>
      </c>
      <c r="AE40" s="245">
        <v>0</v>
      </c>
      <c r="AH40" s="245">
        <v>0</v>
      </c>
      <c r="AI40" s="277">
        <f t="shared" si="0"/>
        <v>135000000</v>
      </c>
      <c r="AJ40" s="278">
        <v>3.0000000000000001E-3</v>
      </c>
      <c r="AK40" s="245">
        <f t="shared" si="11"/>
        <v>1125</v>
      </c>
      <c r="AL40" s="277">
        <f t="shared" si="54"/>
        <v>140000000</v>
      </c>
      <c r="AM40" s="278">
        <v>3.0000000000000001E-3</v>
      </c>
      <c r="AN40" s="245">
        <f t="shared" si="12"/>
        <v>1166.6666666666667</v>
      </c>
      <c r="AO40" s="277">
        <f>28875000</f>
        <v>28875000</v>
      </c>
      <c r="AP40" s="278">
        <v>2E-3</v>
      </c>
      <c r="AQ40" s="245">
        <f t="shared" si="13"/>
        <v>160.41666666666666</v>
      </c>
      <c r="AR40" s="277"/>
      <c r="AS40" s="278"/>
      <c r="AT40" s="245">
        <f t="shared" si="14"/>
        <v>0</v>
      </c>
      <c r="AU40" s="277"/>
      <c r="AV40" s="278"/>
      <c r="AW40" s="245">
        <f t="shared" si="15"/>
        <v>0</v>
      </c>
      <c r="AX40" s="277"/>
      <c r="AY40" s="278"/>
      <c r="AZ40" s="245">
        <f t="shared" si="16"/>
        <v>0</v>
      </c>
      <c r="BA40" s="277"/>
      <c r="BB40" s="278"/>
      <c r="BC40" s="245">
        <f t="shared" si="17"/>
        <v>0</v>
      </c>
      <c r="BF40" s="245">
        <f t="shared" si="18"/>
        <v>0</v>
      </c>
      <c r="BI40" s="245">
        <f t="shared" si="19"/>
        <v>0</v>
      </c>
      <c r="BL40" s="245">
        <f t="shared" si="20"/>
        <v>0</v>
      </c>
      <c r="BO40" s="245">
        <f t="shared" si="21"/>
        <v>0</v>
      </c>
      <c r="BR40" s="245">
        <f t="shared" si="22"/>
        <v>0</v>
      </c>
      <c r="BU40" s="245">
        <f t="shared" si="23"/>
        <v>0</v>
      </c>
      <c r="BX40" s="245">
        <f t="shared" si="24"/>
        <v>0</v>
      </c>
      <c r="CA40" s="245">
        <f t="shared" si="25"/>
        <v>0</v>
      </c>
      <c r="CD40" s="245">
        <f t="shared" si="26"/>
        <v>0</v>
      </c>
      <c r="CG40" s="245">
        <f t="shared" si="27"/>
        <v>0</v>
      </c>
      <c r="CJ40" s="245">
        <f t="shared" si="28"/>
        <v>0</v>
      </c>
      <c r="CM40" s="245">
        <f t="shared" si="29"/>
        <v>0</v>
      </c>
      <c r="CP40" s="245">
        <f t="shared" si="30"/>
        <v>0</v>
      </c>
      <c r="CS40" s="245">
        <f t="shared" si="31"/>
        <v>0</v>
      </c>
      <c r="CV40" s="245">
        <f t="shared" si="32"/>
        <v>0</v>
      </c>
      <c r="CY40" s="245">
        <f t="shared" si="33"/>
        <v>0</v>
      </c>
      <c r="DB40" s="245">
        <f t="shared" si="34"/>
        <v>0</v>
      </c>
      <c r="DE40" s="245">
        <f t="shared" si="35"/>
        <v>0</v>
      </c>
      <c r="DH40" s="245">
        <f t="shared" si="36"/>
        <v>0</v>
      </c>
      <c r="DK40" s="245">
        <f t="shared" si="37"/>
        <v>0</v>
      </c>
      <c r="DN40" s="245">
        <f t="shared" si="38"/>
        <v>0</v>
      </c>
      <c r="DQ40" s="245">
        <f t="shared" si="39"/>
        <v>0</v>
      </c>
      <c r="DT40" s="245">
        <f t="shared" si="40"/>
        <v>0</v>
      </c>
      <c r="DW40" s="245">
        <f t="shared" si="41"/>
        <v>0</v>
      </c>
      <c r="DY40" s="254"/>
      <c r="DZ40" s="243"/>
      <c r="EA40" s="245"/>
      <c r="EB40" s="279">
        <f t="shared" si="42"/>
        <v>303875000</v>
      </c>
      <c r="EC40" s="279">
        <f t="shared" si="43"/>
        <v>0</v>
      </c>
      <c r="ED40" s="245">
        <f t="shared" si="44"/>
        <v>2452.0833333333335</v>
      </c>
      <c r="EE40" s="246">
        <f t="shared" si="45"/>
        <v>2.9049773755656112E-3</v>
      </c>
      <c r="EG40" s="279">
        <f t="shared" si="46"/>
        <v>0</v>
      </c>
      <c r="EH40" s="245">
        <f t="shared" si="47"/>
        <v>0</v>
      </c>
      <c r="EI40" s="246">
        <f t="shared" si="48"/>
        <v>0</v>
      </c>
      <c r="EJ40" s="246"/>
      <c r="EK40" s="279">
        <f t="shared" si="49"/>
        <v>303875000</v>
      </c>
      <c r="EL40" s="279">
        <f t="shared" si="50"/>
        <v>0</v>
      </c>
      <c r="EM40" s="279">
        <f t="shared" si="51"/>
        <v>2452.0833333333335</v>
      </c>
      <c r="EN40" s="246">
        <f t="shared" si="52"/>
        <v>2.9049773755656112E-3</v>
      </c>
      <c r="EP40" s="245"/>
    </row>
    <row r="41" spans="1:146" x14ac:dyDescent="0.2">
      <c r="A41" s="280" t="s">
        <v>76</v>
      </c>
      <c r="D41" s="281">
        <f>SUM(D11:D40)</f>
        <v>0</v>
      </c>
      <c r="G41" s="281">
        <f>SUM(G11:G40)</f>
        <v>2904.6003885083337</v>
      </c>
      <c r="J41" s="281">
        <f>SUM(J11:J40)</f>
        <v>0</v>
      </c>
      <c r="M41" s="281">
        <f>SUM(M11:M40)</f>
        <v>0</v>
      </c>
      <c r="P41" s="281">
        <f>SUM(P11:P40)</f>
        <v>0</v>
      </c>
      <c r="S41" s="281">
        <f>SUM(S11:S40)</f>
        <v>0</v>
      </c>
      <c r="V41" s="281">
        <f>SUM(V11:V40)</f>
        <v>0</v>
      </c>
      <c r="Y41" s="281">
        <f>SUM(Y11:Y40)</f>
        <v>0</v>
      </c>
      <c r="AB41" s="281">
        <f>SUM(AB11:AB40)</f>
        <v>0</v>
      </c>
      <c r="AE41" s="281">
        <f>SUM(AE11:AE40)</f>
        <v>0</v>
      </c>
      <c r="AH41" s="281">
        <f>SUM(AH11:AH40)</f>
        <v>0</v>
      </c>
      <c r="AK41" s="281">
        <f>SUM(AK11:AK40)</f>
        <v>33750</v>
      </c>
      <c r="AL41" s="277"/>
      <c r="AM41" s="278"/>
      <c r="AN41" s="281">
        <f>SUM(AN11:AN40)</f>
        <v>20091.666666666668</v>
      </c>
      <c r="AQ41" s="281">
        <f>SUM(AQ11:AQ40)</f>
        <v>3845.4166666666656</v>
      </c>
      <c r="AT41" s="281">
        <f>SUM(AT11:AT40)</f>
        <v>0</v>
      </c>
      <c r="AW41" s="281">
        <f>SUM(AW11:AW40)</f>
        <v>0</v>
      </c>
      <c r="AZ41" s="281">
        <f>SUM(AZ11:AZ40)</f>
        <v>0</v>
      </c>
      <c r="BC41" s="281">
        <f>SUM(BC11:BC40)</f>
        <v>0</v>
      </c>
      <c r="BF41" s="281">
        <f>SUM(BF11:BF40)</f>
        <v>0</v>
      </c>
      <c r="BI41" s="281">
        <f>SUM(BI11:BI40)</f>
        <v>0</v>
      </c>
      <c r="BL41" s="281">
        <f>SUM(BL11:BL40)</f>
        <v>0</v>
      </c>
      <c r="BO41" s="281">
        <f>SUM(BO11:BO40)</f>
        <v>0</v>
      </c>
      <c r="BR41" s="281">
        <f>SUM(BR11:BR40)</f>
        <v>0</v>
      </c>
      <c r="BU41" s="281">
        <f>SUM(BU11:BU40)</f>
        <v>0</v>
      </c>
      <c r="BX41" s="281">
        <f>SUM(BX11:BX40)</f>
        <v>0</v>
      </c>
      <c r="CA41" s="281">
        <f>SUM(CA11:CA40)</f>
        <v>0</v>
      </c>
      <c r="CD41" s="281">
        <f>SUM(CD11:CD40)</f>
        <v>0</v>
      </c>
      <c r="CG41" s="281">
        <f>SUM(CG11:CG40)</f>
        <v>0</v>
      </c>
      <c r="CJ41" s="281">
        <f>SUM(CJ11:CJ40)</f>
        <v>0</v>
      </c>
      <c r="CM41" s="281">
        <f>SUM(CM11:CM40)</f>
        <v>0</v>
      </c>
      <c r="CP41" s="281">
        <f>SUM(CP11:CP40)</f>
        <v>0</v>
      </c>
      <c r="CS41" s="281">
        <f>SUM(CS11:CS40)</f>
        <v>0</v>
      </c>
      <c r="CV41" s="281">
        <f>SUM(CV11:CV40)</f>
        <v>0</v>
      </c>
      <c r="CY41" s="281">
        <f>SUM(CY11:CY40)</f>
        <v>0</v>
      </c>
      <c r="DB41" s="281">
        <f>SUM(DB11:DB40)</f>
        <v>0</v>
      </c>
      <c r="DE41" s="281">
        <f>SUM(DE11:DE40)</f>
        <v>0</v>
      </c>
      <c r="DH41" s="281">
        <f>SUM(DH11:DH40)</f>
        <v>0</v>
      </c>
      <c r="DK41" s="281">
        <f>SUM(DK11:DK40)</f>
        <v>0</v>
      </c>
      <c r="DN41" s="281">
        <f>SUM(DN11:DN40)</f>
        <v>0</v>
      </c>
      <c r="DQ41" s="281">
        <f>SUM(DQ11:DQ40)</f>
        <v>0</v>
      </c>
      <c r="DT41" s="281">
        <f>SUM(DT11:DT40)</f>
        <v>0</v>
      </c>
      <c r="DW41" s="281">
        <f>SUM(DW11:DW40)</f>
        <v>0</v>
      </c>
      <c r="DY41" s="254"/>
      <c r="DZ41" s="243"/>
      <c r="EA41" s="243"/>
      <c r="EB41" s="245"/>
      <c r="EC41" s="245"/>
      <c r="ED41" s="281">
        <f>SUM(ED11:ED40)</f>
        <v>60591.683721841662</v>
      </c>
      <c r="EE41" s="246"/>
      <c r="EG41" s="245"/>
      <c r="EH41" s="281">
        <f>SUM(EH11:EH40)</f>
        <v>0</v>
      </c>
      <c r="EI41" s="246"/>
      <c r="EJ41" s="246"/>
      <c r="EK41" s="245"/>
      <c r="EL41" s="245"/>
      <c r="EM41" s="281">
        <f>SUM(EM11:EM40)</f>
        <v>57687.083333333328</v>
      </c>
      <c r="EN41" s="246"/>
    </row>
    <row r="42" spans="1:146" x14ac:dyDescent="0.2">
      <c r="AL42" s="277"/>
      <c r="AM42" s="278"/>
    </row>
    <row r="43" spans="1:146" x14ac:dyDescent="0.2">
      <c r="AL43" s="277"/>
      <c r="AM43" s="278"/>
      <c r="EM43" s="282"/>
    </row>
    <row r="45" spans="1:146" x14ac:dyDescent="0.2">
      <c r="EM45" s="245"/>
    </row>
    <row r="47" spans="1:146" x14ac:dyDescent="0.2">
      <c r="EM47" s="245"/>
    </row>
  </sheetData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selection activeCell="A5" sqref="A5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0</v>
      </c>
      <c r="EI2" s="85">
        <f>EG40</f>
        <v>0</v>
      </c>
      <c r="EM2" s="85"/>
      <c r="EN2" s="85">
        <f>EK41</f>
        <v>0</v>
      </c>
      <c r="EO2" s="78">
        <v>0</v>
      </c>
      <c r="EP2" s="78">
        <f>EN2+EO2</f>
        <v>0</v>
      </c>
      <c r="EQ2" s="78">
        <f>EE2+EO2</f>
        <v>0</v>
      </c>
    </row>
    <row r="3" spans="1:147" ht="16.5" thickTop="1" x14ac:dyDescent="0.25">
      <c r="A3" s="86" t="s">
        <v>194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27807258.064516131</v>
      </c>
      <c r="EI3" s="85">
        <f>AVERAGE(EG11:EG40)</f>
        <v>0</v>
      </c>
      <c r="EM3" s="85"/>
      <c r="EN3" s="85">
        <f>AVERAGE(EK11:EK41)</f>
        <v>27807258.064516131</v>
      </c>
    </row>
    <row r="4" spans="1:147" x14ac:dyDescent="0.25">
      <c r="D4" s="33"/>
      <c r="E4" s="95" t="s">
        <v>102</v>
      </c>
      <c r="F4" s="85"/>
      <c r="G4" s="96">
        <f>EQ2</f>
        <v>0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1.9999999999999996E-3</v>
      </c>
      <c r="EI4" s="93">
        <f>IF(EI3=0,0,360*(AVERAGE(EH11:EH40)/EI3))</f>
        <v>0</v>
      </c>
      <c r="EM4" s="93"/>
      <c r="EN4" s="93">
        <f>IF(EN3=0,0,360*(AVERAGE(EM11:EM41)/EN3))</f>
        <v>1.9999999999999996E-3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27807258.064516131</v>
      </c>
      <c r="AI5" s="100" t="s">
        <v>97</v>
      </c>
      <c r="EB5" s="101" t="s">
        <v>109</v>
      </c>
      <c r="EC5" s="101"/>
      <c r="ED5" s="85"/>
      <c r="EE5" s="85">
        <f>MAX(EB11:EB41)</f>
        <v>144000000</v>
      </c>
      <c r="EI5" s="85">
        <f>MAX(EG11:EG40)</f>
        <v>0</v>
      </c>
      <c r="EM5" s="85"/>
      <c r="EN5" s="85">
        <f>MAX(EK11:EK41)</f>
        <v>144000000</v>
      </c>
    </row>
    <row r="6" spans="1:147" x14ac:dyDescent="0.25">
      <c r="D6" s="33"/>
      <c r="E6" s="95" t="s">
        <v>107</v>
      </c>
      <c r="F6" s="85"/>
      <c r="G6" s="102">
        <f>EE4</f>
        <v>1.9999999999999996E-3</v>
      </c>
    </row>
    <row r="7" spans="1:147" ht="16.5" thickBot="1" x14ac:dyDescent="0.3">
      <c r="D7" s="33"/>
      <c r="E7" s="103" t="s">
        <v>109</v>
      </c>
      <c r="F7" s="104"/>
      <c r="G7" s="105">
        <f>EE5</f>
        <v>144000000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44166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/>
      <c r="AJ11" s="121"/>
      <c r="AK11" s="87">
        <f>(AI11*AJ11)/360</f>
        <v>0</v>
      </c>
      <c r="AL11" s="120"/>
      <c r="AM11" s="121"/>
      <c r="AN11" s="87">
        <f>(AL11*AM11)/360</f>
        <v>0</v>
      </c>
      <c r="AO11" s="120"/>
      <c r="AP11" s="121"/>
      <c r="AQ11" s="87">
        <f>(AO11*AP11)/360</f>
        <v>0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0</v>
      </c>
      <c r="EE11" s="88">
        <f>IF(EB11&lt;&gt;0,((ED11/EB11)*360),0)</f>
        <v>0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0</v>
      </c>
      <c r="EN11" s="88">
        <f>IF(EK11&lt;&gt;0,((EM11/EK11)*360),0)</f>
        <v>0</v>
      </c>
      <c r="EP11" s="87"/>
    </row>
    <row r="12" spans="1:147" x14ac:dyDescent="0.25">
      <c r="A12" s="35">
        <f>1+A11</f>
        <v>44167</v>
      </c>
      <c r="B12" s="87">
        <v>0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/>
      <c r="AJ12" s="121"/>
      <c r="AK12" s="87">
        <f t="shared" ref="AK12:AK41" si="9">(AI12*AJ12)/360</f>
        <v>0</v>
      </c>
      <c r="AL12" s="120"/>
      <c r="AM12" s="121"/>
      <c r="AN12" s="87">
        <f t="shared" ref="AN12:AN41" si="10">(AL12*AM12)/360</f>
        <v>0</v>
      </c>
      <c r="AO12" s="120"/>
      <c r="AP12" s="121"/>
      <c r="AQ12" s="87">
        <f t="shared" ref="AQ12:AQ41" si="11">(AO12*AP12)/360</f>
        <v>0</v>
      </c>
      <c r="AR12" s="120"/>
      <c r="AS12" s="121"/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0</v>
      </c>
      <c r="EE12" s="88">
        <f t="shared" ref="EE12:EE41" si="43">IF(EB12&lt;&gt;0,((ED12/EB12)*360),0)</f>
        <v>0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0</v>
      </c>
      <c r="EN12" s="88">
        <f t="shared" ref="EN12:EN41" si="50">IF(EK12&lt;&gt;0,((EM12/EK12)*360),0)</f>
        <v>0</v>
      </c>
      <c r="EP12" s="87"/>
    </row>
    <row r="13" spans="1:147" x14ac:dyDescent="0.25">
      <c r="A13" s="35">
        <f t="shared" ref="A13:A41" si="51">1+A12</f>
        <v>44168</v>
      </c>
      <c r="B13" s="87">
        <v>0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/>
      <c r="AJ13" s="121"/>
      <c r="AK13" s="87">
        <f t="shared" si="9"/>
        <v>0</v>
      </c>
      <c r="AL13" s="120"/>
      <c r="AM13" s="121"/>
      <c r="AN13" s="87">
        <f t="shared" si="10"/>
        <v>0</v>
      </c>
      <c r="AO13" s="120"/>
      <c r="AP13" s="121"/>
      <c r="AQ13" s="87">
        <f t="shared" si="11"/>
        <v>0</v>
      </c>
      <c r="AR13" s="120"/>
      <c r="AS13" s="121"/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0</v>
      </c>
      <c r="EC13" s="122">
        <f t="shared" si="41"/>
        <v>0</v>
      </c>
      <c r="ED13" s="87">
        <f t="shared" si="42"/>
        <v>0</v>
      </c>
      <c r="EE13" s="88">
        <f t="shared" si="43"/>
        <v>0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0</v>
      </c>
      <c r="EL13" s="122">
        <f t="shared" si="48"/>
        <v>0</v>
      </c>
      <c r="EM13" s="122">
        <f t="shared" si="49"/>
        <v>0</v>
      </c>
      <c r="EN13" s="88">
        <f t="shared" si="50"/>
        <v>0</v>
      </c>
      <c r="EP13" s="87"/>
    </row>
    <row r="14" spans="1:147" x14ac:dyDescent="0.25">
      <c r="A14" s="35">
        <f t="shared" si="51"/>
        <v>44169</v>
      </c>
      <c r="B14" s="87">
        <v>0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/>
      <c r="AJ14" s="121"/>
      <c r="AK14" s="87">
        <f t="shared" si="9"/>
        <v>0</v>
      </c>
      <c r="AL14" s="120"/>
      <c r="AM14" s="121"/>
      <c r="AN14" s="87">
        <f t="shared" si="10"/>
        <v>0</v>
      </c>
      <c r="AO14" s="120"/>
      <c r="AP14" s="121"/>
      <c r="AQ14" s="87">
        <f t="shared" si="11"/>
        <v>0</v>
      </c>
      <c r="AR14" s="120"/>
      <c r="AS14" s="121"/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0</v>
      </c>
      <c r="EC14" s="122">
        <f t="shared" si="41"/>
        <v>0</v>
      </c>
      <c r="ED14" s="87">
        <f t="shared" si="42"/>
        <v>0</v>
      </c>
      <c r="EE14" s="88">
        <f t="shared" si="43"/>
        <v>0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0</v>
      </c>
      <c r="EL14" s="122">
        <f t="shared" si="48"/>
        <v>0</v>
      </c>
      <c r="EM14" s="122">
        <f t="shared" si="49"/>
        <v>0</v>
      </c>
      <c r="EN14" s="88">
        <f t="shared" si="50"/>
        <v>0</v>
      </c>
      <c r="EP14" s="87"/>
    </row>
    <row r="15" spans="1:147" x14ac:dyDescent="0.25">
      <c r="A15" s="35">
        <f t="shared" si="51"/>
        <v>44170</v>
      </c>
      <c r="B15" s="87">
        <v>0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/>
      <c r="AJ15" s="121"/>
      <c r="AK15" s="87">
        <f t="shared" si="9"/>
        <v>0</v>
      </c>
      <c r="AL15" s="120"/>
      <c r="AM15" s="121"/>
      <c r="AN15" s="87">
        <f t="shared" si="10"/>
        <v>0</v>
      </c>
      <c r="AO15" s="120"/>
      <c r="AP15" s="121"/>
      <c r="AQ15" s="87">
        <f t="shared" si="11"/>
        <v>0</v>
      </c>
      <c r="AR15" s="120"/>
      <c r="AS15" s="121"/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0</v>
      </c>
      <c r="EC15" s="122">
        <f t="shared" si="41"/>
        <v>0</v>
      </c>
      <c r="ED15" s="87">
        <f t="shared" si="42"/>
        <v>0</v>
      </c>
      <c r="EE15" s="88">
        <f t="shared" si="43"/>
        <v>0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0</v>
      </c>
      <c r="EL15" s="122">
        <f t="shared" si="48"/>
        <v>0</v>
      </c>
      <c r="EM15" s="122">
        <f t="shared" si="49"/>
        <v>0</v>
      </c>
      <c r="EN15" s="88">
        <f t="shared" si="50"/>
        <v>0</v>
      </c>
      <c r="EP15" s="87"/>
    </row>
    <row r="16" spans="1:147" x14ac:dyDescent="0.25">
      <c r="A16" s="35">
        <f t="shared" si="51"/>
        <v>44171</v>
      </c>
      <c r="B16" s="87">
        <v>0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/>
      <c r="AJ16" s="121"/>
      <c r="AK16" s="87">
        <f t="shared" si="9"/>
        <v>0</v>
      </c>
      <c r="AL16" s="120"/>
      <c r="AM16" s="121"/>
      <c r="AN16" s="87">
        <f t="shared" si="10"/>
        <v>0</v>
      </c>
      <c r="AO16" s="120"/>
      <c r="AP16" s="121"/>
      <c r="AQ16" s="87">
        <f t="shared" si="11"/>
        <v>0</v>
      </c>
      <c r="AR16" s="120"/>
      <c r="AS16" s="121"/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0</v>
      </c>
      <c r="EC16" s="122">
        <f t="shared" si="41"/>
        <v>0</v>
      </c>
      <c r="ED16" s="87">
        <f t="shared" si="42"/>
        <v>0</v>
      </c>
      <c r="EE16" s="88">
        <f t="shared" si="43"/>
        <v>0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0</v>
      </c>
      <c r="EL16" s="122">
        <f t="shared" si="48"/>
        <v>0</v>
      </c>
      <c r="EM16" s="122">
        <f t="shared" si="49"/>
        <v>0</v>
      </c>
      <c r="EN16" s="88">
        <f t="shared" si="50"/>
        <v>0</v>
      </c>
      <c r="EP16" s="87"/>
    </row>
    <row r="17" spans="1:146" x14ac:dyDescent="0.25">
      <c r="A17" s="35">
        <f t="shared" si="51"/>
        <v>44172</v>
      </c>
      <c r="B17" s="87">
        <v>0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/>
      <c r="AJ17" s="121"/>
      <c r="AK17" s="87">
        <f t="shared" si="9"/>
        <v>0</v>
      </c>
      <c r="AL17" s="120"/>
      <c r="AM17" s="121"/>
      <c r="AN17" s="87">
        <f t="shared" si="10"/>
        <v>0</v>
      </c>
      <c r="AO17" s="120"/>
      <c r="AP17" s="121"/>
      <c r="AQ17" s="87">
        <f t="shared" si="11"/>
        <v>0</v>
      </c>
      <c r="AR17" s="120"/>
      <c r="AS17" s="121"/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0</v>
      </c>
      <c r="EC17" s="122">
        <f t="shared" si="41"/>
        <v>0</v>
      </c>
      <c r="ED17" s="87">
        <f t="shared" si="42"/>
        <v>0</v>
      </c>
      <c r="EE17" s="88">
        <f t="shared" si="43"/>
        <v>0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0</v>
      </c>
      <c r="EL17" s="122">
        <f t="shared" si="48"/>
        <v>0</v>
      </c>
      <c r="EM17" s="122">
        <f t="shared" si="49"/>
        <v>0</v>
      </c>
      <c r="EN17" s="88">
        <f t="shared" si="50"/>
        <v>0</v>
      </c>
      <c r="EP17" s="87"/>
    </row>
    <row r="18" spans="1:146" x14ac:dyDescent="0.25">
      <c r="A18" s="35">
        <f t="shared" si="51"/>
        <v>44173</v>
      </c>
      <c r="B18" s="87">
        <v>0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/>
      <c r="AJ18" s="121"/>
      <c r="AK18" s="87">
        <f t="shared" si="9"/>
        <v>0</v>
      </c>
      <c r="AL18" s="120"/>
      <c r="AM18" s="121"/>
      <c r="AN18" s="87">
        <f t="shared" si="10"/>
        <v>0</v>
      </c>
      <c r="AO18" s="120"/>
      <c r="AP18" s="121"/>
      <c r="AQ18" s="87">
        <f t="shared" si="11"/>
        <v>0</v>
      </c>
      <c r="AR18" s="120"/>
      <c r="AS18" s="121"/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0</v>
      </c>
      <c r="EC18" s="122">
        <f t="shared" si="41"/>
        <v>0</v>
      </c>
      <c r="ED18" s="87">
        <f t="shared" si="42"/>
        <v>0</v>
      </c>
      <c r="EE18" s="88">
        <f t="shared" si="43"/>
        <v>0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0</v>
      </c>
      <c r="EL18" s="122">
        <f t="shared" si="48"/>
        <v>0</v>
      </c>
      <c r="EM18" s="122">
        <f t="shared" si="49"/>
        <v>0</v>
      </c>
      <c r="EN18" s="88">
        <f t="shared" si="50"/>
        <v>0</v>
      </c>
      <c r="EP18" s="87"/>
    </row>
    <row r="19" spans="1:146" x14ac:dyDescent="0.25">
      <c r="A19" s="35">
        <f t="shared" si="51"/>
        <v>44174</v>
      </c>
      <c r="B19" s="87">
        <v>0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/>
      <c r="AJ19" s="121"/>
      <c r="AK19" s="87">
        <f t="shared" si="9"/>
        <v>0</v>
      </c>
      <c r="AL19" s="120"/>
      <c r="AM19" s="121"/>
      <c r="AN19" s="87">
        <f t="shared" si="10"/>
        <v>0</v>
      </c>
      <c r="AO19" s="120"/>
      <c r="AP19" s="121"/>
      <c r="AQ19" s="87">
        <f t="shared" si="11"/>
        <v>0</v>
      </c>
      <c r="AR19" s="120"/>
      <c r="AS19" s="121"/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0</v>
      </c>
      <c r="EC19" s="122">
        <f t="shared" si="41"/>
        <v>0</v>
      </c>
      <c r="ED19" s="87">
        <f t="shared" si="42"/>
        <v>0</v>
      </c>
      <c r="EE19" s="88">
        <f t="shared" si="43"/>
        <v>0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0</v>
      </c>
      <c r="EL19" s="122">
        <f t="shared" si="48"/>
        <v>0</v>
      </c>
      <c r="EM19" s="122">
        <f t="shared" si="49"/>
        <v>0</v>
      </c>
      <c r="EN19" s="88">
        <f t="shared" si="50"/>
        <v>0</v>
      </c>
      <c r="EP19" s="87"/>
    </row>
    <row r="20" spans="1:146" x14ac:dyDescent="0.25">
      <c r="A20" s="35">
        <f t="shared" si="51"/>
        <v>44175</v>
      </c>
      <c r="B20" s="87">
        <v>0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/>
      <c r="AJ20" s="121"/>
      <c r="AK20" s="87">
        <f t="shared" si="9"/>
        <v>0</v>
      </c>
      <c r="AL20" s="120"/>
      <c r="AM20" s="121"/>
      <c r="AN20" s="87">
        <f t="shared" si="10"/>
        <v>0</v>
      </c>
      <c r="AO20" s="120"/>
      <c r="AP20" s="121"/>
      <c r="AQ20" s="87">
        <f t="shared" si="11"/>
        <v>0</v>
      </c>
      <c r="AR20" s="120"/>
      <c r="AS20" s="121"/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0</v>
      </c>
      <c r="EC20" s="122">
        <f t="shared" si="41"/>
        <v>0</v>
      </c>
      <c r="ED20" s="87">
        <f t="shared" si="42"/>
        <v>0</v>
      </c>
      <c r="EE20" s="88">
        <f t="shared" si="43"/>
        <v>0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0</v>
      </c>
      <c r="EL20" s="122">
        <f t="shared" si="48"/>
        <v>0</v>
      </c>
      <c r="EM20" s="122">
        <f t="shared" si="49"/>
        <v>0</v>
      </c>
      <c r="EN20" s="88">
        <f t="shared" si="50"/>
        <v>0</v>
      </c>
      <c r="EP20" s="87"/>
    </row>
    <row r="21" spans="1:146" x14ac:dyDescent="0.25">
      <c r="A21" s="35">
        <f t="shared" si="51"/>
        <v>44176</v>
      </c>
      <c r="B21" s="87">
        <v>0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/>
      <c r="AJ21" s="121"/>
      <c r="AK21" s="87">
        <f t="shared" si="9"/>
        <v>0</v>
      </c>
      <c r="AL21" s="120"/>
      <c r="AM21" s="121"/>
      <c r="AN21" s="87">
        <f t="shared" si="10"/>
        <v>0</v>
      </c>
      <c r="AO21" s="120"/>
      <c r="AP21" s="121"/>
      <c r="AQ21" s="87">
        <f t="shared" si="11"/>
        <v>0</v>
      </c>
      <c r="AR21" s="120"/>
      <c r="AS21" s="121"/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0</v>
      </c>
      <c r="EC21" s="122">
        <f t="shared" si="41"/>
        <v>0</v>
      </c>
      <c r="ED21" s="87">
        <f t="shared" si="42"/>
        <v>0</v>
      </c>
      <c r="EE21" s="88">
        <f t="shared" si="43"/>
        <v>0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0</v>
      </c>
      <c r="EL21" s="122">
        <f t="shared" si="48"/>
        <v>0</v>
      </c>
      <c r="EM21" s="122">
        <f t="shared" si="49"/>
        <v>0</v>
      </c>
      <c r="EN21" s="88">
        <f t="shared" si="50"/>
        <v>0</v>
      </c>
      <c r="EP21" s="87"/>
    </row>
    <row r="22" spans="1:146" x14ac:dyDescent="0.25">
      <c r="A22" s="35">
        <f t="shared" si="51"/>
        <v>44177</v>
      </c>
      <c r="B22" s="87">
        <v>0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/>
      <c r="AJ22" s="121"/>
      <c r="AK22" s="87">
        <f t="shared" si="9"/>
        <v>0</v>
      </c>
      <c r="AL22" s="120"/>
      <c r="AM22" s="121"/>
      <c r="AN22" s="87">
        <f t="shared" si="10"/>
        <v>0</v>
      </c>
      <c r="AO22" s="120"/>
      <c r="AP22" s="121"/>
      <c r="AQ22" s="87">
        <f t="shared" si="11"/>
        <v>0</v>
      </c>
      <c r="AR22" s="120"/>
      <c r="AS22" s="121"/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0</v>
      </c>
      <c r="EC22" s="122">
        <f t="shared" si="41"/>
        <v>0</v>
      </c>
      <c r="ED22" s="87">
        <f t="shared" si="42"/>
        <v>0</v>
      </c>
      <c r="EE22" s="88">
        <f t="shared" si="43"/>
        <v>0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0</v>
      </c>
      <c r="EL22" s="122">
        <f t="shared" si="48"/>
        <v>0</v>
      </c>
      <c r="EM22" s="122">
        <f t="shared" si="49"/>
        <v>0</v>
      </c>
      <c r="EN22" s="88">
        <f t="shared" si="50"/>
        <v>0</v>
      </c>
      <c r="EP22" s="87"/>
    </row>
    <row r="23" spans="1:146" x14ac:dyDescent="0.25">
      <c r="A23" s="35">
        <f t="shared" si="51"/>
        <v>44178</v>
      </c>
      <c r="B23" s="87">
        <v>0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/>
      <c r="AJ23" s="121"/>
      <c r="AK23" s="87">
        <f t="shared" si="9"/>
        <v>0</v>
      </c>
      <c r="AL23" s="120"/>
      <c r="AM23" s="121"/>
      <c r="AN23" s="87">
        <f t="shared" si="10"/>
        <v>0</v>
      </c>
      <c r="AO23" s="120"/>
      <c r="AP23" s="121"/>
      <c r="AQ23" s="87">
        <f t="shared" si="11"/>
        <v>0</v>
      </c>
      <c r="AR23" s="120"/>
      <c r="AS23" s="121"/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0</v>
      </c>
      <c r="EC23" s="122">
        <f t="shared" si="41"/>
        <v>0</v>
      </c>
      <c r="ED23" s="87">
        <f t="shared" si="42"/>
        <v>0</v>
      </c>
      <c r="EE23" s="88">
        <f t="shared" si="43"/>
        <v>0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0</v>
      </c>
      <c r="EL23" s="122">
        <f t="shared" si="48"/>
        <v>0</v>
      </c>
      <c r="EM23" s="122">
        <f t="shared" si="49"/>
        <v>0</v>
      </c>
      <c r="EN23" s="88">
        <f t="shared" si="50"/>
        <v>0</v>
      </c>
      <c r="EP23" s="87"/>
    </row>
    <row r="24" spans="1:146" x14ac:dyDescent="0.25">
      <c r="A24" s="35">
        <f t="shared" si="51"/>
        <v>44179</v>
      </c>
      <c r="B24" s="87">
        <v>0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/>
      <c r="AJ24" s="121"/>
      <c r="AK24" s="87">
        <f t="shared" si="9"/>
        <v>0</v>
      </c>
      <c r="AL24" s="120"/>
      <c r="AM24" s="121"/>
      <c r="AN24" s="87">
        <f t="shared" si="10"/>
        <v>0</v>
      </c>
      <c r="AO24" s="120"/>
      <c r="AP24" s="121"/>
      <c r="AQ24" s="87">
        <f t="shared" si="11"/>
        <v>0</v>
      </c>
      <c r="AR24" s="120"/>
      <c r="AS24" s="121"/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0</v>
      </c>
      <c r="EC24" s="122">
        <f t="shared" si="41"/>
        <v>0</v>
      </c>
      <c r="ED24" s="87">
        <f t="shared" si="42"/>
        <v>0</v>
      </c>
      <c r="EE24" s="88">
        <f t="shared" si="43"/>
        <v>0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0</v>
      </c>
      <c r="EL24" s="122">
        <f t="shared" si="48"/>
        <v>0</v>
      </c>
      <c r="EM24" s="122">
        <f t="shared" si="49"/>
        <v>0</v>
      </c>
      <c r="EN24" s="88">
        <f t="shared" si="50"/>
        <v>0</v>
      </c>
      <c r="EP24" s="87"/>
    </row>
    <row r="25" spans="1:146" x14ac:dyDescent="0.25">
      <c r="A25" s="35">
        <f t="shared" si="51"/>
        <v>44180</v>
      </c>
      <c r="B25" s="87">
        <v>0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/>
      <c r="AJ25" s="121"/>
      <c r="AK25" s="87">
        <f t="shared" si="9"/>
        <v>0</v>
      </c>
      <c r="AL25" s="120"/>
      <c r="AM25" s="121"/>
      <c r="AN25" s="87">
        <f t="shared" si="10"/>
        <v>0</v>
      </c>
      <c r="AO25" s="120"/>
      <c r="AP25" s="121"/>
      <c r="AQ25" s="87">
        <f t="shared" si="11"/>
        <v>0</v>
      </c>
      <c r="AR25" s="120"/>
      <c r="AS25" s="121"/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0</v>
      </c>
      <c r="EC25" s="122">
        <f t="shared" si="41"/>
        <v>0</v>
      </c>
      <c r="ED25" s="87">
        <f t="shared" si="42"/>
        <v>0</v>
      </c>
      <c r="EE25" s="88">
        <f t="shared" si="43"/>
        <v>0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0</v>
      </c>
      <c r="EL25" s="122">
        <f t="shared" si="48"/>
        <v>0</v>
      </c>
      <c r="EM25" s="122">
        <f t="shared" si="49"/>
        <v>0</v>
      </c>
      <c r="EN25" s="88">
        <f t="shared" si="50"/>
        <v>0</v>
      </c>
      <c r="EP25" s="87"/>
    </row>
    <row r="26" spans="1:146" x14ac:dyDescent="0.25">
      <c r="A26" s="35">
        <f t="shared" si="51"/>
        <v>44181</v>
      </c>
      <c r="B26" s="87">
        <v>0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/>
      <c r="AJ26" s="121"/>
      <c r="AK26" s="87">
        <f t="shared" si="9"/>
        <v>0</v>
      </c>
      <c r="AL26" s="120"/>
      <c r="AM26" s="121"/>
      <c r="AN26" s="87">
        <f t="shared" si="10"/>
        <v>0</v>
      </c>
      <c r="AO26" s="120"/>
      <c r="AP26" s="121"/>
      <c r="AQ26" s="87">
        <f t="shared" si="11"/>
        <v>0</v>
      </c>
      <c r="AR26" s="120"/>
      <c r="AS26" s="121"/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0</v>
      </c>
      <c r="EC26" s="122">
        <f t="shared" si="41"/>
        <v>0</v>
      </c>
      <c r="ED26" s="87">
        <f t="shared" si="42"/>
        <v>0</v>
      </c>
      <c r="EE26" s="88">
        <f t="shared" si="43"/>
        <v>0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0</v>
      </c>
      <c r="EL26" s="122">
        <f t="shared" si="48"/>
        <v>0</v>
      </c>
      <c r="EM26" s="122">
        <f t="shared" si="49"/>
        <v>0</v>
      </c>
      <c r="EN26" s="88">
        <f t="shared" si="50"/>
        <v>0</v>
      </c>
      <c r="EP26" s="87"/>
    </row>
    <row r="27" spans="1:146" x14ac:dyDescent="0.25">
      <c r="A27" s="35">
        <f t="shared" si="51"/>
        <v>44182</v>
      </c>
      <c r="B27" s="87">
        <v>0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/>
      <c r="AJ27" s="121"/>
      <c r="AK27" s="87">
        <f t="shared" si="9"/>
        <v>0</v>
      </c>
      <c r="AL27" s="120"/>
      <c r="AM27" s="121"/>
      <c r="AN27" s="87">
        <f t="shared" si="10"/>
        <v>0</v>
      </c>
      <c r="AO27" s="120"/>
      <c r="AP27" s="121"/>
      <c r="AQ27" s="87">
        <f t="shared" si="11"/>
        <v>0</v>
      </c>
      <c r="AR27" s="120"/>
      <c r="AS27" s="121"/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0</v>
      </c>
      <c r="EC27" s="122">
        <f t="shared" si="41"/>
        <v>0</v>
      </c>
      <c r="ED27" s="87">
        <f t="shared" si="42"/>
        <v>0</v>
      </c>
      <c r="EE27" s="88">
        <f t="shared" si="43"/>
        <v>0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0</v>
      </c>
      <c r="EL27" s="122">
        <f t="shared" si="48"/>
        <v>0</v>
      </c>
      <c r="EM27" s="122">
        <f t="shared" si="49"/>
        <v>0</v>
      </c>
      <c r="EN27" s="88">
        <f t="shared" si="50"/>
        <v>0</v>
      </c>
      <c r="EP27" s="87"/>
    </row>
    <row r="28" spans="1:146" x14ac:dyDescent="0.25">
      <c r="A28" s="35">
        <f t="shared" si="51"/>
        <v>44183</v>
      </c>
      <c r="B28" s="87">
        <v>0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/>
      <c r="AJ28" s="121"/>
      <c r="AK28" s="87">
        <f t="shared" si="9"/>
        <v>0</v>
      </c>
      <c r="AL28" s="120"/>
      <c r="AM28" s="121"/>
      <c r="AN28" s="87">
        <f t="shared" si="10"/>
        <v>0</v>
      </c>
      <c r="AO28" s="120"/>
      <c r="AP28" s="121"/>
      <c r="AQ28" s="87">
        <f t="shared" si="11"/>
        <v>0</v>
      </c>
      <c r="AR28" s="120"/>
      <c r="AS28" s="121"/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0</v>
      </c>
      <c r="EC28" s="122">
        <f t="shared" si="41"/>
        <v>0</v>
      </c>
      <c r="ED28" s="87">
        <f t="shared" si="42"/>
        <v>0</v>
      </c>
      <c r="EE28" s="88">
        <f t="shared" si="43"/>
        <v>0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0</v>
      </c>
      <c r="EL28" s="122">
        <f t="shared" si="48"/>
        <v>0</v>
      </c>
      <c r="EM28" s="122">
        <f t="shared" si="49"/>
        <v>0</v>
      </c>
      <c r="EN28" s="88">
        <f t="shared" si="50"/>
        <v>0</v>
      </c>
      <c r="EP28" s="87"/>
    </row>
    <row r="29" spans="1:146" x14ac:dyDescent="0.25">
      <c r="A29" s="35">
        <f t="shared" si="51"/>
        <v>44184</v>
      </c>
      <c r="B29" s="87">
        <v>0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/>
      <c r="AJ29" s="121"/>
      <c r="AK29" s="87">
        <f t="shared" si="9"/>
        <v>0</v>
      </c>
      <c r="AL29" s="120"/>
      <c r="AM29" s="121"/>
      <c r="AN29" s="87">
        <f t="shared" si="10"/>
        <v>0</v>
      </c>
      <c r="AO29" s="120"/>
      <c r="AP29" s="121"/>
      <c r="AQ29" s="87">
        <f t="shared" si="11"/>
        <v>0</v>
      </c>
      <c r="AR29" s="120"/>
      <c r="AS29" s="121"/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0</v>
      </c>
      <c r="EC29" s="122">
        <f t="shared" si="41"/>
        <v>0</v>
      </c>
      <c r="ED29" s="87">
        <f t="shared" si="42"/>
        <v>0</v>
      </c>
      <c r="EE29" s="88">
        <f t="shared" si="43"/>
        <v>0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0</v>
      </c>
      <c r="EL29" s="122">
        <f t="shared" si="48"/>
        <v>0</v>
      </c>
      <c r="EM29" s="122">
        <f t="shared" si="49"/>
        <v>0</v>
      </c>
      <c r="EN29" s="88">
        <f t="shared" si="50"/>
        <v>0</v>
      </c>
      <c r="EP29" s="87"/>
    </row>
    <row r="30" spans="1:146" x14ac:dyDescent="0.25">
      <c r="A30" s="35">
        <f t="shared" si="51"/>
        <v>44185</v>
      </c>
      <c r="B30" s="87">
        <v>0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/>
      <c r="AJ30" s="121"/>
      <c r="AK30" s="87">
        <f t="shared" si="9"/>
        <v>0</v>
      </c>
      <c r="AL30" s="120"/>
      <c r="AM30" s="121"/>
      <c r="AN30" s="87">
        <f t="shared" si="10"/>
        <v>0</v>
      </c>
      <c r="AO30" s="120"/>
      <c r="AP30" s="121"/>
      <c r="AQ30" s="87">
        <f t="shared" si="11"/>
        <v>0</v>
      </c>
      <c r="AR30" s="120"/>
      <c r="AS30" s="121"/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0</v>
      </c>
      <c r="EC30" s="122">
        <f t="shared" si="41"/>
        <v>0</v>
      </c>
      <c r="ED30" s="87">
        <f t="shared" si="42"/>
        <v>0</v>
      </c>
      <c r="EE30" s="88">
        <f t="shared" si="43"/>
        <v>0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0</v>
      </c>
      <c r="EL30" s="122">
        <f t="shared" si="48"/>
        <v>0</v>
      </c>
      <c r="EM30" s="122">
        <f t="shared" si="49"/>
        <v>0</v>
      </c>
      <c r="EN30" s="88">
        <f t="shared" si="50"/>
        <v>0</v>
      </c>
      <c r="EP30" s="87"/>
    </row>
    <row r="31" spans="1:146" x14ac:dyDescent="0.25">
      <c r="A31" s="35">
        <f t="shared" si="51"/>
        <v>44186</v>
      </c>
      <c r="B31" s="87">
        <v>0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/>
      <c r="AJ31" s="121"/>
      <c r="AK31" s="87">
        <f t="shared" si="9"/>
        <v>0</v>
      </c>
      <c r="AL31" s="120"/>
      <c r="AM31" s="121"/>
      <c r="AN31" s="87">
        <f t="shared" si="10"/>
        <v>0</v>
      </c>
      <c r="AO31" s="120"/>
      <c r="AP31" s="121"/>
      <c r="AQ31" s="87">
        <f t="shared" si="11"/>
        <v>0</v>
      </c>
      <c r="AR31" s="120"/>
      <c r="AS31" s="121"/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0</v>
      </c>
      <c r="EC31" s="122">
        <f t="shared" si="41"/>
        <v>0</v>
      </c>
      <c r="ED31" s="87">
        <f t="shared" si="42"/>
        <v>0</v>
      </c>
      <c r="EE31" s="88">
        <f t="shared" si="43"/>
        <v>0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0</v>
      </c>
      <c r="EL31" s="122">
        <f t="shared" si="48"/>
        <v>0</v>
      </c>
      <c r="EM31" s="122">
        <f t="shared" si="49"/>
        <v>0</v>
      </c>
      <c r="EN31" s="88">
        <f t="shared" si="50"/>
        <v>0</v>
      </c>
      <c r="EP31" s="87"/>
    </row>
    <row r="32" spans="1:146" x14ac:dyDescent="0.25">
      <c r="A32" s="35">
        <f t="shared" si="51"/>
        <v>44187</v>
      </c>
      <c r="B32" s="87">
        <v>0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v>118325000</v>
      </c>
      <c r="AJ32" s="121">
        <v>2E-3</v>
      </c>
      <c r="AK32" s="87">
        <f t="shared" si="9"/>
        <v>657.36111111111109</v>
      </c>
      <c r="AL32" s="120"/>
      <c r="AM32" s="121"/>
      <c r="AN32" s="87">
        <f t="shared" si="10"/>
        <v>0</v>
      </c>
      <c r="AO32" s="120"/>
      <c r="AP32" s="121"/>
      <c r="AQ32" s="87">
        <f t="shared" si="11"/>
        <v>0</v>
      </c>
      <c r="AR32" s="120"/>
      <c r="AS32" s="121"/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118325000</v>
      </c>
      <c r="EC32" s="122">
        <f t="shared" si="41"/>
        <v>0</v>
      </c>
      <c r="ED32" s="87">
        <f t="shared" si="42"/>
        <v>657.36111111111109</v>
      </c>
      <c r="EE32" s="88">
        <f t="shared" si="43"/>
        <v>1.9999999999999996E-3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118325000</v>
      </c>
      <c r="EL32" s="122">
        <f t="shared" si="48"/>
        <v>0</v>
      </c>
      <c r="EM32" s="122">
        <f t="shared" si="49"/>
        <v>657.36111111111109</v>
      </c>
      <c r="EN32" s="88">
        <f t="shared" si="50"/>
        <v>1.9999999999999996E-3</v>
      </c>
      <c r="EP32" s="87"/>
    </row>
    <row r="33" spans="1:146" x14ac:dyDescent="0.25">
      <c r="A33" s="35">
        <f t="shared" si="51"/>
        <v>44188</v>
      </c>
      <c r="B33" s="87">
        <v>0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30000000+80000000+12300000</f>
        <v>122300000</v>
      </c>
      <c r="AJ33" s="121">
        <v>2E-3</v>
      </c>
      <c r="AK33" s="87">
        <f t="shared" si="9"/>
        <v>679.44444444444446</v>
      </c>
      <c r="AL33" s="120"/>
      <c r="AM33" s="121"/>
      <c r="AN33" s="87">
        <f t="shared" si="10"/>
        <v>0</v>
      </c>
      <c r="AO33" s="120"/>
      <c r="AP33" s="121"/>
      <c r="AQ33" s="87">
        <f t="shared" si="11"/>
        <v>0</v>
      </c>
      <c r="AR33" s="120"/>
      <c r="AS33" s="121"/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122300000</v>
      </c>
      <c r="EC33" s="122">
        <f t="shared" si="41"/>
        <v>0</v>
      </c>
      <c r="ED33" s="87">
        <f t="shared" si="42"/>
        <v>679.44444444444446</v>
      </c>
      <c r="EE33" s="88">
        <f t="shared" si="43"/>
        <v>2E-3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122300000</v>
      </c>
      <c r="EL33" s="122">
        <f t="shared" si="48"/>
        <v>0</v>
      </c>
      <c r="EM33" s="122">
        <f t="shared" si="49"/>
        <v>679.44444444444446</v>
      </c>
      <c r="EN33" s="88">
        <f t="shared" si="50"/>
        <v>2E-3</v>
      </c>
      <c r="EP33" s="87"/>
    </row>
    <row r="34" spans="1:146" x14ac:dyDescent="0.25">
      <c r="A34" s="35">
        <f t="shared" si="51"/>
        <v>44189</v>
      </c>
      <c r="B34" s="87">
        <v>0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30000000+80000000+9350000</f>
        <v>119350000</v>
      </c>
      <c r="AJ34" s="121">
        <v>2E-3</v>
      </c>
      <c r="AK34" s="87">
        <f t="shared" si="9"/>
        <v>663.05555555555554</v>
      </c>
      <c r="AL34" s="120"/>
      <c r="AM34" s="121"/>
      <c r="AN34" s="87">
        <f t="shared" si="10"/>
        <v>0</v>
      </c>
      <c r="AO34" s="120"/>
      <c r="AP34" s="121"/>
      <c r="AQ34" s="87">
        <f t="shared" si="11"/>
        <v>0</v>
      </c>
      <c r="AR34" s="120"/>
      <c r="AS34" s="121"/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119350000</v>
      </c>
      <c r="EC34" s="122">
        <f t="shared" si="41"/>
        <v>0</v>
      </c>
      <c r="ED34" s="87">
        <f t="shared" si="42"/>
        <v>663.05555555555554</v>
      </c>
      <c r="EE34" s="88">
        <f t="shared" si="43"/>
        <v>2E-3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119350000</v>
      </c>
      <c r="EL34" s="122">
        <f t="shared" si="48"/>
        <v>0</v>
      </c>
      <c r="EM34" s="122">
        <f t="shared" si="49"/>
        <v>663.05555555555554</v>
      </c>
      <c r="EN34" s="88">
        <f t="shared" si="50"/>
        <v>2E-3</v>
      </c>
      <c r="EP34" s="87"/>
    </row>
    <row r="35" spans="1:146" x14ac:dyDescent="0.25">
      <c r="A35" s="35">
        <f t="shared" si="51"/>
        <v>44190</v>
      </c>
      <c r="B35" s="87">
        <v>0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30000000+80000000+9350000</f>
        <v>119350000</v>
      </c>
      <c r="AJ35" s="121">
        <v>2E-3</v>
      </c>
      <c r="AK35" s="87">
        <f t="shared" si="9"/>
        <v>663.05555555555554</v>
      </c>
      <c r="AL35" s="120"/>
      <c r="AM35" s="121"/>
      <c r="AN35" s="87">
        <f t="shared" si="10"/>
        <v>0</v>
      </c>
      <c r="AO35" s="120"/>
      <c r="AP35" s="121"/>
      <c r="AQ35" s="87">
        <f t="shared" si="11"/>
        <v>0</v>
      </c>
      <c r="AR35" s="120"/>
      <c r="AS35" s="121"/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119350000</v>
      </c>
      <c r="EC35" s="122">
        <f t="shared" si="41"/>
        <v>0</v>
      </c>
      <c r="ED35" s="87">
        <f t="shared" si="42"/>
        <v>663.05555555555554</v>
      </c>
      <c r="EE35" s="88">
        <f t="shared" si="43"/>
        <v>2E-3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119350000</v>
      </c>
      <c r="EL35" s="122">
        <f t="shared" si="48"/>
        <v>0</v>
      </c>
      <c r="EM35" s="122">
        <f t="shared" si="49"/>
        <v>663.05555555555554</v>
      </c>
      <c r="EN35" s="88">
        <f t="shared" si="50"/>
        <v>2E-3</v>
      </c>
      <c r="EP35" s="87"/>
    </row>
    <row r="36" spans="1:146" x14ac:dyDescent="0.25">
      <c r="A36" s="35">
        <f t="shared" si="51"/>
        <v>44191</v>
      </c>
      <c r="B36" s="87">
        <v>0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30000000+80000000+9350000</f>
        <v>119350000</v>
      </c>
      <c r="AJ36" s="121">
        <v>2E-3</v>
      </c>
      <c r="AK36" s="87">
        <f t="shared" si="9"/>
        <v>663.05555555555554</v>
      </c>
      <c r="AL36" s="120"/>
      <c r="AM36" s="121"/>
      <c r="AN36" s="87">
        <f t="shared" si="10"/>
        <v>0</v>
      </c>
      <c r="AO36" s="120"/>
      <c r="AP36" s="121"/>
      <c r="AQ36" s="87">
        <f t="shared" si="11"/>
        <v>0</v>
      </c>
      <c r="AR36" s="120"/>
      <c r="AS36" s="121"/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119350000</v>
      </c>
      <c r="EC36" s="122">
        <f t="shared" si="41"/>
        <v>0</v>
      </c>
      <c r="ED36" s="87">
        <f t="shared" si="42"/>
        <v>663.05555555555554</v>
      </c>
      <c r="EE36" s="88">
        <f t="shared" si="43"/>
        <v>2E-3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119350000</v>
      </c>
      <c r="EL36" s="122">
        <f t="shared" si="48"/>
        <v>0</v>
      </c>
      <c r="EM36" s="122">
        <f t="shared" si="49"/>
        <v>663.05555555555554</v>
      </c>
      <c r="EN36" s="88">
        <f t="shared" si="50"/>
        <v>2E-3</v>
      </c>
      <c r="EP36" s="87"/>
    </row>
    <row r="37" spans="1:146" x14ac:dyDescent="0.25">
      <c r="A37" s="35">
        <f t="shared" si="51"/>
        <v>44192</v>
      </c>
      <c r="B37" s="87">
        <v>0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30000000+80000000+9350000</f>
        <v>119350000</v>
      </c>
      <c r="AJ37" s="121">
        <v>2E-3</v>
      </c>
      <c r="AK37" s="87">
        <f t="shared" si="9"/>
        <v>663.05555555555554</v>
      </c>
      <c r="AL37" s="120"/>
      <c r="AM37" s="121"/>
      <c r="AN37" s="87">
        <f t="shared" si="10"/>
        <v>0</v>
      </c>
      <c r="AO37" s="120"/>
      <c r="AP37" s="121"/>
      <c r="AQ37" s="87">
        <f t="shared" si="11"/>
        <v>0</v>
      </c>
      <c r="AR37" s="120"/>
      <c r="AS37" s="121"/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119350000</v>
      </c>
      <c r="EC37" s="122">
        <f t="shared" si="41"/>
        <v>0</v>
      </c>
      <c r="ED37" s="87">
        <f t="shared" si="42"/>
        <v>663.05555555555554</v>
      </c>
      <c r="EE37" s="88">
        <f t="shared" si="43"/>
        <v>2E-3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119350000</v>
      </c>
      <c r="EL37" s="122">
        <f t="shared" si="48"/>
        <v>0</v>
      </c>
      <c r="EM37" s="122">
        <f t="shared" si="49"/>
        <v>663.05555555555554</v>
      </c>
      <c r="EN37" s="88">
        <f t="shared" si="50"/>
        <v>2E-3</v>
      </c>
      <c r="EP37" s="87"/>
    </row>
    <row r="38" spans="1:146" x14ac:dyDescent="0.25">
      <c r="A38" s="35">
        <f t="shared" si="51"/>
        <v>44193</v>
      </c>
      <c r="B38" s="87">
        <v>0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f>30000000+114000000</f>
        <v>144000000</v>
      </c>
      <c r="AJ38" s="121">
        <v>2E-3</v>
      </c>
      <c r="AK38" s="87">
        <f t="shared" si="9"/>
        <v>800</v>
      </c>
      <c r="AL38" s="120"/>
      <c r="AM38" s="121"/>
      <c r="AN38" s="87">
        <f t="shared" si="10"/>
        <v>0</v>
      </c>
      <c r="AO38" s="120"/>
      <c r="AP38" s="121"/>
      <c r="AQ38" s="87">
        <f t="shared" si="11"/>
        <v>0</v>
      </c>
      <c r="AR38" s="120"/>
      <c r="AS38" s="121"/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144000000</v>
      </c>
      <c r="EC38" s="122">
        <f t="shared" si="41"/>
        <v>0</v>
      </c>
      <c r="ED38" s="87">
        <f t="shared" si="42"/>
        <v>800</v>
      </c>
      <c r="EE38" s="88">
        <f t="shared" si="43"/>
        <v>2E-3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144000000</v>
      </c>
      <c r="EL38" s="122">
        <f t="shared" si="48"/>
        <v>0</v>
      </c>
      <c r="EM38" s="122">
        <f t="shared" si="49"/>
        <v>800</v>
      </c>
      <c r="EN38" s="88">
        <f t="shared" si="50"/>
        <v>2E-3</v>
      </c>
      <c r="EP38" s="87"/>
    </row>
    <row r="39" spans="1:146" x14ac:dyDescent="0.25">
      <c r="A39" s="35">
        <f t="shared" si="51"/>
        <v>44194</v>
      </c>
      <c r="B39" s="87">
        <v>0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/>
      <c r="AJ39" s="121"/>
      <c r="AK39" s="87">
        <f t="shared" si="9"/>
        <v>0</v>
      </c>
      <c r="AL39" s="120"/>
      <c r="AM39" s="121"/>
      <c r="AN39" s="87">
        <f t="shared" si="10"/>
        <v>0</v>
      </c>
      <c r="AO39" s="120"/>
      <c r="AP39" s="121"/>
      <c r="AQ39" s="87">
        <f t="shared" si="11"/>
        <v>0</v>
      </c>
      <c r="AR39" s="120"/>
      <c r="AS39" s="121"/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0</v>
      </c>
      <c r="EC39" s="122">
        <f t="shared" si="41"/>
        <v>0</v>
      </c>
      <c r="ED39" s="87">
        <f t="shared" si="42"/>
        <v>0</v>
      </c>
      <c r="EE39" s="88">
        <f t="shared" si="43"/>
        <v>0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0</v>
      </c>
      <c r="EL39" s="122">
        <f t="shared" si="48"/>
        <v>0</v>
      </c>
      <c r="EM39" s="122">
        <f t="shared" si="49"/>
        <v>0</v>
      </c>
      <c r="EN39" s="88">
        <f t="shared" si="50"/>
        <v>0</v>
      </c>
      <c r="EP39" s="87"/>
    </row>
    <row r="40" spans="1:146" x14ac:dyDescent="0.25">
      <c r="A40" s="35">
        <f t="shared" si="51"/>
        <v>44195</v>
      </c>
      <c r="B40" s="87">
        <v>0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/>
      <c r="AJ40" s="121"/>
      <c r="AK40" s="87">
        <f t="shared" si="9"/>
        <v>0</v>
      </c>
      <c r="AL40" s="120"/>
      <c r="AM40" s="121"/>
      <c r="AN40" s="87">
        <f t="shared" si="10"/>
        <v>0</v>
      </c>
      <c r="AO40" s="120"/>
      <c r="AP40" s="121"/>
      <c r="AQ40" s="87">
        <f t="shared" si="11"/>
        <v>0</v>
      </c>
      <c r="AR40" s="120"/>
      <c r="AS40" s="121"/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0</v>
      </c>
      <c r="EC40" s="122">
        <f t="shared" si="41"/>
        <v>0</v>
      </c>
      <c r="ED40" s="87">
        <f t="shared" si="42"/>
        <v>0</v>
      </c>
      <c r="EE40" s="88">
        <f t="shared" si="43"/>
        <v>0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0</v>
      </c>
      <c r="EL40" s="122">
        <f t="shared" si="48"/>
        <v>0</v>
      </c>
      <c r="EM40" s="122">
        <f t="shared" si="49"/>
        <v>0</v>
      </c>
      <c r="EN40" s="88">
        <f t="shared" si="50"/>
        <v>0</v>
      </c>
      <c r="EP40" s="87"/>
    </row>
    <row r="41" spans="1:146" x14ac:dyDescent="0.25">
      <c r="A41" s="35">
        <f t="shared" si="51"/>
        <v>44196</v>
      </c>
      <c r="B41" s="87">
        <v>0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/>
      <c r="AJ41" s="121"/>
      <c r="AK41" s="87">
        <f t="shared" si="9"/>
        <v>0</v>
      </c>
      <c r="AL41" s="120"/>
      <c r="AM41" s="121"/>
      <c r="AN41" s="87">
        <f t="shared" si="10"/>
        <v>0</v>
      </c>
      <c r="AO41" s="120"/>
      <c r="AP41" s="121"/>
      <c r="AQ41" s="87">
        <f t="shared" si="11"/>
        <v>0</v>
      </c>
      <c r="AR41" s="120"/>
      <c r="AS41" s="121"/>
      <c r="AT41" s="87">
        <f t="shared" si="12"/>
        <v>0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0</v>
      </c>
      <c r="EC41" s="122">
        <f t="shared" si="41"/>
        <v>0</v>
      </c>
      <c r="ED41" s="87">
        <f t="shared" si="42"/>
        <v>0</v>
      </c>
      <c r="EE41" s="88">
        <f t="shared" si="43"/>
        <v>0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0</v>
      </c>
      <c r="EL41" s="122">
        <f t="shared" si="48"/>
        <v>0</v>
      </c>
      <c r="EM41" s="122">
        <f t="shared" si="49"/>
        <v>0</v>
      </c>
      <c r="EN41" s="88">
        <f t="shared" si="50"/>
        <v>0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4789.0277777777783</v>
      </c>
      <c r="AN42" s="124">
        <f>SUM(AN11:AN41)</f>
        <v>0</v>
      </c>
      <c r="AQ42" s="124">
        <f>SUM(AQ11:AQ41)</f>
        <v>0</v>
      </c>
      <c r="AT42" s="124">
        <f>SUM(AT11:AT41)</f>
        <v>0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4789.0277777777783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4789.0277777777783</v>
      </c>
      <c r="EN42" s="88"/>
    </row>
    <row r="44" spans="1:146" x14ac:dyDescent="0.25">
      <c r="EM44" s="125"/>
    </row>
    <row r="46" spans="1:146" x14ac:dyDescent="0.25">
      <c r="EM46" s="87"/>
    </row>
    <row r="48" spans="1:146" x14ac:dyDescent="0.25">
      <c r="EM48" s="8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6" sqref="A6"/>
    </sheetView>
  </sheetViews>
  <sheetFormatPr defaultColWidth="9" defaultRowHeight="12.75" x14ac:dyDescent="0.2"/>
  <cols>
    <col min="1" max="1" width="14.5703125" style="195" bestFit="1" customWidth="1"/>
    <col min="2" max="2" width="15.5703125" style="193" bestFit="1" customWidth="1"/>
    <col min="3" max="3" width="15.42578125" style="194" bestFit="1" customWidth="1"/>
    <col min="4" max="4" width="15.42578125" style="195" bestFit="1" customWidth="1"/>
    <col min="5" max="5" width="15.5703125" style="193" bestFit="1" customWidth="1"/>
    <col min="6" max="6" width="12.28515625" style="194" bestFit="1" customWidth="1"/>
    <col min="7" max="7" width="15.42578125" style="195" bestFit="1" customWidth="1"/>
    <col min="8" max="8" width="15.42578125" style="193" hidden="1" customWidth="1"/>
    <col min="9" max="9" width="10.28515625" style="194" hidden="1" customWidth="1"/>
    <col min="10" max="10" width="13.42578125" style="195" hidden="1" customWidth="1"/>
    <col min="11" max="11" width="14.42578125" style="193" hidden="1" customWidth="1"/>
    <col min="12" max="12" width="10.28515625" style="194" hidden="1" customWidth="1"/>
    <col min="13" max="13" width="11.7109375" style="195" hidden="1" customWidth="1"/>
    <col min="14" max="14" width="14.42578125" style="193" hidden="1" customWidth="1"/>
    <col min="15" max="15" width="10.28515625" style="194" hidden="1" customWidth="1"/>
    <col min="16" max="16" width="11.7109375" style="195" hidden="1" customWidth="1"/>
    <col min="17" max="17" width="15.42578125" style="193" hidden="1" customWidth="1"/>
    <col min="18" max="18" width="10.28515625" style="194" hidden="1" customWidth="1"/>
    <col min="19" max="19" width="11.7109375" style="195" hidden="1" customWidth="1"/>
    <col min="20" max="20" width="15.42578125" style="193" hidden="1" customWidth="1"/>
    <col min="21" max="21" width="10.28515625" style="194" hidden="1" customWidth="1"/>
    <col min="22" max="22" width="11.7109375" style="195" hidden="1" customWidth="1"/>
    <col min="23" max="23" width="15.42578125" style="193" hidden="1" customWidth="1"/>
    <col min="24" max="24" width="10.28515625" style="194" hidden="1" customWidth="1"/>
    <col min="25" max="25" width="11.7109375" style="195" hidden="1" customWidth="1"/>
    <col min="26" max="26" width="15.42578125" style="193" hidden="1" customWidth="1"/>
    <col min="27" max="27" width="10.28515625" style="194" hidden="1" customWidth="1"/>
    <col min="28" max="28" width="11.7109375" style="195" hidden="1" customWidth="1"/>
    <col min="29" max="29" width="15.42578125" style="193" hidden="1" customWidth="1"/>
    <col min="30" max="30" width="10.28515625" style="194" hidden="1" customWidth="1"/>
    <col min="31" max="31" width="11.7109375" style="195" hidden="1" customWidth="1"/>
    <col min="32" max="32" width="14.42578125" style="193" hidden="1" customWidth="1"/>
    <col min="33" max="33" width="10.28515625" style="194" hidden="1" customWidth="1"/>
    <col min="34" max="34" width="10.7109375" style="195" hidden="1" customWidth="1"/>
    <col min="35" max="35" width="14.42578125" style="193" customWidth="1"/>
    <col min="36" max="36" width="10.28515625" style="194" customWidth="1"/>
    <col min="37" max="37" width="11.7109375" style="195" bestFit="1" customWidth="1"/>
    <col min="38" max="38" width="14.42578125" style="193" customWidth="1"/>
    <col min="39" max="39" width="10.28515625" style="194" customWidth="1"/>
    <col min="40" max="40" width="10.7109375" style="195" customWidth="1"/>
    <col min="41" max="41" width="15.42578125" style="193" bestFit="1" customWidth="1"/>
    <col min="42" max="42" width="12.28515625" style="194" bestFit="1" customWidth="1"/>
    <col min="43" max="43" width="11.7109375" style="195" bestFit="1" customWidth="1"/>
    <col min="44" max="44" width="15.42578125" style="193" bestFit="1" customWidth="1"/>
    <col min="45" max="45" width="10.28515625" style="194" bestFit="1" customWidth="1"/>
    <col min="46" max="46" width="11.7109375" style="195" bestFit="1" customWidth="1"/>
    <col min="47" max="47" width="14.42578125" style="193" customWidth="1"/>
    <col min="48" max="48" width="10.28515625" style="194" customWidth="1"/>
    <col min="49" max="49" width="10.7109375" style="195" customWidth="1"/>
    <col min="50" max="50" width="14.42578125" style="193" customWidth="1"/>
    <col min="51" max="51" width="10.28515625" style="194" customWidth="1"/>
    <col min="52" max="52" width="10.7109375" style="195" customWidth="1"/>
    <col min="53" max="53" width="14.42578125" style="193" customWidth="1"/>
    <col min="54" max="54" width="10.28515625" style="194" customWidth="1"/>
    <col min="55" max="55" width="10.7109375" style="195" customWidth="1"/>
    <col min="56" max="56" width="14.42578125" style="193" customWidth="1"/>
    <col min="57" max="57" width="10.28515625" style="194" customWidth="1"/>
    <col min="58" max="58" width="10.7109375" style="195" customWidth="1"/>
    <col min="59" max="59" width="14.42578125" style="193" customWidth="1"/>
    <col min="60" max="60" width="10.28515625" style="194" customWidth="1"/>
    <col min="61" max="61" width="10.7109375" style="195" customWidth="1"/>
    <col min="62" max="62" width="14.42578125" style="193" customWidth="1"/>
    <col min="63" max="63" width="10.28515625" style="194" customWidth="1"/>
    <col min="64" max="64" width="10.7109375" style="195" customWidth="1"/>
    <col min="65" max="65" width="14.42578125" style="193" hidden="1" customWidth="1"/>
    <col min="66" max="66" width="10.28515625" style="194" hidden="1" customWidth="1"/>
    <col min="67" max="67" width="10.7109375" style="195" hidden="1" customWidth="1"/>
    <col min="68" max="68" width="14.42578125" style="193" hidden="1" customWidth="1"/>
    <col min="69" max="69" width="10.28515625" style="194" hidden="1" customWidth="1"/>
    <col min="70" max="70" width="10.7109375" style="195" hidden="1" customWidth="1"/>
    <col min="71" max="71" width="14.42578125" style="193" hidden="1" customWidth="1"/>
    <col min="72" max="72" width="10.28515625" style="194" hidden="1" customWidth="1"/>
    <col min="73" max="73" width="10.7109375" style="195" hidden="1" customWidth="1"/>
    <col min="74" max="74" width="14.42578125" style="193" hidden="1" customWidth="1"/>
    <col min="75" max="75" width="10.28515625" style="194" hidden="1" customWidth="1"/>
    <col min="76" max="76" width="10.7109375" style="195" hidden="1" customWidth="1"/>
    <col min="77" max="77" width="14.42578125" style="193" hidden="1" customWidth="1"/>
    <col min="78" max="78" width="10.28515625" style="194" hidden="1" customWidth="1"/>
    <col min="79" max="79" width="10.7109375" style="195" hidden="1" customWidth="1"/>
    <col min="80" max="80" width="14.42578125" style="193" hidden="1" customWidth="1"/>
    <col min="81" max="81" width="10.28515625" style="194" hidden="1" customWidth="1"/>
    <col min="82" max="82" width="10.7109375" style="195" hidden="1" customWidth="1"/>
    <col min="83" max="83" width="14.42578125" style="193" hidden="1" customWidth="1"/>
    <col min="84" max="84" width="10.28515625" style="194" hidden="1" customWidth="1"/>
    <col min="85" max="85" width="10.7109375" style="195" hidden="1" customWidth="1"/>
    <col min="86" max="86" width="14.42578125" style="193" hidden="1" customWidth="1"/>
    <col min="87" max="87" width="10.28515625" style="194" hidden="1" customWidth="1"/>
    <col min="88" max="88" width="10.7109375" style="195" hidden="1" customWidth="1"/>
    <col min="89" max="89" width="14.42578125" style="193" hidden="1" customWidth="1"/>
    <col min="90" max="90" width="10.28515625" style="194" hidden="1" customWidth="1"/>
    <col min="91" max="91" width="10.7109375" style="195" hidden="1" customWidth="1"/>
    <col min="92" max="92" width="14.42578125" style="193" hidden="1" customWidth="1"/>
    <col min="93" max="93" width="10.28515625" style="194" hidden="1" customWidth="1"/>
    <col min="94" max="94" width="10.7109375" style="195" hidden="1" customWidth="1"/>
    <col min="95" max="95" width="14.42578125" style="193" hidden="1" customWidth="1"/>
    <col min="96" max="96" width="10.28515625" style="194" hidden="1" customWidth="1"/>
    <col min="97" max="97" width="10.7109375" style="195" hidden="1" customWidth="1"/>
    <col min="98" max="98" width="14.42578125" style="193" hidden="1" customWidth="1"/>
    <col min="99" max="99" width="10.28515625" style="194" hidden="1" customWidth="1"/>
    <col min="100" max="100" width="10.7109375" style="195" hidden="1" customWidth="1"/>
    <col min="101" max="101" width="14.42578125" style="193" hidden="1" customWidth="1"/>
    <col min="102" max="102" width="10.28515625" style="194" hidden="1" customWidth="1"/>
    <col min="103" max="103" width="10.7109375" style="195" hidden="1" customWidth="1"/>
    <col min="104" max="104" width="14.42578125" style="193" hidden="1" customWidth="1"/>
    <col min="105" max="105" width="10.28515625" style="194" hidden="1" customWidth="1"/>
    <col min="106" max="106" width="10.7109375" style="195" hidden="1" customWidth="1"/>
    <col min="107" max="107" width="14.42578125" style="193" hidden="1" customWidth="1"/>
    <col min="108" max="108" width="10.28515625" style="194" hidden="1" customWidth="1"/>
    <col min="109" max="109" width="10.7109375" style="195" hidden="1" customWidth="1"/>
    <col min="110" max="110" width="14.42578125" style="193" hidden="1" customWidth="1"/>
    <col min="111" max="111" width="10.28515625" style="194" hidden="1" customWidth="1"/>
    <col min="112" max="112" width="10.7109375" style="195" hidden="1" customWidth="1"/>
    <col min="113" max="113" width="14.42578125" style="193" hidden="1" customWidth="1"/>
    <col min="114" max="114" width="10.28515625" style="194" hidden="1" customWidth="1"/>
    <col min="115" max="115" width="10.7109375" style="195" hidden="1" customWidth="1"/>
    <col min="116" max="116" width="14.42578125" style="193" hidden="1" customWidth="1"/>
    <col min="117" max="117" width="10.28515625" style="194" hidden="1" customWidth="1"/>
    <col min="118" max="118" width="10.7109375" style="195" hidden="1" customWidth="1"/>
    <col min="119" max="119" width="14.42578125" style="193" hidden="1" customWidth="1"/>
    <col min="120" max="120" width="10.28515625" style="194" hidden="1" customWidth="1"/>
    <col min="121" max="121" width="10.7109375" style="195" hidden="1" customWidth="1"/>
    <col min="122" max="122" width="14.42578125" style="193" hidden="1" customWidth="1"/>
    <col min="123" max="123" width="10.28515625" style="194" hidden="1" customWidth="1"/>
    <col min="124" max="124" width="10.7109375" style="195" hidden="1" customWidth="1"/>
    <col min="125" max="125" width="14.42578125" style="193" hidden="1" customWidth="1"/>
    <col min="126" max="126" width="10.28515625" style="194" hidden="1" customWidth="1"/>
    <col min="127" max="127" width="10.7109375" style="195" hidden="1" customWidth="1"/>
    <col min="128" max="128" width="14.42578125" style="193" hidden="1" customWidth="1"/>
    <col min="129" max="129" width="10.28515625" style="194" hidden="1" customWidth="1"/>
    <col min="130" max="130" width="10.7109375" style="195" hidden="1" customWidth="1"/>
    <col min="131" max="131" width="2.7109375" style="195" customWidth="1"/>
    <col min="132" max="132" width="15.42578125" style="195" bestFit="1" customWidth="1"/>
    <col min="133" max="133" width="15.42578125" style="195" hidden="1" customWidth="1"/>
    <col min="134" max="134" width="14.42578125" style="195" bestFit="1" customWidth="1"/>
    <col min="135" max="135" width="17.7109375" style="195" bestFit="1" customWidth="1"/>
    <col min="136" max="136" width="2.7109375" style="195" customWidth="1"/>
    <col min="137" max="137" width="15.42578125" style="195" hidden="1" customWidth="1"/>
    <col min="138" max="138" width="14.42578125" style="195" hidden="1" customWidth="1"/>
    <col min="139" max="139" width="12.42578125" style="195" hidden="1" customWidth="1"/>
    <col min="140" max="140" width="2.7109375" style="195" hidden="1" customWidth="1"/>
    <col min="141" max="141" width="15.42578125" style="195" bestFit="1" customWidth="1"/>
    <col min="142" max="142" width="15.42578125" style="195" hidden="1" customWidth="1"/>
    <col min="143" max="143" width="14.42578125" style="195" bestFit="1" customWidth="1"/>
    <col min="144" max="144" width="15.42578125" style="195" bestFit="1" customWidth="1"/>
    <col min="145" max="145" width="42.85546875" style="195" bestFit="1" customWidth="1"/>
    <col min="146" max="146" width="15.28515625" style="195" bestFit="1" customWidth="1"/>
    <col min="147" max="147" width="23.140625" style="195" bestFit="1" customWidth="1"/>
    <col min="148" max="16384" width="9" style="195"/>
  </cols>
  <sheetData>
    <row r="1" spans="1:147" s="185" customFormat="1" ht="15.75" x14ac:dyDescent="0.25">
      <c r="A1" s="182" t="s">
        <v>0</v>
      </c>
      <c r="B1" s="183"/>
      <c r="C1" s="184"/>
      <c r="E1" s="183"/>
      <c r="F1" s="184"/>
      <c r="H1" s="183"/>
      <c r="I1" s="184"/>
      <c r="K1" s="183"/>
      <c r="L1" s="184"/>
      <c r="N1" s="183"/>
      <c r="O1" s="184"/>
      <c r="Q1" s="183"/>
      <c r="R1" s="184"/>
      <c r="T1" s="183"/>
      <c r="U1" s="184"/>
      <c r="W1" s="183"/>
      <c r="X1" s="184"/>
      <c r="Z1" s="183"/>
      <c r="AA1" s="184"/>
      <c r="AC1" s="183"/>
      <c r="AD1" s="184"/>
      <c r="AF1" s="183"/>
      <c r="AG1" s="184"/>
      <c r="AI1" s="183"/>
      <c r="AJ1" s="184"/>
      <c r="AL1" s="183"/>
      <c r="AM1" s="184"/>
      <c r="AO1" s="183"/>
      <c r="AP1" s="184"/>
      <c r="AR1" s="183"/>
      <c r="AS1" s="184"/>
      <c r="AU1" s="183"/>
      <c r="AV1" s="184"/>
      <c r="AX1" s="183"/>
      <c r="AY1" s="184"/>
      <c r="BA1" s="183"/>
      <c r="BB1" s="184"/>
      <c r="BD1" s="183"/>
      <c r="BE1" s="184"/>
      <c r="BG1" s="183"/>
      <c r="BH1" s="184"/>
      <c r="BJ1" s="183"/>
      <c r="BK1" s="184"/>
      <c r="BM1" s="183"/>
      <c r="BN1" s="184"/>
      <c r="BP1" s="183"/>
      <c r="BQ1" s="184"/>
      <c r="BS1" s="183"/>
      <c r="BT1" s="184"/>
      <c r="BV1" s="183"/>
      <c r="BW1" s="184"/>
      <c r="BY1" s="183"/>
      <c r="BZ1" s="184"/>
      <c r="CB1" s="183"/>
      <c r="CC1" s="184"/>
      <c r="CE1" s="183"/>
      <c r="CF1" s="184"/>
      <c r="CH1" s="183"/>
      <c r="CI1" s="184"/>
      <c r="CK1" s="183"/>
      <c r="CL1" s="184"/>
      <c r="CN1" s="183"/>
      <c r="CO1" s="184"/>
      <c r="CQ1" s="183"/>
      <c r="CR1" s="184"/>
      <c r="CT1" s="183"/>
      <c r="CU1" s="184"/>
      <c r="CW1" s="183"/>
      <c r="CX1" s="184"/>
      <c r="CZ1" s="183"/>
      <c r="DA1" s="184"/>
      <c r="DC1" s="183"/>
      <c r="DD1" s="184"/>
      <c r="DF1" s="183"/>
      <c r="DG1" s="184"/>
      <c r="DI1" s="183"/>
      <c r="DJ1" s="184"/>
      <c r="DL1" s="183"/>
      <c r="DM1" s="184"/>
      <c r="DO1" s="183"/>
      <c r="DP1" s="184"/>
      <c r="DR1" s="183"/>
      <c r="DS1" s="184"/>
      <c r="DU1" s="183"/>
      <c r="DV1" s="184"/>
      <c r="DX1" s="183"/>
      <c r="DY1" s="184"/>
      <c r="DZ1" s="186"/>
      <c r="ED1" s="187"/>
      <c r="EE1" s="188" t="s">
        <v>95</v>
      </c>
      <c r="EI1" s="187" t="s">
        <v>96</v>
      </c>
      <c r="EM1" s="187"/>
      <c r="EN1" s="187" t="s">
        <v>97</v>
      </c>
      <c r="EO1" s="182" t="s">
        <v>98</v>
      </c>
      <c r="EP1" s="182" t="s">
        <v>99</v>
      </c>
      <c r="EQ1" s="182" t="s">
        <v>100</v>
      </c>
    </row>
    <row r="2" spans="1:147" s="185" customFormat="1" ht="16.5" thickBot="1" x14ac:dyDescent="0.3">
      <c r="A2" s="182" t="s">
        <v>101</v>
      </c>
      <c r="B2" s="183"/>
      <c r="C2" s="184"/>
      <c r="E2" s="189"/>
      <c r="F2" s="184"/>
      <c r="G2" s="187"/>
      <c r="H2" s="183"/>
      <c r="I2" s="184"/>
      <c r="K2" s="183"/>
      <c r="L2" s="184"/>
      <c r="N2" s="183"/>
      <c r="O2" s="184"/>
      <c r="Q2" s="183"/>
      <c r="R2" s="184"/>
      <c r="T2" s="183"/>
      <c r="U2" s="184"/>
      <c r="W2" s="183"/>
      <c r="X2" s="184"/>
      <c r="Z2" s="183"/>
      <c r="AA2" s="184"/>
      <c r="AC2" s="183"/>
      <c r="AD2" s="184"/>
      <c r="AF2" s="183"/>
      <c r="AG2" s="184"/>
      <c r="AI2" s="183"/>
      <c r="AJ2" s="184"/>
      <c r="AL2" s="183"/>
      <c r="AM2" s="184"/>
      <c r="AO2" s="183"/>
      <c r="AP2" s="184"/>
      <c r="AR2" s="183"/>
      <c r="AS2" s="184"/>
      <c r="AU2" s="183"/>
      <c r="AV2" s="184"/>
      <c r="AX2" s="183"/>
      <c r="AY2" s="184"/>
      <c r="BA2" s="183"/>
      <c r="BB2" s="184"/>
      <c r="BD2" s="183"/>
      <c r="BE2" s="184"/>
      <c r="BG2" s="183"/>
      <c r="BH2" s="184"/>
      <c r="BJ2" s="183"/>
      <c r="BK2" s="184"/>
      <c r="BM2" s="183"/>
      <c r="BN2" s="184"/>
      <c r="BP2" s="183"/>
      <c r="BQ2" s="184"/>
      <c r="BS2" s="183"/>
      <c r="BT2" s="184"/>
      <c r="BV2" s="183"/>
      <c r="BW2" s="184"/>
      <c r="BY2" s="183"/>
      <c r="BZ2" s="184"/>
      <c r="CB2" s="183"/>
      <c r="CC2" s="184"/>
      <c r="CE2" s="183"/>
      <c r="CF2" s="184"/>
      <c r="CH2" s="183"/>
      <c r="CI2" s="184"/>
      <c r="CK2" s="183"/>
      <c r="CL2" s="184"/>
      <c r="CN2" s="183"/>
      <c r="CO2" s="184"/>
      <c r="CQ2" s="183"/>
      <c r="CR2" s="184"/>
      <c r="CT2" s="183"/>
      <c r="CU2" s="184"/>
      <c r="CW2" s="183"/>
      <c r="CX2" s="184"/>
      <c r="CZ2" s="183"/>
      <c r="DA2" s="184"/>
      <c r="DC2" s="183"/>
      <c r="DD2" s="184"/>
      <c r="DF2" s="183"/>
      <c r="DG2" s="184"/>
      <c r="DI2" s="183"/>
      <c r="DJ2" s="184"/>
      <c r="DL2" s="183"/>
      <c r="DM2" s="184"/>
      <c r="DO2" s="183"/>
      <c r="DP2" s="184"/>
      <c r="DR2" s="183"/>
      <c r="DS2" s="184"/>
      <c r="DU2" s="183"/>
      <c r="DV2" s="184"/>
      <c r="DX2" s="183"/>
      <c r="DY2" s="184"/>
      <c r="EB2" s="190" t="s">
        <v>102</v>
      </c>
      <c r="EC2" s="190"/>
      <c r="ED2" s="191"/>
      <c r="EE2" s="191">
        <f>EB41</f>
        <v>105900000</v>
      </c>
      <c r="EI2" s="191">
        <f>EG40</f>
        <v>0</v>
      </c>
      <c r="EM2" s="191"/>
      <c r="EN2" s="191">
        <f>EK41</f>
        <v>105900000</v>
      </c>
      <c r="EO2" s="183">
        <v>-10777.78</v>
      </c>
      <c r="EP2" s="183">
        <f>EN2+EO2</f>
        <v>105889222.22</v>
      </c>
      <c r="EQ2" s="183">
        <f>EE2+EO2</f>
        <v>105889222.22</v>
      </c>
    </row>
    <row r="3" spans="1:147" ht="16.5" thickTop="1" x14ac:dyDescent="0.25">
      <c r="A3" s="192" t="s">
        <v>195</v>
      </c>
      <c r="E3" s="196" t="s">
        <v>104</v>
      </c>
      <c r="F3" s="197"/>
      <c r="G3" s="198"/>
      <c r="EB3" s="190" t="s">
        <v>105</v>
      </c>
      <c r="EC3" s="190"/>
      <c r="ED3" s="191"/>
      <c r="EE3" s="191">
        <f>AVERAGE(EB11:EB41)</f>
        <v>43350806.451612905</v>
      </c>
      <c r="EI3" s="191">
        <f>AVERAGE(EG11:EG40)</f>
        <v>0</v>
      </c>
      <c r="EM3" s="191"/>
      <c r="EN3" s="191">
        <f>AVERAGE(EK11:EK41)</f>
        <v>43350806.451612905</v>
      </c>
    </row>
    <row r="4" spans="1:147" x14ac:dyDescent="0.2">
      <c r="D4" s="190"/>
      <c r="E4" s="199" t="s">
        <v>102</v>
      </c>
      <c r="F4" s="191"/>
      <c r="G4" s="200">
        <f>EQ2</f>
        <v>105889222.22</v>
      </c>
      <c r="AI4" s="201" t="s">
        <v>106</v>
      </c>
      <c r="EB4" s="190" t="s">
        <v>107</v>
      </c>
      <c r="EC4" s="190"/>
      <c r="ED4" s="202"/>
      <c r="EE4" s="202">
        <f>IF(EE3=0,0,360*(AVERAGE(ED11:ED41)/EE3))</f>
        <v>2.0613896381731938E-3</v>
      </c>
      <c r="EI4" s="202">
        <f>IF(EI3=0,0,360*(AVERAGE(EH11:EH40)/EI3))</f>
        <v>0</v>
      </c>
      <c r="EM4" s="202"/>
      <c r="EN4" s="202">
        <f>IF(EN3=0,0,360*(AVERAGE(EM11:EM41)/EN3))</f>
        <v>2.0613896381731938E-3</v>
      </c>
      <c r="EO4" s="203" t="s">
        <v>108</v>
      </c>
      <c r="EQ4" s="204" t="s">
        <v>106</v>
      </c>
    </row>
    <row r="5" spans="1:147" ht="15.75" x14ac:dyDescent="0.25">
      <c r="D5" s="190"/>
      <c r="E5" s="199" t="s">
        <v>105</v>
      </c>
      <c r="F5" s="191"/>
      <c r="G5" s="200">
        <f>EE3</f>
        <v>43350806.451612905</v>
      </c>
      <c r="AI5" s="205" t="s">
        <v>97</v>
      </c>
      <c r="EB5" s="206" t="s">
        <v>109</v>
      </c>
      <c r="EC5" s="206"/>
      <c r="ED5" s="191"/>
      <c r="EE5" s="191">
        <f>MAX(EB11:EB41)</f>
        <v>105900000</v>
      </c>
      <c r="EI5" s="191">
        <f>MAX(EG11:EG40)</f>
        <v>0</v>
      </c>
      <c r="EM5" s="191"/>
      <c r="EN5" s="191">
        <f>MAX(EK11:EK41)</f>
        <v>105900000</v>
      </c>
    </row>
    <row r="6" spans="1:147" x14ac:dyDescent="0.2">
      <c r="D6" s="190"/>
      <c r="E6" s="199" t="s">
        <v>107</v>
      </c>
      <c r="F6" s="191"/>
      <c r="G6" s="207">
        <f>EE4</f>
        <v>2.0613896381731938E-3</v>
      </c>
    </row>
    <row r="7" spans="1:147" ht="16.5" thickBot="1" x14ac:dyDescent="0.3">
      <c r="D7" s="190"/>
      <c r="E7" s="208" t="s">
        <v>109</v>
      </c>
      <c r="F7" s="209"/>
      <c r="G7" s="210">
        <f>EE5</f>
        <v>105900000</v>
      </c>
      <c r="AI7" s="205" t="s">
        <v>97</v>
      </c>
      <c r="EB7" s="211" t="s">
        <v>110</v>
      </c>
      <c r="EC7" s="211"/>
      <c r="ED7" s="212"/>
      <c r="EE7" s="212"/>
      <c r="EG7" s="211" t="s">
        <v>111</v>
      </c>
      <c r="EH7" s="212"/>
      <c r="EI7" s="212"/>
      <c r="EJ7" s="213"/>
      <c r="EK7" s="211" t="s">
        <v>112</v>
      </c>
      <c r="EL7" s="211"/>
      <c r="EM7" s="212"/>
      <c r="EN7" s="212"/>
    </row>
    <row r="8" spans="1:147" ht="13.5" thickTop="1" x14ac:dyDescent="0.2">
      <c r="AI8" s="214" t="s">
        <v>113</v>
      </c>
      <c r="AL8" s="214" t="s">
        <v>113</v>
      </c>
      <c r="AO8" s="214" t="s">
        <v>113</v>
      </c>
      <c r="AR8" s="214" t="s">
        <v>113</v>
      </c>
      <c r="AU8" s="214" t="s">
        <v>113</v>
      </c>
      <c r="AX8" s="214" t="s">
        <v>113</v>
      </c>
      <c r="BA8" s="214" t="s">
        <v>113</v>
      </c>
      <c r="BD8" s="214" t="s">
        <v>113</v>
      </c>
      <c r="BG8" s="214" t="s">
        <v>113</v>
      </c>
      <c r="BJ8" s="214" t="s">
        <v>113</v>
      </c>
      <c r="BM8" s="214" t="s">
        <v>113</v>
      </c>
      <c r="BP8" s="214" t="s">
        <v>113</v>
      </c>
      <c r="BS8" s="214" t="s">
        <v>113</v>
      </c>
      <c r="BV8" s="214" t="s">
        <v>113</v>
      </c>
      <c r="BY8" s="214" t="s">
        <v>113</v>
      </c>
      <c r="CB8" s="214" t="s">
        <v>113</v>
      </c>
      <c r="CE8" s="214" t="s">
        <v>113</v>
      </c>
      <c r="CH8" s="214" t="s">
        <v>113</v>
      </c>
      <c r="CK8" s="214" t="s">
        <v>113</v>
      </c>
      <c r="CN8" s="214" t="s">
        <v>113</v>
      </c>
      <c r="CQ8" s="214" t="s">
        <v>113</v>
      </c>
      <c r="CT8" s="214" t="s">
        <v>113</v>
      </c>
      <c r="CW8" s="214" t="s">
        <v>113</v>
      </c>
      <c r="CZ8" s="214" t="s">
        <v>113</v>
      </c>
      <c r="DC8" s="214" t="s">
        <v>113</v>
      </c>
      <c r="DF8" s="214" t="s">
        <v>113</v>
      </c>
      <c r="DI8" s="214" t="s">
        <v>113</v>
      </c>
      <c r="DL8" s="214" t="s">
        <v>113</v>
      </c>
      <c r="DO8" s="214" t="s">
        <v>113</v>
      </c>
      <c r="DR8" s="214" t="s">
        <v>113</v>
      </c>
      <c r="EB8" s="215"/>
      <c r="EC8" s="215"/>
      <c r="ED8" s="215"/>
      <c r="EE8" s="215" t="s">
        <v>114</v>
      </c>
      <c r="EG8" s="215"/>
      <c r="EH8" s="216" t="s">
        <v>96</v>
      </c>
      <c r="EI8" s="215" t="s">
        <v>114</v>
      </c>
      <c r="EJ8" s="215"/>
      <c r="EK8" s="204" t="s">
        <v>115</v>
      </c>
      <c r="EL8" s="204" t="s">
        <v>116</v>
      </c>
      <c r="EM8" s="216" t="s">
        <v>117</v>
      </c>
      <c r="EN8" s="215" t="s">
        <v>114</v>
      </c>
    </row>
    <row r="9" spans="1:147" x14ac:dyDescent="0.2">
      <c r="B9" s="217" t="s">
        <v>118</v>
      </c>
      <c r="C9" s="218"/>
      <c r="D9" s="212"/>
      <c r="E9" s="217" t="s">
        <v>119</v>
      </c>
      <c r="F9" s="218"/>
      <c r="G9" s="212"/>
      <c r="H9" s="217" t="s">
        <v>120</v>
      </c>
      <c r="I9" s="218"/>
      <c r="J9" s="212"/>
      <c r="K9" s="217" t="s">
        <v>121</v>
      </c>
      <c r="L9" s="218"/>
      <c r="M9" s="212"/>
      <c r="N9" s="217" t="s">
        <v>122</v>
      </c>
      <c r="O9" s="218"/>
      <c r="P9" s="212"/>
      <c r="Q9" s="217" t="s">
        <v>123</v>
      </c>
      <c r="R9" s="218"/>
      <c r="S9" s="212"/>
      <c r="T9" s="217" t="s">
        <v>124</v>
      </c>
      <c r="U9" s="218"/>
      <c r="V9" s="212"/>
      <c r="W9" s="217" t="s">
        <v>125</v>
      </c>
      <c r="X9" s="218"/>
      <c r="Y9" s="212"/>
      <c r="Z9" s="217" t="s">
        <v>126</v>
      </c>
      <c r="AA9" s="218"/>
      <c r="AB9" s="212"/>
      <c r="AC9" s="219" t="s">
        <v>127</v>
      </c>
      <c r="AD9" s="218"/>
      <c r="AE9" s="212"/>
      <c r="AF9" s="219" t="s">
        <v>128</v>
      </c>
      <c r="AG9" s="218"/>
      <c r="AH9" s="212"/>
      <c r="AI9" s="217" t="s">
        <v>129</v>
      </c>
      <c r="AJ9" s="218"/>
      <c r="AK9" s="212"/>
      <c r="AL9" s="217" t="s">
        <v>130</v>
      </c>
      <c r="AM9" s="218"/>
      <c r="AN9" s="212"/>
      <c r="AO9" s="217" t="s">
        <v>131</v>
      </c>
      <c r="AP9" s="218"/>
      <c r="AQ9" s="212"/>
      <c r="AR9" s="217" t="s">
        <v>132</v>
      </c>
      <c r="AS9" s="218"/>
      <c r="AT9" s="212"/>
      <c r="AU9" s="217" t="s">
        <v>133</v>
      </c>
      <c r="AV9" s="218"/>
      <c r="AW9" s="212"/>
      <c r="AX9" s="217" t="s">
        <v>134</v>
      </c>
      <c r="AY9" s="218"/>
      <c r="AZ9" s="212"/>
      <c r="BA9" s="217" t="s">
        <v>135</v>
      </c>
      <c r="BB9" s="218"/>
      <c r="BC9" s="212"/>
      <c r="BD9" s="217" t="s">
        <v>136</v>
      </c>
      <c r="BE9" s="218"/>
      <c r="BF9" s="212"/>
      <c r="BG9" s="217" t="s">
        <v>137</v>
      </c>
      <c r="BH9" s="218"/>
      <c r="BI9" s="212"/>
      <c r="BJ9" s="217" t="s">
        <v>138</v>
      </c>
      <c r="BK9" s="218"/>
      <c r="BL9" s="212"/>
      <c r="BM9" s="217" t="s">
        <v>139</v>
      </c>
      <c r="BN9" s="218"/>
      <c r="BO9" s="212"/>
      <c r="BP9" s="217" t="s">
        <v>140</v>
      </c>
      <c r="BQ9" s="218"/>
      <c r="BR9" s="212"/>
      <c r="BS9" s="217" t="s">
        <v>141</v>
      </c>
      <c r="BT9" s="218"/>
      <c r="BU9" s="212"/>
      <c r="BV9" s="217" t="s">
        <v>142</v>
      </c>
      <c r="BW9" s="218"/>
      <c r="BX9" s="212"/>
      <c r="BY9" s="217" t="s">
        <v>143</v>
      </c>
      <c r="BZ9" s="218"/>
      <c r="CA9" s="212"/>
      <c r="CB9" s="217" t="s">
        <v>144</v>
      </c>
      <c r="CC9" s="218"/>
      <c r="CD9" s="212"/>
      <c r="CE9" s="217" t="s">
        <v>145</v>
      </c>
      <c r="CF9" s="218"/>
      <c r="CG9" s="212"/>
      <c r="CH9" s="217" t="s">
        <v>146</v>
      </c>
      <c r="CI9" s="218"/>
      <c r="CJ9" s="212"/>
      <c r="CK9" s="217" t="s">
        <v>147</v>
      </c>
      <c r="CL9" s="218"/>
      <c r="CM9" s="212"/>
      <c r="CN9" s="217" t="s">
        <v>148</v>
      </c>
      <c r="CO9" s="218"/>
      <c r="CP9" s="212"/>
      <c r="CQ9" s="217" t="s">
        <v>149</v>
      </c>
      <c r="CR9" s="218"/>
      <c r="CS9" s="212"/>
      <c r="CT9" s="217" t="s">
        <v>150</v>
      </c>
      <c r="CU9" s="218"/>
      <c r="CV9" s="212"/>
      <c r="CW9" s="217" t="s">
        <v>151</v>
      </c>
      <c r="CX9" s="218"/>
      <c r="CY9" s="212"/>
      <c r="CZ9" s="217" t="s">
        <v>152</v>
      </c>
      <c r="DA9" s="218"/>
      <c r="DB9" s="212"/>
      <c r="DC9" s="217" t="s">
        <v>153</v>
      </c>
      <c r="DD9" s="218"/>
      <c r="DE9" s="212"/>
      <c r="DF9" s="217" t="s">
        <v>154</v>
      </c>
      <c r="DG9" s="218"/>
      <c r="DH9" s="212"/>
      <c r="DI9" s="217" t="s">
        <v>155</v>
      </c>
      <c r="DJ9" s="218"/>
      <c r="DK9" s="212"/>
      <c r="DL9" s="217" t="s">
        <v>156</v>
      </c>
      <c r="DM9" s="218"/>
      <c r="DN9" s="212"/>
      <c r="DO9" s="217" t="s">
        <v>157</v>
      </c>
      <c r="DP9" s="218"/>
      <c r="DQ9" s="212"/>
      <c r="DR9" s="217" t="s">
        <v>158</v>
      </c>
      <c r="DS9" s="218"/>
      <c r="DT9" s="212"/>
      <c r="DU9" s="217" t="s">
        <v>159</v>
      </c>
      <c r="DV9" s="218"/>
      <c r="DW9" s="212"/>
      <c r="DX9" s="220" t="s">
        <v>160</v>
      </c>
      <c r="DY9" s="218"/>
      <c r="DZ9" s="212"/>
      <c r="EA9" s="213"/>
      <c r="EB9" s="204" t="s">
        <v>161</v>
      </c>
      <c r="EC9" s="204" t="s">
        <v>162</v>
      </c>
      <c r="ED9" s="215" t="s">
        <v>163</v>
      </c>
      <c r="EE9" s="215" t="s">
        <v>164</v>
      </c>
      <c r="EG9" s="216" t="s">
        <v>165</v>
      </c>
      <c r="EH9" s="215" t="s">
        <v>163</v>
      </c>
      <c r="EI9" s="215" t="s">
        <v>164</v>
      </c>
      <c r="EJ9" s="215"/>
      <c r="EK9" s="216" t="s">
        <v>117</v>
      </c>
      <c r="EL9" s="216" t="s">
        <v>117</v>
      </c>
      <c r="EM9" s="215" t="s">
        <v>163</v>
      </c>
      <c r="EN9" s="215" t="s">
        <v>164</v>
      </c>
    </row>
    <row r="10" spans="1:147" x14ac:dyDescent="0.2">
      <c r="A10" s="215" t="s">
        <v>166</v>
      </c>
      <c r="B10" s="221" t="s">
        <v>167</v>
      </c>
      <c r="C10" s="222" t="s">
        <v>168</v>
      </c>
      <c r="D10" s="223" t="s">
        <v>19</v>
      </c>
      <c r="E10" s="221" t="s">
        <v>167</v>
      </c>
      <c r="F10" s="222" t="s">
        <v>168</v>
      </c>
      <c r="G10" s="223" t="s">
        <v>19</v>
      </c>
      <c r="H10" s="221" t="s">
        <v>167</v>
      </c>
      <c r="I10" s="222" t="s">
        <v>168</v>
      </c>
      <c r="J10" s="223" t="s">
        <v>19</v>
      </c>
      <c r="K10" s="221" t="s">
        <v>167</v>
      </c>
      <c r="L10" s="222" t="s">
        <v>168</v>
      </c>
      <c r="M10" s="223" t="s">
        <v>19</v>
      </c>
      <c r="N10" s="221" t="s">
        <v>167</v>
      </c>
      <c r="O10" s="222" t="s">
        <v>168</v>
      </c>
      <c r="P10" s="223" t="s">
        <v>19</v>
      </c>
      <c r="Q10" s="221" t="s">
        <v>167</v>
      </c>
      <c r="R10" s="222" t="s">
        <v>168</v>
      </c>
      <c r="S10" s="223" t="s">
        <v>19</v>
      </c>
      <c r="T10" s="221" t="s">
        <v>167</v>
      </c>
      <c r="U10" s="222" t="s">
        <v>168</v>
      </c>
      <c r="V10" s="223" t="s">
        <v>19</v>
      </c>
      <c r="W10" s="221" t="s">
        <v>167</v>
      </c>
      <c r="X10" s="222" t="s">
        <v>168</v>
      </c>
      <c r="Y10" s="223" t="s">
        <v>19</v>
      </c>
      <c r="Z10" s="221" t="s">
        <v>167</v>
      </c>
      <c r="AA10" s="222" t="s">
        <v>168</v>
      </c>
      <c r="AB10" s="223" t="s">
        <v>19</v>
      </c>
      <c r="AC10" s="221" t="s">
        <v>167</v>
      </c>
      <c r="AD10" s="222" t="s">
        <v>168</v>
      </c>
      <c r="AE10" s="223" t="s">
        <v>19</v>
      </c>
      <c r="AF10" s="221" t="s">
        <v>167</v>
      </c>
      <c r="AG10" s="222" t="s">
        <v>168</v>
      </c>
      <c r="AH10" s="223" t="s">
        <v>19</v>
      </c>
      <c r="AI10" s="221" t="s">
        <v>167</v>
      </c>
      <c r="AJ10" s="222" t="s">
        <v>168</v>
      </c>
      <c r="AK10" s="223" t="s">
        <v>19</v>
      </c>
      <c r="AL10" s="221" t="s">
        <v>167</v>
      </c>
      <c r="AM10" s="222" t="s">
        <v>168</v>
      </c>
      <c r="AN10" s="223" t="s">
        <v>19</v>
      </c>
      <c r="AO10" s="221" t="s">
        <v>167</v>
      </c>
      <c r="AP10" s="222" t="s">
        <v>168</v>
      </c>
      <c r="AQ10" s="223" t="s">
        <v>19</v>
      </c>
      <c r="AR10" s="221" t="s">
        <v>167</v>
      </c>
      <c r="AS10" s="222" t="s">
        <v>168</v>
      </c>
      <c r="AT10" s="223" t="s">
        <v>19</v>
      </c>
      <c r="AU10" s="221" t="s">
        <v>167</v>
      </c>
      <c r="AV10" s="222" t="s">
        <v>168</v>
      </c>
      <c r="AW10" s="223" t="s">
        <v>19</v>
      </c>
      <c r="AX10" s="221" t="s">
        <v>167</v>
      </c>
      <c r="AY10" s="222" t="s">
        <v>168</v>
      </c>
      <c r="AZ10" s="223" t="s">
        <v>19</v>
      </c>
      <c r="BA10" s="221" t="s">
        <v>167</v>
      </c>
      <c r="BB10" s="222" t="s">
        <v>168</v>
      </c>
      <c r="BC10" s="223" t="s">
        <v>19</v>
      </c>
      <c r="BD10" s="221" t="s">
        <v>167</v>
      </c>
      <c r="BE10" s="222" t="s">
        <v>168</v>
      </c>
      <c r="BF10" s="223" t="s">
        <v>19</v>
      </c>
      <c r="BG10" s="221" t="s">
        <v>167</v>
      </c>
      <c r="BH10" s="222" t="s">
        <v>168</v>
      </c>
      <c r="BI10" s="223" t="s">
        <v>19</v>
      </c>
      <c r="BJ10" s="221" t="s">
        <v>167</v>
      </c>
      <c r="BK10" s="222" t="s">
        <v>168</v>
      </c>
      <c r="BL10" s="223" t="s">
        <v>19</v>
      </c>
      <c r="BM10" s="221" t="s">
        <v>167</v>
      </c>
      <c r="BN10" s="222" t="s">
        <v>168</v>
      </c>
      <c r="BO10" s="223" t="s">
        <v>19</v>
      </c>
      <c r="BP10" s="221" t="s">
        <v>167</v>
      </c>
      <c r="BQ10" s="222" t="s">
        <v>168</v>
      </c>
      <c r="BR10" s="223" t="s">
        <v>19</v>
      </c>
      <c r="BS10" s="221" t="s">
        <v>167</v>
      </c>
      <c r="BT10" s="222" t="s">
        <v>168</v>
      </c>
      <c r="BU10" s="223" t="s">
        <v>19</v>
      </c>
      <c r="BV10" s="221" t="s">
        <v>167</v>
      </c>
      <c r="BW10" s="222" t="s">
        <v>168</v>
      </c>
      <c r="BX10" s="223" t="s">
        <v>19</v>
      </c>
      <c r="BY10" s="221" t="s">
        <v>167</v>
      </c>
      <c r="BZ10" s="222" t="s">
        <v>168</v>
      </c>
      <c r="CA10" s="223" t="s">
        <v>19</v>
      </c>
      <c r="CB10" s="221" t="s">
        <v>167</v>
      </c>
      <c r="CC10" s="222" t="s">
        <v>168</v>
      </c>
      <c r="CD10" s="223" t="s">
        <v>19</v>
      </c>
      <c r="CE10" s="221" t="s">
        <v>167</v>
      </c>
      <c r="CF10" s="222" t="s">
        <v>168</v>
      </c>
      <c r="CG10" s="223" t="s">
        <v>19</v>
      </c>
      <c r="CH10" s="221" t="s">
        <v>167</v>
      </c>
      <c r="CI10" s="222" t="s">
        <v>168</v>
      </c>
      <c r="CJ10" s="223" t="s">
        <v>19</v>
      </c>
      <c r="CK10" s="221" t="s">
        <v>167</v>
      </c>
      <c r="CL10" s="222" t="s">
        <v>168</v>
      </c>
      <c r="CM10" s="223" t="s">
        <v>19</v>
      </c>
      <c r="CN10" s="221" t="s">
        <v>167</v>
      </c>
      <c r="CO10" s="222" t="s">
        <v>168</v>
      </c>
      <c r="CP10" s="223" t="s">
        <v>19</v>
      </c>
      <c r="CQ10" s="221" t="s">
        <v>167</v>
      </c>
      <c r="CR10" s="222" t="s">
        <v>168</v>
      </c>
      <c r="CS10" s="223" t="s">
        <v>19</v>
      </c>
      <c r="CT10" s="221" t="s">
        <v>167</v>
      </c>
      <c r="CU10" s="222" t="s">
        <v>168</v>
      </c>
      <c r="CV10" s="223" t="s">
        <v>19</v>
      </c>
      <c r="CW10" s="221" t="s">
        <v>167</v>
      </c>
      <c r="CX10" s="222" t="s">
        <v>168</v>
      </c>
      <c r="CY10" s="223" t="s">
        <v>19</v>
      </c>
      <c r="CZ10" s="221" t="s">
        <v>167</v>
      </c>
      <c r="DA10" s="222" t="s">
        <v>168</v>
      </c>
      <c r="DB10" s="223" t="s">
        <v>19</v>
      </c>
      <c r="DC10" s="221" t="s">
        <v>167</v>
      </c>
      <c r="DD10" s="222" t="s">
        <v>168</v>
      </c>
      <c r="DE10" s="223" t="s">
        <v>19</v>
      </c>
      <c r="DF10" s="221" t="s">
        <v>167</v>
      </c>
      <c r="DG10" s="222" t="s">
        <v>168</v>
      </c>
      <c r="DH10" s="223" t="s">
        <v>19</v>
      </c>
      <c r="DI10" s="221" t="s">
        <v>167</v>
      </c>
      <c r="DJ10" s="222" t="s">
        <v>168</v>
      </c>
      <c r="DK10" s="223" t="s">
        <v>19</v>
      </c>
      <c r="DL10" s="221" t="s">
        <v>167</v>
      </c>
      <c r="DM10" s="222" t="s">
        <v>168</v>
      </c>
      <c r="DN10" s="223" t="s">
        <v>19</v>
      </c>
      <c r="DO10" s="221" t="s">
        <v>167</v>
      </c>
      <c r="DP10" s="222" t="s">
        <v>168</v>
      </c>
      <c r="DQ10" s="223" t="s">
        <v>19</v>
      </c>
      <c r="DR10" s="221" t="s">
        <v>167</v>
      </c>
      <c r="DS10" s="222" t="s">
        <v>168</v>
      </c>
      <c r="DT10" s="223" t="s">
        <v>19</v>
      </c>
      <c r="DU10" s="221" t="s">
        <v>167</v>
      </c>
      <c r="DV10" s="222" t="s">
        <v>168</v>
      </c>
      <c r="DW10" s="223" t="s">
        <v>19</v>
      </c>
      <c r="DX10" s="221" t="s">
        <v>167</v>
      </c>
      <c r="DY10" s="222"/>
      <c r="DZ10" s="223"/>
      <c r="EA10" s="223"/>
      <c r="EB10" s="223" t="s">
        <v>169</v>
      </c>
      <c r="EC10" s="223" t="s">
        <v>169</v>
      </c>
      <c r="ED10" s="223" t="s">
        <v>19</v>
      </c>
      <c r="EE10" s="224" t="s">
        <v>168</v>
      </c>
      <c r="EG10" s="223" t="s">
        <v>169</v>
      </c>
      <c r="EH10" s="223" t="s">
        <v>19</v>
      </c>
      <c r="EI10" s="224" t="s">
        <v>168</v>
      </c>
      <c r="EJ10" s="224"/>
      <c r="EK10" s="223" t="s">
        <v>169</v>
      </c>
      <c r="EL10" s="223" t="s">
        <v>169</v>
      </c>
      <c r="EM10" s="223" t="s">
        <v>19</v>
      </c>
      <c r="EN10" s="224" t="s">
        <v>168</v>
      </c>
    </row>
    <row r="11" spans="1:147" x14ac:dyDescent="0.2">
      <c r="A11" s="225">
        <v>44197</v>
      </c>
      <c r="B11" s="193">
        <v>0</v>
      </c>
      <c r="C11" s="194">
        <v>8.9999999999999998E-4</v>
      </c>
      <c r="D11" s="193">
        <f>(B11*C11)/360</f>
        <v>0</v>
      </c>
      <c r="G11" s="193">
        <f>(E11*F11)/360</f>
        <v>0</v>
      </c>
      <c r="J11" s="193">
        <f>(H11*I11)/360</f>
        <v>0</v>
      </c>
      <c r="M11" s="193">
        <f>(K11*L11)/360</f>
        <v>0</v>
      </c>
      <c r="P11" s="193">
        <f>(N11*O11)/360</f>
        <v>0</v>
      </c>
      <c r="S11" s="193">
        <f>(Q11*R11)/360</f>
        <v>0</v>
      </c>
      <c r="V11" s="193">
        <f>(T11*U11)/360</f>
        <v>0</v>
      </c>
      <c r="Y11" s="193">
        <f>(W11*X11)/360</f>
        <v>0</v>
      </c>
      <c r="AB11" s="193">
        <f>(Z11*AA11)/360</f>
        <v>0</v>
      </c>
      <c r="AE11" s="193">
        <v>0</v>
      </c>
      <c r="AH11" s="193">
        <v>0</v>
      </c>
      <c r="AI11" s="226"/>
      <c r="AJ11" s="227"/>
      <c r="AK11" s="193">
        <f>(AI11*AJ11)/360</f>
        <v>0</v>
      </c>
      <c r="AL11" s="226"/>
      <c r="AM11" s="227"/>
      <c r="AN11" s="193">
        <f>(AL11*AM11)/360</f>
        <v>0</v>
      </c>
      <c r="AO11" s="226"/>
      <c r="AP11" s="227"/>
      <c r="AQ11" s="193">
        <f>(AO11*AP11)/360</f>
        <v>0</v>
      </c>
      <c r="AR11" s="226"/>
      <c r="AS11" s="227"/>
      <c r="AT11" s="193">
        <f>(AR11*AS11)/360</f>
        <v>0</v>
      </c>
      <c r="AW11" s="193">
        <f>(AU11*AV11)/360</f>
        <v>0</v>
      </c>
      <c r="AZ11" s="193">
        <f>(AX11*AY11)/360</f>
        <v>0</v>
      </c>
      <c r="BC11" s="193">
        <f>(BA11*BB11)/360</f>
        <v>0</v>
      </c>
      <c r="BF11" s="193">
        <f>(BD11*BE11)/360</f>
        <v>0</v>
      </c>
      <c r="BI11" s="193">
        <f>(BG11*BH11)/360</f>
        <v>0</v>
      </c>
      <c r="BL11" s="193">
        <f>(BJ11*BK11)/360</f>
        <v>0</v>
      </c>
      <c r="BO11" s="193">
        <f>(BM11*BN11)/360</f>
        <v>0</v>
      </c>
      <c r="BR11" s="193">
        <f>(BP11*BQ11)/360</f>
        <v>0</v>
      </c>
      <c r="BU11" s="193">
        <f>(BS11*BT11)/360</f>
        <v>0</v>
      </c>
      <c r="BX11" s="193">
        <f>(BV11*BW11)/360</f>
        <v>0</v>
      </c>
      <c r="CA11" s="193">
        <f>(BY11*BZ11)/360</f>
        <v>0</v>
      </c>
      <c r="CD11" s="193">
        <f>(CB11*CC11)/360</f>
        <v>0</v>
      </c>
      <c r="CG11" s="193">
        <f>(CE11*CF11)/360</f>
        <v>0</v>
      </c>
      <c r="CJ11" s="193">
        <f>(CH11*CI11)/360</f>
        <v>0</v>
      </c>
      <c r="CM11" s="193">
        <f>(CK11*CL11)/360</f>
        <v>0</v>
      </c>
      <c r="CP11" s="193">
        <f>(CN11*CO11)/360</f>
        <v>0</v>
      </c>
      <c r="CS11" s="193">
        <f>(CQ11*CR11)/360</f>
        <v>0</v>
      </c>
      <c r="CV11" s="193">
        <f>(CT11*CU11)/360</f>
        <v>0</v>
      </c>
      <c r="CY11" s="193">
        <f>(CW11*CX11)/360</f>
        <v>0</v>
      </c>
      <c r="DB11" s="193">
        <f>(CZ11*DA11)/360</f>
        <v>0</v>
      </c>
      <c r="DE11" s="193">
        <f>(DC11*DD11)/360</f>
        <v>0</v>
      </c>
      <c r="DH11" s="193">
        <f>(DF11*DG11)/360</f>
        <v>0</v>
      </c>
      <c r="DK11" s="193">
        <f>(DI11*DJ11)/360</f>
        <v>0</v>
      </c>
      <c r="DN11" s="193">
        <f>(DL11*DM11)/360</f>
        <v>0</v>
      </c>
      <c r="DQ11" s="193">
        <f>(DO11*DP11)/360</f>
        <v>0</v>
      </c>
      <c r="DT11" s="193">
        <f>(DR11*DS11)/360</f>
        <v>0</v>
      </c>
      <c r="DW11" s="193">
        <f>(DU11*DV11)/360</f>
        <v>0</v>
      </c>
      <c r="DZ11" s="193"/>
      <c r="EA11" s="193"/>
      <c r="EB11" s="228">
        <f>B11+E11+H11+K11+N11+Q11+T11+W11+Z11+AC11+AF11+AL11+AO11+AR11+AU11+AX11+BA11+BD11+BG11+DU11+AI11+DR11+DO11+DL11+DI11+DF11+DC11+CZ11+CW11+CT11+CQ11+CN11+CK11+CH11+CE11+CB11+BY11+BV11+BS11+BP11+BM11+BJ11</f>
        <v>0</v>
      </c>
      <c r="EC11" s="228">
        <f>EB11-EK11+EL11</f>
        <v>0</v>
      </c>
      <c r="ED11" s="193">
        <f>D11+G11+J11+M11+P11+S11+V11+Y11+AB11+AE11+AH11+AK11+AN11+AQ11+AT11+AW11+AZ11+BC11+BF11+BI11+DW11+DT11+DQ11+DN11+DK11+DH11+DE11+DB11+CY11+CV11+CS11+CP11+CM11+CJ11+CG11+CD11+CA11+BX11+BU11+BR11+BO11+BL11</f>
        <v>0</v>
      </c>
      <c r="EE11" s="194">
        <f>IF(EB11&lt;&gt;0,((ED11/EB11)*360),0)</f>
        <v>0</v>
      </c>
      <c r="EG11" s="228">
        <f>Q11+T11+W11+Z11+AC11+AF11</f>
        <v>0</v>
      </c>
      <c r="EH11" s="193">
        <f>S11+V11+Y11+AB11+AE11+AH11</f>
        <v>0</v>
      </c>
      <c r="EI11" s="194">
        <f>IF(EG11&lt;&gt;0,((EH11/EG11)*360),0)</f>
        <v>0</v>
      </c>
      <c r="EJ11" s="194"/>
      <c r="EK11" s="228">
        <f>DR11+DL11+DI11+DF11+DC11+CZ11+CW11+CT11+CQ11+CN11+CK11+CH11+CE11+CB11+BY11+BV11+BS11+BP11+BM11+BJ11+BG11+BD11+BA11+AX11+AU11+AR11+AO11+AL11+AI11+DO11</f>
        <v>0</v>
      </c>
      <c r="EL11" s="228">
        <f>DX11</f>
        <v>0</v>
      </c>
      <c r="EM11" s="228">
        <f>DT11+DQ11+DN11+DK11+DH11+DE11+DB11+CY11+CV11+CS11+CP11+CM11+CJ11+CG11+CD11+CA11+BX11+BU11+BR11+BO11+BL11+BI11+BF11+BC11+AZ11+AW11+AT11+AQ11+AN11+AK11</f>
        <v>0</v>
      </c>
      <c r="EN11" s="194">
        <f>IF(EK11&lt;&gt;0,((EM11/EK11)*360),0)</f>
        <v>0</v>
      </c>
      <c r="EP11" s="193"/>
    </row>
    <row r="12" spans="1:147" x14ac:dyDescent="0.2">
      <c r="A12" s="225">
        <f>1+A11</f>
        <v>44198</v>
      </c>
      <c r="B12" s="193">
        <v>0</v>
      </c>
      <c r="C12" s="194">
        <v>8.9999999999999998E-4</v>
      </c>
      <c r="D12" s="193">
        <f t="shared" ref="D12:D41" si="0">(B12*C12)/360</f>
        <v>0</v>
      </c>
      <c r="G12" s="193">
        <f t="shared" ref="G12:G41" si="1">(E12*F12)/360</f>
        <v>0</v>
      </c>
      <c r="J12" s="193">
        <f t="shared" ref="J12:J41" si="2">(H12*I12)/360</f>
        <v>0</v>
      </c>
      <c r="M12" s="193">
        <f t="shared" ref="M12:M41" si="3">(K12*L12)/360</f>
        <v>0</v>
      </c>
      <c r="P12" s="193">
        <f t="shared" ref="P12:P41" si="4">(N12*O12)/360</f>
        <v>0</v>
      </c>
      <c r="S12" s="193">
        <f t="shared" ref="S12:S41" si="5">(Q12*R12)/360</f>
        <v>0</v>
      </c>
      <c r="V12" s="193">
        <f t="shared" ref="V12:V41" si="6">(T12*U12)/360</f>
        <v>0</v>
      </c>
      <c r="Y12" s="193">
        <f t="shared" ref="Y12:Y41" si="7">(W12*X12)/360</f>
        <v>0</v>
      </c>
      <c r="AB12" s="193">
        <f t="shared" ref="AB12:AB41" si="8">(Z12*AA12)/360</f>
        <v>0</v>
      </c>
      <c r="AE12" s="193">
        <v>0</v>
      </c>
      <c r="AH12" s="193">
        <v>0</v>
      </c>
      <c r="AI12" s="226"/>
      <c r="AJ12" s="227"/>
      <c r="AK12" s="193">
        <f t="shared" ref="AK12:AK41" si="9">(AI12*AJ12)/360</f>
        <v>0</v>
      </c>
      <c r="AL12" s="226"/>
      <c r="AM12" s="227"/>
      <c r="AN12" s="193">
        <f t="shared" ref="AN12:AN41" si="10">(AL12*AM12)/360</f>
        <v>0</v>
      </c>
      <c r="AO12" s="226"/>
      <c r="AP12" s="227"/>
      <c r="AQ12" s="193">
        <f t="shared" ref="AQ12:AQ41" si="11">(AO12*AP12)/360</f>
        <v>0</v>
      </c>
      <c r="AR12" s="226"/>
      <c r="AS12" s="227"/>
      <c r="AT12" s="193">
        <f t="shared" ref="AT12:AT41" si="12">(AR12*AS12)/360</f>
        <v>0</v>
      </c>
      <c r="AW12" s="193">
        <f t="shared" ref="AW12:AW41" si="13">(AU12*AV12)/360</f>
        <v>0</v>
      </c>
      <c r="AZ12" s="193">
        <f t="shared" ref="AZ12:AZ41" si="14">(AX12*AY12)/360</f>
        <v>0</v>
      </c>
      <c r="BC12" s="193">
        <f t="shared" ref="BC12:BC41" si="15">(BA12*BB12)/360</f>
        <v>0</v>
      </c>
      <c r="BF12" s="193">
        <f t="shared" ref="BF12:BF41" si="16">(BD12*BE12)/360</f>
        <v>0</v>
      </c>
      <c r="BI12" s="193">
        <f t="shared" ref="BI12:BI41" si="17">(BG12*BH12)/360</f>
        <v>0</v>
      </c>
      <c r="BL12" s="193">
        <f t="shared" ref="BL12:BL41" si="18">(BJ12*BK12)/360</f>
        <v>0</v>
      </c>
      <c r="BO12" s="193">
        <f t="shared" ref="BO12:BO41" si="19">(BM12*BN12)/360</f>
        <v>0</v>
      </c>
      <c r="BR12" s="193">
        <f t="shared" ref="BR12:BR41" si="20">(BP12*BQ12)/360</f>
        <v>0</v>
      </c>
      <c r="BU12" s="193">
        <f t="shared" ref="BU12:BU41" si="21">(BS12*BT12)/360</f>
        <v>0</v>
      </c>
      <c r="BX12" s="193">
        <f t="shared" ref="BX12:BX41" si="22">(BV12*BW12)/360</f>
        <v>0</v>
      </c>
      <c r="CA12" s="193">
        <f t="shared" ref="CA12:CA41" si="23">(BY12*BZ12)/360</f>
        <v>0</v>
      </c>
      <c r="CD12" s="193">
        <f t="shared" ref="CD12:CD41" si="24">(CB12*CC12)/360</f>
        <v>0</v>
      </c>
      <c r="CG12" s="193">
        <f t="shared" ref="CG12:CG41" si="25">(CE12*CF12)/360</f>
        <v>0</v>
      </c>
      <c r="CJ12" s="193">
        <f t="shared" ref="CJ12:CJ41" si="26">(CH12*CI12)/360</f>
        <v>0</v>
      </c>
      <c r="CM12" s="193">
        <f t="shared" ref="CM12:CM41" si="27">(CK12*CL12)/360</f>
        <v>0</v>
      </c>
      <c r="CP12" s="193">
        <f t="shared" ref="CP12:CP41" si="28">(CN12*CO12)/360</f>
        <v>0</v>
      </c>
      <c r="CS12" s="193">
        <f t="shared" ref="CS12:CS41" si="29">(CQ12*CR12)/360</f>
        <v>0</v>
      </c>
      <c r="CV12" s="193">
        <f t="shared" ref="CV12:CV41" si="30">(CT12*CU12)/360</f>
        <v>0</v>
      </c>
      <c r="CY12" s="193">
        <f t="shared" ref="CY12:CY41" si="31">(CW12*CX12)/360</f>
        <v>0</v>
      </c>
      <c r="DB12" s="193">
        <f t="shared" ref="DB12:DB41" si="32">(CZ12*DA12)/360</f>
        <v>0</v>
      </c>
      <c r="DE12" s="193">
        <f t="shared" ref="DE12:DE41" si="33">(DC12*DD12)/360</f>
        <v>0</v>
      </c>
      <c r="DH12" s="193">
        <f t="shared" ref="DH12:DH41" si="34">(DF12*DG12)/360</f>
        <v>0</v>
      </c>
      <c r="DK12" s="193">
        <f t="shared" ref="DK12:DK41" si="35">(DI12*DJ12)/360</f>
        <v>0</v>
      </c>
      <c r="DN12" s="193">
        <f t="shared" ref="DN12:DN41" si="36">(DL12*DM12)/360</f>
        <v>0</v>
      </c>
      <c r="DQ12" s="193">
        <f t="shared" ref="DQ12:DQ41" si="37">(DO12*DP12)/360</f>
        <v>0</v>
      </c>
      <c r="DT12" s="193">
        <f t="shared" ref="DT12:DT41" si="38">(DR12*DS12)/360</f>
        <v>0</v>
      </c>
      <c r="DW12" s="193">
        <f t="shared" ref="DW12:DW41" si="39">(DU12*DV12)/360</f>
        <v>0</v>
      </c>
      <c r="DZ12" s="193"/>
      <c r="EA12" s="193"/>
      <c r="EB12" s="228">
        <f t="shared" ref="EB12:EB41" si="40">B12+E12+H12+K12+N12+Q12+T12+W12+Z12+AC12+AF12+AL12+AO12+AR12+AU12+AX12+BA12+BD12+BG12+DU12+AI12+DR12+DO12+DL12+DI12+DF12+DC12+CZ12+CW12+CT12+CQ12+CN12+CK12+CH12+CE12+CB12+BY12+BV12+BS12+BP12+BM12+BJ12</f>
        <v>0</v>
      </c>
      <c r="EC12" s="228">
        <f t="shared" ref="EC12:EC41" si="41">EB12-EK12+EL12</f>
        <v>0</v>
      </c>
      <c r="ED12" s="193">
        <f t="shared" ref="ED12:ED41" si="42">D12+G12+J12+M12+P12+S12+V12+Y12+AB12+AE12+AH12+AK12+AN12+AQ12+AT12+AW12+AZ12+BC12+BF12+BI12+DW12+DT12+DQ12+DN12+DK12+DH12+DE12+DB12+CY12+CV12+CS12+CP12+CM12+CJ12+CG12+CD12+CA12+BX12+BU12+BR12+BO12+BL12</f>
        <v>0</v>
      </c>
      <c r="EE12" s="194">
        <f t="shared" ref="EE12:EE41" si="43">IF(EB12&lt;&gt;0,((ED12/EB12)*360),0)</f>
        <v>0</v>
      </c>
      <c r="EG12" s="228">
        <f t="shared" ref="EG12:EG41" si="44">Q12+T12+W12+Z12+AC12+AF12</f>
        <v>0</v>
      </c>
      <c r="EH12" s="193">
        <f t="shared" ref="EH12:EH41" si="45">S12+V12+Y12+AB12+AE12+AH12</f>
        <v>0</v>
      </c>
      <c r="EI12" s="194">
        <f t="shared" ref="EI12:EI41" si="46">IF(EG12&lt;&gt;0,((EH12/EG12)*360),0)</f>
        <v>0</v>
      </c>
      <c r="EJ12" s="194"/>
      <c r="EK12" s="228">
        <f t="shared" ref="EK12:EK41" si="47">DR12+DL12+DI12+DF12+DC12+CZ12+CW12+CT12+CQ12+CN12+CK12+CH12+CE12+CB12+BY12+BV12+BS12+BP12+BM12+BJ12+BG12+BD12+BA12+AX12+AU12+AR12+AO12+AL12+AI12+DO12</f>
        <v>0</v>
      </c>
      <c r="EL12" s="228">
        <f t="shared" ref="EL12:EL41" si="48">DX12</f>
        <v>0</v>
      </c>
      <c r="EM12" s="228">
        <f t="shared" ref="EM12:EM41" si="49">DT12+DQ12+DN12+DK12+DH12+DE12+DB12+CY12+CV12+CS12+CP12+CM12+CJ12+CG12+CD12+CA12+BX12+BU12+BR12+BO12+BL12+BI12+BF12+BC12+AZ12+AW12+AT12+AQ12+AN12+AK12</f>
        <v>0</v>
      </c>
      <c r="EN12" s="194">
        <f t="shared" ref="EN12:EN41" si="50">IF(EK12&lt;&gt;0,((EM12/EK12)*360),0)</f>
        <v>0</v>
      </c>
      <c r="EP12" s="193"/>
    </row>
    <row r="13" spans="1:147" x14ac:dyDescent="0.2">
      <c r="A13" s="225">
        <f t="shared" ref="A13:A41" si="51">1+A12</f>
        <v>44199</v>
      </c>
      <c r="B13" s="193">
        <v>0</v>
      </c>
      <c r="C13" s="194">
        <v>8.9999999999999998E-4</v>
      </c>
      <c r="D13" s="193">
        <f t="shared" si="0"/>
        <v>0</v>
      </c>
      <c r="G13" s="193">
        <f t="shared" si="1"/>
        <v>0</v>
      </c>
      <c r="J13" s="193">
        <f t="shared" si="2"/>
        <v>0</v>
      </c>
      <c r="M13" s="193">
        <f t="shared" si="3"/>
        <v>0</v>
      </c>
      <c r="P13" s="193">
        <f t="shared" si="4"/>
        <v>0</v>
      </c>
      <c r="S13" s="193">
        <f t="shared" si="5"/>
        <v>0</v>
      </c>
      <c r="V13" s="193">
        <f t="shared" si="6"/>
        <v>0</v>
      </c>
      <c r="Y13" s="193">
        <f t="shared" si="7"/>
        <v>0</v>
      </c>
      <c r="AB13" s="193">
        <f t="shared" si="8"/>
        <v>0</v>
      </c>
      <c r="AE13" s="193">
        <v>0</v>
      </c>
      <c r="AH13" s="193">
        <v>0</v>
      </c>
      <c r="AI13" s="226"/>
      <c r="AJ13" s="227"/>
      <c r="AK13" s="193">
        <f t="shared" si="9"/>
        <v>0</v>
      </c>
      <c r="AL13" s="226"/>
      <c r="AM13" s="227"/>
      <c r="AN13" s="193">
        <f t="shared" si="10"/>
        <v>0</v>
      </c>
      <c r="AO13" s="226"/>
      <c r="AP13" s="227"/>
      <c r="AQ13" s="193">
        <f t="shared" si="11"/>
        <v>0</v>
      </c>
      <c r="AR13" s="226"/>
      <c r="AS13" s="227"/>
      <c r="AT13" s="193">
        <f t="shared" si="12"/>
        <v>0</v>
      </c>
      <c r="AW13" s="193">
        <f t="shared" si="13"/>
        <v>0</v>
      </c>
      <c r="AZ13" s="193">
        <f t="shared" si="14"/>
        <v>0</v>
      </c>
      <c r="BC13" s="193">
        <f t="shared" si="15"/>
        <v>0</v>
      </c>
      <c r="BF13" s="193">
        <f t="shared" si="16"/>
        <v>0</v>
      </c>
      <c r="BI13" s="193">
        <f t="shared" si="17"/>
        <v>0</v>
      </c>
      <c r="BL13" s="193">
        <f t="shared" si="18"/>
        <v>0</v>
      </c>
      <c r="BO13" s="193">
        <f t="shared" si="19"/>
        <v>0</v>
      </c>
      <c r="BR13" s="193">
        <f t="shared" si="20"/>
        <v>0</v>
      </c>
      <c r="BU13" s="193">
        <f t="shared" si="21"/>
        <v>0</v>
      </c>
      <c r="BX13" s="193">
        <f t="shared" si="22"/>
        <v>0</v>
      </c>
      <c r="CA13" s="193">
        <f t="shared" si="23"/>
        <v>0</v>
      </c>
      <c r="CD13" s="193">
        <f t="shared" si="24"/>
        <v>0</v>
      </c>
      <c r="CG13" s="193">
        <f t="shared" si="25"/>
        <v>0</v>
      </c>
      <c r="CJ13" s="193">
        <f t="shared" si="26"/>
        <v>0</v>
      </c>
      <c r="CM13" s="193">
        <f t="shared" si="27"/>
        <v>0</v>
      </c>
      <c r="CP13" s="193">
        <f t="shared" si="28"/>
        <v>0</v>
      </c>
      <c r="CS13" s="193">
        <f t="shared" si="29"/>
        <v>0</v>
      </c>
      <c r="CV13" s="193">
        <f t="shared" si="30"/>
        <v>0</v>
      </c>
      <c r="CY13" s="193">
        <f t="shared" si="31"/>
        <v>0</v>
      </c>
      <c r="DB13" s="193">
        <f t="shared" si="32"/>
        <v>0</v>
      </c>
      <c r="DE13" s="193">
        <f t="shared" si="33"/>
        <v>0</v>
      </c>
      <c r="DH13" s="193">
        <f t="shared" si="34"/>
        <v>0</v>
      </c>
      <c r="DK13" s="193">
        <f t="shared" si="35"/>
        <v>0</v>
      </c>
      <c r="DN13" s="193">
        <f t="shared" si="36"/>
        <v>0</v>
      </c>
      <c r="DQ13" s="193">
        <f t="shared" si="37"/>
        <v>0</v>
      </c>
      <c r="DT13" s="193">
        <f t="shared" si="38"/>
        <v>0</v>
      </c>
      <c r="DW13" s="193">
        <f t="shared" si="39"/>
        <v>0</v>
      </c>
      <c r="DZ13" s="193"/>
      <c r="EA13" s="193"/>
      <c r="EB13" s="228">
        <f t="shared" si="40"/>
        <v>0</v>
      </c>
      <c r="EC13" s="228">
        <f t="shared" si="41"/>
        <v>0</v>
      </c>
      <c r="ED13" s="193">
        <f t="shared" si="42"/>
        <v>0</v>
      </c>
      <c r="EE13" s="194">
        <f t="shared" si="43"/>
        <v>0</v>
      </c>
      <c r="EG13" s="228">
        <f t="shared" si="44"/>
        <v>0</v>
      </c>
      <c r="EH13" s="193">
        <f t="shared" si="45"/>
        <v>0</v>
      </c>
      <c r="EI13" s="194">
        <f t="shared" si="46"/>
        <v>0</v>
      </c>
      <c r="EJ13" s="194"/>
      <c r="EK13" s="228">
        <f t="shared" si="47"/>
        <v>0</v>
      </c>
      <c r="EL13" s="228">
        <f t="shared" si="48"/>
        <v>0</v>
      </c>
      <c r="EM13" s="228">
        <f t="shared" si="49"/>
        <v>0</v>
      </c>
      <c r="EN13" s="194">
        <f t="shared" si="50"/>
        <v>0</v>
      </c>
      <c r="EP13" s="193"/>
    </row>
    <row r="14" spans="1:147" x14ac:dyDescent="0.2">
      <c r="A14" s="225">
        <f t="shared" si="51"/>
        <v>44200</v>
      </c>
      <c r="B14" s="193">
        <v>0</v>
      </c>
      <c r="C14" s="194">
        <v>8.9999999999999998E-4</v>
      </c>
      <c r="D14" s="193">
        <f t="shared" si="0"/>
        <v>0</v>
      </c>
      <c r="G14" s="193">
        <f t="shared" si="1"/>
        <v>0</v>
      </c>
      <c r="J14" s="193">
        <f t="shared" si="2"/>
        <v>0</v>
      </c>
      <c r="M14" s="193">
        <f t="shared" si="3"/>
        <v>0</v>
      </c>
      <c r="P14" s="193">
        <f t="shared" si="4"/>
        <v>0</v>
      </c>
      <c r="S14" s="193">
        <f t="shared" si="5"/>
        <v>0</v>
      </c>
      <c r="V14" s="193">
        <f t="shared" si="6"/>
        <v>0</v>
      </c>
      <c r="Y14" s="193">
        <f t="shared" si="7"/>
        <v>0</v>
      </c>
      <c r="AB14" s="193">
        <f t="shared" si="8"/>
        <v>0</v>
      </c>
      <c r="AE14" s="193">
        <v>0</v>
      </c>
      <c r="AH14" s="193">
        <v>0</v>
      </c>
      <c r="AI14" s="226"/>
      <c r="AJ14" s="227"/>
      <c r="AK14" s="193">
        <f t="shared" si="9"/>
        <v>0</v>
      </c>
      <c r="AL14" s="226"/>
      <c r="AM14" s="227"/>
      <c r="AN14" s="193">
        <f t="shared" si="10"/>
        <v>0</v>
      </c>
      <c r="AO14" s="226"/>
      <c r="AP14" s="227"/>
      <c r="AQ14" s="193">
        <f t="shared" si="11"/>
        <v>0</v>
      </c>
      <c r="AR14" s="226"/>
      <c r="AS14" s="227"/>
      <c r="AT14" s="193">
        <f t="shared" si="12"/>
        <v>0</v>
      </c>
      <c r="AW14" s="193">
        <f t="shared" si="13"/>
        <v>0</v>
      </c>
      <c r="AZ14" s="193">
        <f t="shared" si="14"/>
        <v>0</v>
      </c>
      <c r="BC14" s="193">
        <f t="shared" si="15"/>
        <v>0</v>
      </c>
      <c r="BF14" s="193">
        <f t="shared" si="16"/>
        <v>0</v>
      </c>
      <c r="BI14" s="193">
        <f t="shared" si="17"/>
        <v>0</v>
      </c>
      <c r="BL14" s="193">
        <f t="shared" si="18"/>
        <v>0</v>
      </c>
      <c r="BO14" s="193">
        <f t="shared" si="19"/>
        <v>0</v>
      </c>
      <c r="BR14" s="193">
        <f t="shared" si="20"/>
        <v>0</v>
      </c>
      <c r="BU14" s="193">
        <f t="shared" si="21"/>
        <v>0</v>
      </c>
      <c r="BX14" s="193">
        <f t="shared" si="22"/>
        <v>0</v>
      </c>
      <c r="CA14" s="193">
        <f t="shared" si="23"/>
        <v>0</v>
      </c>
      <c r="CD14" s="193">
        <f t="shared" si="24"/>
        <v>0</v>
      </c>
      <c r="CG14" s="193">
        <f t="shared" si="25"/>
        <v>0</v>
      </c>
      <c r="CJ14" s="193">
        <f t="shared" si="26"/>
        <v>0</v>
      </c>
      <c r="CM14" s="193">
        <f t="shared" si="27"/>
        <v>0</v>
      </c>
      <c r="CP14" s="193">
        <f t="shared" si="28"/>
        <v>0</v>
      </c>
      <c r="CS14" s="193">
        <f t="shared" si="29"/>
        <v>0</v>
      </c>
      <c r="CV14" s="193">
        <f t="shared" si="30"/>
        <v>0</v>
      </c>
      <c r="CY14" s="193">
        <f t="shared" si="31"/>
        <v>0</v>
      </c>
      <c r="DB14" s="193">
        <f t="shared" si="32"/>
        <v>0</v>
      </c>
      <c r="DE14" s="193">
        <f t="shared" si="33"/>
        <v>0</v>
      </c>
      <c r="DH14" s="193">
        <f t="shared" si="34"/>
        <v>0</v>
      </c>
      <c r="DK14" s="193">
        <f t="shared" si="35"/>
        <v>0</v>
      </c>
      <c r="DN14" s="193">
        <f t="shared" si="36"/>
        <v>0</v>
      </c>
      <c r="DQ14" s="193">
        <f t="shared" si="37"/>
        <v>0</v>
      </c>
      <c r="DT14" s="193">
        <f t="shared" si="38"/>
        <v>0</v>
      </c>
      <c r="DW14" s="193">
        <f t="shared" si="39"/>
        <v>0</v>
      </c>
      <c r="DZ14" s="193"/>
      <c r="EA14" s="193"/>
      <c r="EB14" s="228">
        <f t="shared" si="40"/>
        <v>0</v>
      </c>
      <c r="EC14" s="228">
        <f t="shared" si="41"/>
        <v>0</v>
      </c>
      <c r="ED14" s="193">
        <f t="shared" si="42"/>
        <v>0</v>
      </c>
      <c r="EE14" s="194">
        <f t="shared" si="43"/>
        <v>0</v>
      </c>
      <c r="EG14" s="228">
        <f t="shared" si="44"/>
        <v>0</v>
      </c>
      <c r="EH14" s="193">
        <f t="shared" si="45"/>
        <v>0</v>
      </c>
      <c r="EI14" s="194">
        <f t="shared" si="46"/>
        <v>0</v>
      </c>
      <c r="EJ14" s="194"/>
      <c r="EK14" s="228">
        <f t="shared" si="47"/>
        <v>0</v>
      </c>
      <c r="EL14" s="228">
        <f t="shared" si="48"/>
        <v>0</v>
      </c>
      <c r="EM14" s="228">
        <f t="shared" si="49"/>
        <v>0</v>
      </c>
      <c r="EN14" s="194">
        <f t="shared" si="50"/>
        <v>0</v>
      </c>
      <c r="EP14" s="193"/>
    </row>
    <row r="15" spans="1:147" x14ac:dyDescent="0.2">
      <c r="A15" s="225">
        <f t="shared" si="51"/>
        <v>44201</v>
      </c>
      <c r="B15" s="193">
        <v>0</v>
      </c>
      <c r="C15" s="194">
        <v>8.0000000000000004E-4</v>
      </c>
      <c r="D15" s="193">
        <f t="shared" si="0"/>
        <v>0</v>
      </c>
      <c r="G15" s="193">
        <f t="shared" si="1"/>
        <v>0</v>
      </c>
      <c r="J15" s="193">
        <f t="shared" si="2"/>
        <v>0</v>
      </c>
      <c r="M15" s="193">
        <f t="shared" si="3"/>
        <v>0</v>
      </c>
      <c r="P15" s="193">
        <f t="shared" si="4"/>
        <v>0</v>
      </c>
      <c r="S15" s="193">
        <f t="shared" si="5"/>
        <v>0</v>
      </c>
      <c r="V15" s="193">
        <f t="shared" si="6"/>
        <v>0</v>
      </c>
      <c r="Y15" s="193">
        <f t="shared" si="7"/>
        <v>0</v>
      </c>
      <c r="AB15" s="193">
        <f t="shared" si="8"/>
        <v>0</v>
      </c>
      <c r="AE15" s="193">
        <v>0</v>
      </c>
      <c r="AH15" s="193">
        <v>0</v>
      </c>
      <c r="AI15" s="226"/>
      <c r="AJ15" s="227"/>
      <c r="AK15" s="193">
        <f t="shared" si="9"/>
        <v>0</v>
      </c>
      <c r="AL15" s="226"/>
      <c r="AM15" s="227"/>
      <c r="AN15" s="193">
        <f t="shared" si="10"/>
        <v>0</v>
      </c>
      <c r="AO15" s="226"/>
      <c r="AP15" s="227"/>
      <c r="AQ15" s="193">
        <f t="shared" si="11"/>
        <v>0</v>
      </c>
      <c r="AR15" s="226"/>
      <c r="AS15" s="227"/>
      <c r="AT15" s="193">
        <f t="shared" si="12"/>
        <v>0</v>
      </c>
      <c r="AW15" s="193">
        <f t="shared" si="13"/>
        <v>0</v>
      </c>
      <c r="AZ15" s="193">
        <f t="shared" si="14"/>
        <v>0</v>
      </c>
      <c r="BC15" s="193">
        <f t="shared" si="15"/>
        <v>0</v>
      </c>
      <c r="BF15" s="193">
        <f t="shared" si="16"/>
        <v>0</v>
      </c>
      <c r="BI15" s="193">
        <f t="shared" si="17"/>
        <v>0</v>
      </c>
      <c r="BL15" s="193">
        <f t="shared" si="18"/>
        <v>0</v>
      </c>
      <c r="BO15" s="193">
        <f t="shared" si="19"/>
        <v>0</v>
      </c>
      <c r="BR15" s="193">
        <f t="shared" si="20"/>
        <v>0</v>
      </c>
      <c r="BU15" s="193">
        <f t="shared" si="21"/>
        <v>0</v>
      </c>
      <c r="BX15" s="193">
        <f t="shared" si="22"/>
        <v>0</v>
      </c>
      <c r="CA15" s="193">
        <f t="shared" si="23"/>
        <v>0</v>
      </c>
      <c r="CD15" s="193">
        <f t="shared" si="24"/>
        <v>0</v>
      </c>
      <c r="CG15" s="193">
        <f t="shared" si="25"/>
        <v>0</v>
      </c>
      <c r="CJ15" s="193">
        <f t="shared" si="26"/>
        <v>0</v>
      </c>
      <c r="CM15" s="193">
        <f t="shared" si="27"/>
        <v>0</v>
      </c>
      <c r="CP15" s="193">
        <f t="shared" si="28"/>
        <v>0</v>
      </c>
      <c r="CS15" s="193">
        <f t="shared" si="29"/>
        <v>0</v>
      </c>
      <c r="CV15" s="193">
        <f t="shared" si="30"/>
        <v>0</v>
      </c>
      <c r="CY15" s="193">
        <f t="shared" si="31"/>
        <v>0</v>
      </c>
      <c r="DB15" s="193">
        <f t="shared" si="32"/>
        <v>0</v>
      </c>
      <c r="DE15" s="193">
        <f t="shared" si="33"/>
        <v>0</v>
      </c>
      <c r="DH15" s="193">
        <f t="shared" si="34"/>
        <v>0</v>
      </c>
      <c r="DK15" s="193">
        <f t="shared" si="35"/>
        <v>0</v>
      </c>
      <c r="DN15" s="193">
        <f t="shared" si="36"/>
        <v>0</v>
      </c>
      <c r="DQ15" s="193">
        <f t="shared" si="37"/>
        <v>0</v>
      </c>
      <c r="DT15" s="193">
        <f t="shared" si="38"/>
        <v>0</v>
      </c>
      <c r="DW15" s="193">
        <f t="shared" si="39"/>
        <v>0</v>
      </c>
      <c r="DZ15" s="193"/>
      <c r="EA15" s="193"/>
      <c r="EB15" s="228">
        <f t="shared" si="40"/>
        <v>0</v>
      </c>
      <c r="EC15" s="228">
        <f t="shared" si="41"/>
        <v>0</v>
      </c>
      <c r="ED15" s="193">
        <f t="shared" si="42"/>
        <v>0</v>
      </c>
      <c r="EE15" s="194">
        <f t="shared" si="43"/>
        <v>0</v>
      </c>
      <c r="EG15" s="228">
        <f t="shared" si="44"/>
        <v>0</v>
      </c>
      <c r="EH15" s="193">
        <f t="shared" si="45"/>
        <v>0</v>
      </c>
      <c r="EI15" s="194">
        <f t="shared" si="46"/>
        <v>0</v>
      </c>
      <c r="EJ15" s="194"/>
      <c r="EK15" s="228">
        <f t="shared" si="47"/>
        <v>0</v>
      </c>
      <c r="EL15" s="228">
        <f t="shared" si="48"/>
        <v>0</v>
      </c>
      <c r="EM15" s="228">
        <f t="shared" si="49"/>
        <v>0</v>
      </c>
      <c r="EN15" s="194">
        <f t="shared" si="50"/>
        <v>0</v>
      </c>
      <c r="EP15" s="193"/>
    </row>
    <row r="16" spans="1:147" x14ac:dyDescent="0.2">
      <c r="A16" s="225">
        <f t="shared" si="51"/>
        <v>44202</v>
      </c>
      <c r="B16" s="193">
        <v>0</v>
      </c>
      <c r="C16" s="194">
        <v>1E-3</v>
      </c>
      <c r="D16" s="193">
        <f t="shared" si="0"/>
        <v>0</v>
      </c>
      <c r="G16" s="193">
        <f t="shared" si="1"/>
        <v>0</v>
      </c>
      <c r="J16" s="193">
        <f t="shared" si="2"/>
        <v>0</v>
      </c>
      <c r="M16" s="193">
        <f t="shared" si="3"/>
        <v>0</v>
      </c>
      <c r="P16" s="193">
        <f t="shared" si="4"/>
        <v>0</v>
      </c>
      <c r="S16" s="193">
        <f t="shared" si="5"/>
        <v>0</v>
      </c>
      <c r="V16" s="193">
        <f t="shared" si="6"/>
        <v>0</v>
      </c>
      <c r="Y16" s="193">
        <f t="shared" si="7"/>
        <v>0</v>
      </c>
      <c r="AB16" s="193">
        <f t="shared" si="8"/>
        <v>0</v>
      </c>
      <c r="AE16" s="193">
        <v>0</v>
      </c>
      <c r="AH16" s="193">
        <v>0</v>
      </c>
      <c r="AI16" s="226"/>
      <c r="AJ16" s="227"/>
      <c r="AK16" s="193">
        <f t="shared" si="9"/>
        <v>0</v>
      </c>
      <c r="AL16" s="226"/>
      <c r="AM16" s="227"/>
      <c r="AN16" s="193">
        <f t="shared" si="10"/>
        <v>0</v>
      </c>
      <c r="AO16" s="226"/>
      <c r="AP16" s="227"/>
      <c r="AQ16" s="193">
        <f t="shared" si="11"/>
        <v>0</v>
      </c>
      <c r="AR16" s="226"/>
      <c r="AS16" s="227"/>
      <c r="AT16" s="193">
        <f t="shared" si="12"/>
        <v>0</v>
      </c>
      <c r="AW16" s="193">
        <f t="shared" si="13"/>
        <v>0</v>
      </c>
      <c r="AZ16" s="193">
        <f t="shared" si="14"/>
        <v>0</v>
      </c>
      <c r="BC16" s="193">
        <f t="shared" si="15"/>
        <v>0</v>
      </c>
      <c r="BF16" s="193">
        <f t="shared" si="16"/>
        <v>0</v>
      </c>
      <c r="BI16" s="193">
        <f t="shared" si="17"/>
        <v>0</v>
      </c>
      <c r="BL16" s="193">
        <f t="shared" si="18"/>
        <v>0</v>
      </c>
      <c r="BO16" s="193">
        <f t="shared" si="19"/>
        <v>0</v>
      </c>
      <c r="BR16" s="193">
        <f t="shared" si="20"/>
        <v>0</v>
      </c>
      <c r="BU16" s="193">
        <f t="shared" si="21"/>
        <v>0</v>
      </c>
      <c r="BX16" s="193">
        <f t="shared" si="22"/>
        <v>0</v>
      </c>
      <c r="CA16" s="193">
        <f t="shared" si="23"/>
        <v>0</v>
      </c>
      <c r="CD16" s="193">
        <f t="shared" si="24"/>
        <v>0</v>
      </c>
      <c r="CG16" s="193">
        <f t="shared" si="25"/>
        <v>0</v>
      </c>
      <c r="CJ16" s="193">
        <f t="shared" si="26"/>
        <v>0</v>
      </c>
      <c r="CM16" s="193">
        <f t="shared" si="27"/>
        <v>0</v>
      </c>
      <c r="CP16" s="193">
        <f t="shared" si="28"/>
        <v>0</v>
      </c>
      <c r="CS16" s="193">
        <f t="shared" si="29"/>
        <v>0</v>
      </c>
      <c r="CV16" s="193">
        <f t="shared" si="30"/>
        <v>0</v>
      </c>
      <c r="CY16" s="193">
        <f t="shared" si="31"/>
        <v>0</v>
      </c>
      <c r="DB16" s="193">
        <f t="shared" si="32"/>
        <v>0</v>
      </c>
      <c r="DE16" s="193">
        <f t="shared" si="33"/>
        <v>0</v>
      </c>
      <c r="DH16" s="193">
        <f t="shared" si="34"/>
        <v>0</v>
      </c>
      <c r="DK16" s="193">
        <f t="shared" si="35"/>
        <v>0</v>
      </c>
      <c r="DN16" s="193">
        <f t="shared" si="36"/>
        <v>0</v>
      </c>
      <c r="DQ16" s="193">
        <f t="shared" si="37"/>
        <v>0</v>
      </c>
      <c r="DT16" s="193">
        <f t="shared" si="38"/>
        <v>0</v>
      </c>
      <c r="DW16" s="193">
        <f t="shared" si="39"/>
        <v>0</v>
      </c>
      <c r="DZ16" s="193"/>
      <c r="EA16" s="193"/>
      <c r="EB16" s="228">
        <f t="shared" si="40"/>
        <v>0</v>
      </c>
      <c r="EC16" s="228">
        <f t="shared" si="41"/>
        <v>0</v>
      </c>
      <c r="ED16" s="193">
        <f t="shared" si="42"/>
        <v>0</v>
      </c>
      <c r="EE16" s="194">
        <f t="shared" si="43"/>
        <v>0</v>
      </c>
      <c r="EG16" s="228">
        <f t="shared" si="44"/>
        <v>0</v>
      </c>
      <c r="EH16" s="193">
        <f t="shared" si="45"/>
        <v>0</v>
      </c>
      <c r="EI16" s="194">
        <f t="shared" si="46"/>
        <v>0</v>
      </c>
      <c r="EJ16" s="194"/>
      <c r="EK16" s="228">
        <f t="shared" si="47"/>
        <v>0</v>
      </c>
      <c r="EL16" s="228">
        <f t="shared" si="48"/>
        <v>0</v>
      </c>
      <c r="EM16" s="228">
        <f t="shared" si="49"/>
        <v>0</v>
      </c>
      <c r="EN16" s="194">
        <f t="shared" si="50"/>
        <v>0</v>
      </c>
      <c r="EP16" s="193"/>
    </row>
    <row r="17" spans="1:146" x14ac:dyDescent="0.2">
      <c r="A17" s="225">
        <f t="shared" si="51"/>
        <v>44203</v>
      </c>
      <c r="B17" s="193">
        <v>0</v>
      </c>
      <c r="C17" s="194">
        <v>8.9999999999999998E-4</v>
      </c>
      <c r="D17" s="193">
        <f t="shared" si="0"/>
        <v>0</v>
      </c>
      <c r="G17" s="193">
        <f t="shared" si="1"/>
        <v>0</v>
      </c>
      <c r="J17" s="193">
        <f t="shared" si="2"/>
        <v>0</v>
      </c>
      <c r="M17" s="193">
        <f t="shared" si="3"/>
        <v>0</v>
      </c>
      <c r="P17" s="193">
        <f t="shared" si="4"/>
        <v>0</v>
      </c>
      <c r="S17" s="193">
        <f t="shared" si="5"/>
        <v>0</v>
      </c>
      <c r="V17" s="193">
        <f t="shared" si="6"/>
        <v>0</v>
      </c>
      <c r="Y17" s="193">
        <f t="shared" si="7"/>
        <v>0</v>
      </c>
      <c r="AB17" s="193">
        <f t="shared" si="8"/>
        <v>0</v>
      </c>
      <c r="AE17" s="193">
        <v>0</v>
      </c>
      <c r="AH17" s="193">
        <v>0</v>
      </c>
      <c r="AI17" s="226"/>
      <c r="AJ17" s="227"/>
      <c r="AK17" s="193">
        <f t="shared" si="9"/>
        <v>0</v>
      </c>
      <c r="AL17" s="226"/>
      <c r="AM17" s="227"/>
      <c r="AN17" s="193">
        <f t="shared" si="10"/>
        <v>0</v>
      </c>
      <c r="AO17" s="226"/>
      <c r="AP17" s="227"/>
      <c r="AQ17" s="193">
        <f t="shared" si="11"/>
        <v>0</v>
      </c>
      <c r="AR17" s="226"/>
      <c r="AS17" s="227"/>
      <c r="AT17" s="193">
        <f t="shared" si="12"/>
        <v>0</v>
      </c>
      <c r="AW17" s="193">
        <f t="shared" si="13"/>
        <v>0</v>
      </c>
      <c r="AZ17" s="193">
        <f t="shared" si="14"/>
        <v>0</v>
      </c>
      <c r="BC17" s="193">
        <f t="shared" si="15"/>
        <v>0</v>
      </c>
      <c r="BF17" s="193">
        <f t="shared" si="16"/>
        <v>0</v>
      </c>
      <c r="BI17" s="193">
        <f t="shared" si="17"/>
        <v>0</v>
      </c>
      <c r="BL17" s="193">
        <f t="shared" si="18"/>
        <v>0</v>
      </c>
      <c r="BO17" s="193">
        <f t="shared" si="19"/>
        <v>0</v>
      </c>
      <c r="BR17" s="193">
        <f t="shared" si="20"/>
        <v>0</v>
      </c>
      <c r="BU17" s="193">
        <f t="shared" si="21"/>
        <v>0</v>
      </c>
      <c r="BX17" s="193">
        <f t="shared" si="22"/>
        <v>0</v>
      </c>
      <c r="CA17" s="193">
        <f t="shared" si="23"/>
        <v>0</v>
      </c>
      <c r="CD17" s="193">
        <f t="shared" si="24"/>
        <v>0</v>
      </c>
      <c r="CG17" s="193">
        <f t="shared" si="25"/>
        <v>0</v>
      </c>
      <c r="CJ17" s="193">
        <f t="shared" si="26"/>
        <v>0</v>
      </c>
      <c r="CM17" s="193">
        <f t="shared" si="27"/>
        <v>0</v>
      </c>
      <c r="CP17" s="193">
        <f t="shared" si="28"/>
        <v>0</v>
      </c>
      <c r="CS17" s="193">
        <f t="shared" si="29"/>
        <v>0</v>
      </c>
      <c r="CV17" s="193">
        <f t="shared" si="30"/>
        <v>0</v>
      </c>
      <c r="CY17" s="193">
        <f t="shared" si="31"/>
        <v>0</v>
      </c>
      <c r="DB17" s="193">
        <f t="shared" si="32"/>
        <v>0</v>
      </c>
      <c r="DE17" s="193">
        <f t="shared" si="33"/>
        <v>0</v>
      </c>
      <c r="DH17" s="193">
        <f t="shared" si="34"/>
        <v>0</v>
      </c>
      <c r="DK17" s="193">
        <f t="shared" si="35"/>
        <v>0</v>
      </c>
      <c r="DN17" s="193">
        <f t="shared" si="36"/>
        <v>0</v>
      </c>
      <c r="DQ17" s="193">
        <f t="shared" si="37"/>
        <v>0</v>
      </c>
      <c r="DT17" s="193">
        <f t="shared" si="38"/>
        <v>0</v>
      </c>
      <c r="DW17" s="193">
        <f t="shared" si="39"/>
        <v>0</v>
      </c>
      <c r="DZ17" s="193"/>
      <c r="EA17" s="193"/>
      <c r="EB17" s="228">
        <f t="shared" si="40"/>
        <v>0</v>
      </c>
      <c r="EC17" s="228">
        <f t="shared" si="41"/>
        <v>0</v>
      </c>
      <c r="ED17" s="193">
        <f t="shared" si="42"/>
        <v>0</v>
      </c>
      <c r="EE17" s="194">
        <f t="shared" si="43"/>
        <v>0</v>
      </c>
      <c r="EG17" s="228">
        <f t="shared" si="44"/>
        <v>0</v>
      </c>
      <c r="EH17" s="193">
        <f t="shared" si="45"/>
        <v>0</v>
      </c>
      <c r="EI17" s="194">
        <f t="shared" si="46"/>
        <v>0</v>
      </c>
      <c r="EJ17" s="194"/>
      <c r="EK17" s="228">
        <f t="shared" si="47"/>
        <v>0</v>
      </c>
      <c r="EL17" s="228">
        <f t="shared" si="48"/>
        <v>0</v>
      </c>
      <c r="EM17" s="228">
        <f t="shared" si="49"/>
        <v>0</v>
      </c>
      <c r="EN17" s="194">
        <f t="shared" si="50"/>
        <v>0</v>
      </c>
      <c r="EP17" s="193"/>
    </row>
    <row r="18" spans="1:146" x14ac:dyDescent="0.2">
      <c r="A18" s="225">
        <f t="shared" si="51"/>
        <v>44204</v>
      </c>
      <c r="B18" s="193">
        <v>0</v>
      </c>
      <c r="C18" s="194">
        <v>8.0000000000000004E-4</v>
      </c>
      <c r="D18" s="193">
        <f t="shared" si="0"/>
        <v>0</v>
      </c>
      <c r="G18" s="193">
        <f t="shared" si="1"/>
        <v>0</v>
      </c>
      <c r="J18" s="193">
        <f t="shared" si="2"/>
        <v>0</v>
      </c>
      <c r="M18" s="193">
        <f t="shared" si="3"/>
        <v>0</v>
      </c>
      <c r="P18" s="193">
        <f t="shared" si="4"/>
        <v>0</v>
      </c>
      <c r="S18" s="193">
        <f t="shared" si="5"/>
        <v>0</v>
      </c>
      <c r="V18" s="193">
        <f t="shared" si="6"/>
        <v>0</v>
      </c>
      <c r="Y18" s="193">
        <f t="shared" si="7"/>
        <v>0</v>
      </c>
      <c r="AB18" s="193">
        <f t="shared" si="8"/>
        <v>0</v>
      </c>
      <c r="AE18" s="193">
        <v>0</v>
      </c>
      <c r="AH18" s="193">
        <v>0</v>
      </c>
      <c r="AI18" s="226"/>
      <c r="AJ18" s="227"/>
      <c r="AK18" s="193">
        <f t="shared" si="9"/>
        <v>0</v>
      </c>
      <c r="AL18" s="226"/>
      <c r="AM18" s="227"/>
      <c r="AN18" s="193">
        <f t="shared" si="10"/>
        <v>0</v>
      </c>
      <c r="AO18" s="226"/>
      <c r="AP18" s="227"/>
      <c r="AQ18" s="193">
        <f t="shared" si="11"/>
        <v>0</v>
      </c>
      <c r="AR18" s="226"/>
      <c r="AS18" s="227"/>
      <c r="AT18" s="193">
        <f t="shared" si="12"/>
        <v>0</v>
      </c>
      <c r="AW18" s="193">
        <f t="shared" si="13"/>
        <v>0</v>
      </c>
      <c r="AZ18" s="193">
        <f t="shared" si="14"/>
        <v>0</v>
      </c>
      <c r="BC18" s="193">
        <f t="shared" si="15"/>
        <v>0</v>
      </c>
      <c r="BF18" s="193">
        <f t="shared" si="16"/>
        <v>0</v>
      </c>
      <c r="BI18" s="193">
        <f t="shared" si="17"/>
        <v>0</v>
      </c>
      <c r="BL18" s="193">
        <f t="shared" si="18"/>
        <v>0</v>
      </c>
      <c r="BO18" s="193">
        <f t="shared" si="19"/>
        <v>0</v>
      </c>
      <c r="BR18" s="193">
        <f t="shared" si="20"/>
        <v>0</v>
      </c>
      <c r="BU18" s="193">
        <f t="shared" si="21"/>
        <v>0</v>
      </c>
      <c r="BX18" s="193">
        <f t="shared" si="22"/>
        <v>0</v>
      </c>
      <c r="CA18" s="193">
        <f t="shared" si="23"/>
        <v>0</v>
      </c>
      <c r="CD18" s="193">
        <f t="shared" si="24"/>
        <v>0</v>
      </c>
      <c r="CG18" s="193">
        <f t="shared" si="25"/>
        <v>0</v>
      </c>
      <c r="CJ18" s="193">
        <f t="shared" si="26"/>
        <v>0</v>
      </c>
      <c r="CM18" s="193">
        <f t="shared" si="27"/>
        <v>0</v>
      </c>
      <c r="CP18" s="193">
        <f t="shared" si="28"/>
        <v>0</v>
      </c>
      <c r="CS18" s="193">
        <f t="shared" si="29"/>
        <v>0</v>
      </c>
      <c r="CV18" s="193">
        <f t="shared" si="30"/>
        <v>0</v>
      </c>
      <c r="CY18" s="193">
        <f t="shared" si="31"/>
        <v>0</v>
      </c>
      <c r="DB18" s="193">
        <f t="shared" si="32"/>
        <v>0</v>
      </c>
      <c r="DE18" s="193">
        <f t="shared" si="33"/>
        <v>0</v>
      </c>
      <c r="DH18" s="193">
        <f t="shared" si="34"/>
        <v>0</v>
      </c>
      <c r="DK18" s="193">
        <f t="shared" si="35"/>
        <v>0</v>
      </c>
      <c r="DN18" s="193">
        <f t="shared" si="36"/>
        <v>0</v>
      </c>
      <c r="DQ18" s="193">
        <f t="shared" si="37"/>
        <v>0</v>
      </c>
      <c r="DT18" s="193">
        <f t="shared" si="38"/>
        <v>0</v>
      </c>
      <c r="DW18" s="193">
        <f t="shared" si="39"/>
        <v>0</v>
      </c>
      <c r="DZ18" s="193"/>
      <c r="EA18" s="193"/>
      <c r="EB18" s="228">
        <f t="shared" si="40"/>
        <v>0</v>
      </c>
      <c r="EC18" s="228">
        <f t="shared" si="41"/>
        <v>0</v>
      </c>
      <c r="ED18" s="193">
        <f t="shared" si="42"/>
        <v>0</v>
      </c>
      <c r="EE18" s="194">
        <f t="shared" si="43"/>
        <v>0</v>
      </c>
      <c r="EG18" s="228">
        <f t="shared" si="44"/>
        <v>0</v>
      </c>
      <c r="EH18" s="193">
        <f t="shared" si="45"/>
        <v>0</v>
      </c>
      <c r="EI18" s="194">
        <f t="shared" si="46"/>
        <v>0</v>
      </c>
      <c r="EJ18" s="194"/>
      <c r="EK18" s="228">
        <f t="shared" si="47"/>
        <v>0</v>
      </c>
      <c r="EL18" s="228">
        <f t="shared" si="48"/>
        <v>0</v>
      </c>
      <c r="EM18" s="228">
        <f t="shared" si="49"/>
        <v>0</v>
      </c>
      <c r="EN18" s="194">
        <f t="shared" si="50"/>
        <v>0</v>
      </c>
      <c r="EP18" s="193"/>
    </row>
    <row r="19" spans="1:146" x14ac:dyDescent="0.2">
      <c r="A19" s="225">
        <f t="shared" si="51"/>
        <v>44205</v>
      </c>
      <c r="B19" s="193">
        <v>0</v>
      </c>
      <c r="C19" s="194">
        <v>8.0000000000000004E-4</v>
      </c>
      <c r="D19" s="193">
        <f t="shared" si="0"/>
        <v>0</v>
      </c>
      <c r="G19" s="193">
        <f t="shared" si="1"/>
        <v>0</v>
      </c>
      <c r="J19" s="193">
        <f t="shared" si="2"/>
        <v>0</v>
      </c>
      <c r="M19" s="193">
        <f t="shared" si="3"/>
        <v>0</v>
      </c>
      <c r="P19" s="193">
        <f t="shared" si="4"/>
        <v>0</v>
      </c>
      <c r="S19" s="193">
        <f t="shared" si="5"/>
        <v>0</v>
      </c>
      <c r="V19" s="193">
        <f t="shared" si="6"/>
        <v>0</v>
      </c>
      <c r="Y19" s="193">
        <f t="shared" si="7"/>
        <v>0</v>
      </c>
      <c r="AB19" s="193">
        <f t="shared" si="8"/>
        <v>0</v>
      </c>
      <c r="AE19" s="193">
        <v>0</v>
      </c>
      <c r="AH19" s="193">
        <v>0</v>
      </c>
      <c r="AI19" s="226"/>
      <c r="AJ19" s="227"/>
      <c r="AK19" s="193">
        <f t="shared" si="9"/>
        <v>0</v>
      </c>
      <c r="AL19" s="226"/>
      <c r="AM19" s="227"/>
      <c r="AN19" s="193">
        <f t="shared" si="10"/>
        <v>0</v>
      </c>
      <c r="AO19" s="226"/>
      <c r="AP19" s="227"/>
      <c r="AQ19" s="193">
        <f t="shared" si="11"/>
        <v>0</v>
      </c>
      <c r="AR19" s="226"/>
      <c r="AS19" s="227"/>
      <c r="AT19" s="193">
        <f t="shared" si="12"/>
        <v>0</v>
      </c>
      <c r="AW19" s="193">
        <f t="shared" si="13"/>
        <v>0</v>
      </c>
      <c r="AZ19" s="193">
        <f t="shared" si="14"/>
        <v>0</v>
      </c>
      <c r="BC19" s="193">
        <f t="shared" si="15"/>
        <v>0</v>
      </c>
      <c r="BF19" s="193">
        <f t="shared" si="16"/>
        <v>0</v>
      </c>
      <c r="BI19" s="193">
        <f t="shared" si="17"/>
        <v>0</v>
      </c>
      <c r="BL19" s="193">
        <f t="shared" si="18"/>
        <v>0</v>
      </c>
      <c r="BO19" s="193">
        <f t="shared" si="19"/>
        <v>0</v>
      </c>
      <c r="BR19" s="193">
        <f t="shared" si="20"/>
        <v>0</v>
      </c>
      <c r="BU19" s="193">
        <f t="shared" si="21"/>
        <v>0</v>
      </c>
      <c r="BX19" s="193">
        <f t="shared" si="22"/>
        <v>0</v>
      </c>
      <c r="CA19" s="193">
        <f t="shared" si="23"/>
        <v>0</v>
      </c>
      <c r="CD19" s="193">
        <f t="shared" si="24"/>
        <v>0</v>
      </c>
      <c r="CG19" s="193">
        <f t="shared" si="25"/>
        <v>0</v>
      </c>
      <c r="CJ19" s="193">
        <f t="shared" si="26"/>
        <v>0</v>
      </c>
      <c r="CM19" s="193">
        <f t="shared" si="27"/>
        <v>0</v>
      </c>
      <c r="CP19" s="193">
        <f t="shared" si="28"/>
        <v>0</v>
      </c>
      <c r="CS19" s="193">
        <f t="shared" si="29"/>
        <v>0</v>
      </c>
      <c r="CV19" s="193">
        <f t="shared" si="30"/>
        <v>0</v>
      </c>
      <c r="CY19" s="193">
        <f t="shared" si="31"/>
        <v>0</v>
      </c>
      <c r="DB19" s="193">
        <f t="shared" si="32"/>
        <v>0</v>
      </c>
      <c r="DE19" s="193">
        <f t="shared" si="33"/>
        <v>0</v>
      </c>
      <c r="DH19" s="193">
        <f t="shared" si="34"/>
        <v>0</v>
      </c>
      <c r="DK19" s="193">
        <f t="shared" si="35"/>
        <v>0</v>
      </c>
      <c r="DN19" s="193">
        <f t="shared" si="36"/>
        <v>0</v>
      </c>
      <c r="DQ19" s="193">
        <f t="shared" si="37"/>
        <v>0</v>
      </c>
      <c r="DT19" s="193">
        <f t="shared" si="38"/>
        <v>0</v>
      </c>
      <c r="DW19" s="193">
        <f t="shared" si="39"/>
        <v>0</v>
      </c>
      <c r="DZ19" s="193"/>
      <c r="EA19" s="193"/>
      <c r="EB19" s="228">
        <f t="shared" si="40"/>
        <v>0</v>
      </c>
      <c r="EC19" s="228">
        <f t="shared" si="41"/>
        <v>0</v>
      </c>
      <c r="ED19" s="193">
        <f t="shared" si="42"/>
        <v>0</v>
      </c>
      <c r="EE19" s="194">
        <f t="shared" si="43"/>
        <v>0</v>
      </c>
      <c r="EG19" s="228">
        <f t="shared" si="44"/>
        <v>0</v>
      </c>
      <c r="EH19" s="193">
        <f t="shared" si="45"/>
        <v>0</v>
      </c>
      <c r="EI19" s="194">
        <f t="shared" si="46"/>
        <v>0</v>
      </c>
      <c r="EJ19" s="194"/>
      <c r="EK19" s="228">
        <f t="shared" si="47"/>
        <v>0</v>
      </c>
      <c r="EL19" s="228">
        <f t="shared" si="48"/>
        <v>0</v>
      </c>
      <c r="EM19" s="228">
        <f t="shared" si="49"/>
        <v>0</v>
      </c>
      <c r="EN19" s="194">
        <f t="shared" si="50"/>
        <v>0</v>
      </c>
      <c r="EP19" s="193"/>
    </row>
    <row r="20" spans="1:146" x14ac:dyDescent="0.2">
      <c r="A20" s="225">
        <f t="shared" si="51"/>
        <v>44206</v>
      </c>
      <c r="B20" s="193">
        <v>0</v>
      </c>
      <c r="C20" s="194">
        <v>8.0000000000000004E-4</v>
      </c>
      <c r="D20" s="193">
        <f t="shared" si="0"/>
        <v>0</v>
      </c>
      <c r="G20" s="193">
        <f t="shared" si="1"/>
        <v>0</v>
      </c>
      <c r="J20" s="193">
        <f t="shared" si="2"/>
        <v>0</v>
      </c>
      <c r="M20" s="193">
        <f t="shared" si="3"/>
        <v>0</v>
      </c>
      <c r="P20" s="193">
        <f t="shared" si="4"/>
        <v>0</v>
      </c>
      <c r="S20" s="193">
        <f t="shared" si="5"/>
        <v>0</v>
      </c>
      <c r="V20" s="193">
        <f t="shared" si="6"/>
        <v>0</v>
      </c>
      <c r="Y20" s="193">
        <f t="shared" si="7"/>
        <v>0</v>
      </c>
      <c r="AB20" s="193">
        <f t="shared" si="8"/>
        <v>0</v>
      </c>
      <c r="AE20" s="193">
        <v>0</v>
      </c>
      <c r="AH20" s="193">
        <v>0</v>
      </c>
      <c r="AI20" s="226"/>
      <c r="AJ20" s="227"/>
      <c r="AK20" s="193">
        <f t="shared" si="9"/>
        <v>0</v>
      </c>
      <c r="AL20" s="226"/>
      <c r="AM20" s="227"/>
      <c r="AN20" s="193">
        <f t="shared" si="10"/>
        <v>0</v>
      </c>
      <c r="AO20" s="226"/>
      <c r="AP20" s="227"/>
      <c r="AQ20" s="193">
        <f t="shared" si="11"/>
        <v>0</v>
      </c>
      <c r="AR20" s="226"/>
      <c r="AS20" s="227"/>
      <c r="AT20" s="193">
        <f t="shared" si="12"/>
        <v>0</v>
      </c>
      <c r="AW20" s="193">
        <f t="shared" si="13"/>
        <v>0</v>
      </c>
      <c r="AZ20" s="193">
        <f t="shared" si="14"/>
        <v>0</v>
      </c>
      <c r="BC20" s="193">
        <f t="shared" si="15"/>
        <v>0</v>
      </c>
      <c r="BF20" s="193">
        <f t="shared" si="16"/>
        <v>0</v>
      </c>
      <c r="BI20" s="193">
        <f t="shared" si="17"/>
        <v>0</v>
      </c>
      <c r="BL20" s="193">
        <f t="shared" si="18"/>
        <v>0</v>
      </c>
      <c r="BO20" s="193">
        <f t="shared" si="19"/>
        <v>0</v>
      </c>
      <c r="BR20" s="193">
        <f t="shared" si="20"/>
        <v>0</v>
      </c>
      <c r="BU20" s="193">
        <f t="shared" si="21"/>
        <v>0</v>
      </c>
      <c r="BX20" s="193">
        <f t="shared" si="22"/>
        <v>0</v>
      </c>
      <c r="CA20" s="193">
        <f t="shared" si="23"/>
        <v>0</v>
      </c>
      <c r="CD20" s="193">
        <f t="shared" si="24"/>
        <v>0</v>
      </c>
      <c r="CG20" s="193">
        <f t="shared" si="25"/>
        <v>0</v>
      </c>
      <c r="CJ20" s="193">
        <f t="shared" si="26"/>
        <v>0</v>
      </c>
      <c r="CM20" s="193">
        <f t="shared" si="27"/>
        <v>0</v>
      </c>
      <c r="CP20" s="193">
        <f t="shared" si="28"/>
        <v>0</v>
      </c>
      <c r="CS20" s="193">
        <f t="shared" si="29"/>
        <v>0</v>
      </c>
      <c r="CV20" s="193">
        <f t="shared" si="30"/>
        <v>0</v>
      </c>
      <c r="CY20" s="193">
        <f t="shared" si="31"/>
        <v>0</v>
      </c>
      <c r="DB20" s="193">
        <f t="shared" si="32"/>
        <v>0</v>
      </c>
      <c r="DE20" s="193">
        <f t="shared" si="33"/>
        <v>0</v>
      </c>
      <c r="DH20" s="193">
        <f t="shared" si="34"/>
        <v>0</v>
      </c>
      <c r="DK20" s="193">
        <f t="shared" si="35"/>
        <v>0</v>
      </c>
      <c r="DN20" s="193">
        <f t="shared" si="36"/>
        <v>0</v>
      </c>
      <c r="DQ20" s="193">
        <f t="shared" si="37"/>
        <v>0</v>
      </c>
      <c r="DT20" s="193">
        <f t="shared" si="38"/>
        <v>0</v>
      </c>
      <c r="DW20" s="193">
        <f t="shared" si="39"/>
        <v>0</v>
      </c>
      <c r="DZ20" s="193"/>
      <c r="EA20" s="193"/>
      <c r="EB20" s="228">
        <f t="shared" si="40"/>
        <v>0</v>
      </c>
      <c r="EC20" s="228">
        <f t="shared" si="41"/>
        <v>0</v>
      </c>
      <c r="ED20" s="193">
        <f t="shared" si="42"/>
        <v>0</v>
      </c>
      <c r="EE20" s="194">
        <f t="shared" si="43"/>
        <v>0</v>
      </c>
      <c r="EG20" s="228">
        <f t="shared" si="44"/>
        <v>0</v>
      </c>
      <c r="EH20" s="193">
        <f t="shared" si="45"/>
        <v>0</v>
      </c>
      <c r="EI20" s="194">
        <f t="shared" si="46"/>
        <v>0</v>
      </c>
      <c r="EJ20" s="194"/>
      <c r="EK20" s="228">
        <f t="shared" si="47"/>
        <v>0</v>
      </c>
      <c r="EL20" s="228">
        <f t="shared" si="48"/>
        <v>0</v>
      </c>
      <c r="EM20" s="228">
        <f t="shared" si="49"/>
        <v>0</v>
      </c>
      <c r="EN20" s="194">
        <f t="shared" si="50"/>
        <v>0</v>
      </c>
      <c r="EP20" s="193"/>
    </row>
    <row r="21" spans="1:146" x14ac:dyDescent="0.2">
      <c r="A21" s="225">
        <f t="shared" si="51"/>
        <v>44207</v>
      </c>
      <c r="B21" s="193">
        <v>0</v>
      </c>
      <c r="C21" s="194">
        <v>1E-3</v>
      </c>
      <c r="D21" s="193">
        <f t="shared" si="0"/>
        <v>0</v>
      </c>
      <c r="G21" s="193">
        <f t="shared" si="1"/>
        <v>0</v>
      </c>
      <c r="J21" s="193">
        <f t="shared" si="2"/>
        <v>0</v>
      </c>
      <c r="M21" s="193">
        <f t="shared" si="3"/>
        <v>0</v>
      </c>
      <c r="P21" s="193">
        <f t="shared" si="4"/>
        <v>0</v>
      </c>
      <c r="S21" s="193">
        <f t="shared" si="5"/>
        <v>0</v>
      </c>
      <c r="V21" s="193">
        <f t="shared" si="6"/>
        <v>0</v>
      </c>
      <c r="Y21" s="193">
        <f t="shared" si="7"/>
        <v>0</v>
      </c>
      <c r="AB21" s="193">
        <f t="shared" si="8"/>
        <v>0</v>
      </c>
      <c r="AE21" s="193">
        <v>0</v>
      </c>
      <c r="AH21" s="193">
        <v>0</v>
      </c>
      <c r="AI21" s="226"/>
      <c r="AJ21" s="227"/>
      <c r="AK21" s="193">
        <f t="shared" si="9"/>
        <v>0</v>
      </c>
      <c r="AL21" s="226"/>
      <c r="AM21" s="227"/>
      <c r="AN21" s="193">
        <f t="shared" si="10"/>
        <v>0</v>
      </c>
      <c r="AO21" s="226"/>
      <c r="AP21" s="227"/>
      <c r="AQ21" s="193">
        <f t="shared" si="11"/>
        <v>0</v>
      </c>
      <c r="AR21" s="226"/>
      <c r="AS21" s="227"/>
      <c r="AT21" s="193">
        <f t="shared" si="12"/>
        <v>0</v>
      </c>
      <c r="AW21" s="193">
        <f t="shared" si="13"/>
        <v>0</v>
      </c>
      <c r="AZ21" s="193">
        <f t="shared" si="14"/>
        <v>0</v>
      </c>
      <c r="BC21" s="193">
        <f t="shared" si="15"/>
        <v>0</v>
      </c>
      <c r="BF21" s="193">
        <f t="shared" si="16"/>
        <v>0</v>
      </c>
      <c r="BI21" s="193">
        <f t="shared" si="17"/>
        <v>0</v>
      </c>
      <c r="BL21" s="193">
        <f t="shared" si="18"/>
        <v>0</v>
      </c>
      <c r="BO21" s="193">
        <f t="shared" si="19"/>
        <v>0</v>
      </c>
      <c r="BR21" s="193">
        <f t="shared" si="20"/>
        <v>0</v>
      </c>
      <c r="BU21" s="193">
        <f t="shared" si="21"/>
        <v>0</v>
      </c>
      <c r="BX21" s="193">
        <f t="shared" si="22"/>
        <v>0</v>
      </c>
      <c r="CA21" s="193">
        <f t="shared" si="23"/>
        <v>0</v>
      </c>
      <c r="CD21" s="193">
        <f t="shared" si="24"/>
        <v>0</v>
      </c>
      <c r="CG21" s="193">
        <f t="shared" si="25"/>
        <v>0</v>
      </c>
      <c r="CJ21" s="193">
        <f t="shared" si="26"/>
        <v>0</v>
      </c>
      <c r="CM21" s="193">
        <f t="shared" si="27"/>
        <v>0</v>
      </c>
      <c r="CP21" s="193">
        <f t="shared" si="28"/>
        <v>0</v>
      </c>
      <c r="CS21" s="193">
        <f t="shared" si="29"/>
        <v>0</v>
      </c>
      <c r="CV21" s="193">
        <f t="shared" si="30"/>
        <v>0</v>
      </c>
      <c r="CY21" s="193">
        <f t="shared" si="31"/>
        <v>0</v>
      </c>
      <c r="DB21" s="193">
        <f t="shared" si="32"/>
        <v>0</v>
      </c>
      <c r="DE21" s="193">
        <f t="shared" si="33"/>
        <v>0</v>
      </c>
      <c r="DH21" s="193">
        <f t="shared" si="34"/>
        <v>0</v>
      </c>
      <c r="DK21" s="193">
        <f t="shared" si="35"/>
        <v>0</v>
      </c>
      <c r="DN21" s="193">
        <f t="shared" si="36"/>
        <v>0</v>
      </c>
      <c r="DQ21" s="193">
        <f t="shared" si="37"/>
        <v>0</v>
      </c>
      <c r="DT21" s="193">
        <f t="shared" si="38"/>
        <v>0</v>
      </c>
      <c r="DW21" s="193">
        <f t="shared" si="39"/>
        <v>0</v>
      </c>
      <c r="DZ21" s="193"/>
      <c r="EA21" s="193"/>
      <c r="EB21" s="228">
        <f t="shared" si="40"/>
        <v>0</v>
      </c>
      <c r="EC21" s="228">
        <f t="shared" si="41"/>
        <v>0</v>
      </c>
      <c r="ED21" s="193">
        <f t="shared" si="42"/>
        <v>0</v>
      </c>
      <c r="EE21" s="194">
        <f t="shared" si="43"/>
        <v>0</v>
      </c>
      <c r="EG21" s="228">
        <f t="shared" si="44"/>
        <v>0</v>
      </c>
      <c r="EH21" s="193">
        <f t="shared" si="45"/>
        <v>0</v>
      </c>
      <c r="EI21" s="194">
        <f t="shared" si="46"/>
        <v>0</v>
      </c>
      <c r="EJ21" s="194"/>
      <c r="EK21" s="228">
        <f t="shared" si="47"/>
        <v>0</v>
      </c>
      <c r="EL21" s="228">
        <f t="shared" si="48"/>
        <v>0</v>
      </c>
      <c r="EM21" s="228">
        <f t="shared" si="49"/>
        <v>0</v>
      </c>
      <c r="EN21" s="194">
        <f t="shared" si="50"/>
        <v>0</v>
      </c>
      <c r="EP21" s="193"/>
    </row>
    <row r="22" spans="1:146" x14ac:dyDescent="0.2">
      <c r="A22" s="225">
        <f t="shared" si="51"/>
        <v>44208</v>
      </c>
      <c r="B22" s="193">
        <v>0</v>
      </c>
      <c r="C22" s="194">
        <v>8.0000000000000004E-4</v>
      </c>
      <c r="D22" s="193">
        <f t="shared" si="0"/>
        <v>0</v>
      </c>
      <c r="G22" s="193">
        <f t="shared" si="1"/>
        <v>0</v>
      </c>
      <c r="J22" s="193">
        <f t="shared" si="2"/>
        <v>0</v>
      </c>
      <c r="M22" s="193">
        <f t="shared" si="3"/>
        <v>0</v>
      </c>
      <c r="P22" s="193">
        <f t="shared" si="4"/>
        <v>0</v>
      </c>
      <c r="S22" s="193">
        <f t="shared" si="5"/>
        <v>0</v>
      </c>
      <c r="V22" s="193">
        <f t="shared" si="6"/>
        <v>0</v>
      </c>
      <c r="Y22" s="193">
        <f t="shared" si="7"/>
        <v>0</v>
      </c>
      <c r="AB22" s="193">
        <f t="shared" si="8"/>
        <v>0</v>
      </c>
      <c r="AE22" s="193">
        <v>0</v>
      </c>
      <c r="AH22" s="193">
        <v>0</v>
      </c>
      <c r="AI22" s="226"/>
      <c r="AJ22" s="227"/>
      <c r="AK22" s="193">
        <f t="shared" si="9"/>
        <v>0</v>
      </c>
      <c r="AL22" s="226"/>
      <c r="AM22" s="227"/>
      <c r="AN22" s="193">
        <f t="shared" si="10"/>
        <v>0</v>
      </c>
      <c r="AO22" s="226"/>
      <c r="AP22" s="227"/>
      <c r="AQ22" s="193">
        <f t="shared" si="11"/>
        <v>0</v>
      </c>
      <c r="AR22" s="226"/>
      <c r="AS22" s="227"/>
      <c r="AT22" s="193">
        <f t="shared" si="12"/>
        <v>0</v>
      </c>
      <c r="AW22" s="193">
        <f t="shared" si="13"/>
        <v>0</v>
      </c>
      <c r="AZ22" s="193">
        <f t="shared" si="14"/>
        <v>0</v>
      </c>
      <c r="BC22" s="193">
        <f t="shared" si="15"/>
        <v>0</v>
      </c>
      <c r="BF22" s="193">
        <f t="shared" si="16"/>
        <v>0</v>
      </c>
      <c r="BI22" s="193">
        <f t="shared" si="17"/>
        <v>0</v>
      </c>
      <c r="BL22" s="193">
        <f t="shared" si="18"/>
        <v>0</v>
      </c>
      <c r="BO22" s="193">
        <f t="shared" si="19"/>
        <v>0</v>
      </c>
      <c r="BR22" s="193">
        <f t="shared" si="20"/>
        <v>0</v>
      </c>
      <c r="BU22" s="193">
        <f t="shared" si="21"/>
        <v>0</v>
      </c>
      <c r="BX22" s="193">
        <f t="shared" si="22"/>
        <v>0</v>
      </c>
      <c r="CA22" s="193">
        <f t="shared" si="23"/>
        <v>0</v>
      </c>
      <c r="CD22" s="193">
        <f t="shared" si="24"/>
        <v>0</v>
      </c>
      <c r="CG22" s="193">
        <f t="shared" si="25"/>
        <v>0</v>
      </c>
      <c r="CJ22" s="193">
        <f t="shared" si="26"/>
        <v>0</v>
      </c>
      <c r="CM22" s="193">
        <f t="shared" si="27"/>
        <v>0</v>
      </c>
      <c r="CP22" s="193">
        <f t="shared" si="28"/>
        <v>0</v>
      </c>
      <c r="CS22" s="193">
        <f t="shared" si="29"/>
        <v>0</v>
      </c>
      <c r="CV22" s="193">
        <f t="shared" si="30"/>
        <v>0</v>
      </c>
      <c r="CY22" s="193">
        <f t="shared" si="31"/>
        <v>0</v>
      </c>
      <c r="DB22" s="193">
        <f t="shared" si="32"/>
        <v>0</v>
      </c>
      <c r="DE22" s="193">
        <f t="shared" si="33"/>
        <v>0</v>
      </c>
      <c r="DH22" s="193">
        <f t="shared" si="34"/>
        <v>0</v>
      </c>
      <c r="DK22" s="193">
        <f t="shared" si="35"/>
        <v>0</v>
      </c>
      <c r="DN22" s="193">
        <f t="shared" si="36"/>
        <v>0</v>
      </c>
      <c r="DQ22" s="193">
        <f t="shared" si="37"/>
        <v>0</v>
      </c>
      <c r="DT22" s="193">
        <f t="shared" si="38"/>
        <v>0</v>
      </c>
      <c r="DW22" s="193">
        <f t="shared" si="39"/>
        <v>0</v>
      </c>
      <c r="DZ22" s="193"/>
      <c r="EA22" s="193"/>
      <c r="EB22" s="228">
        <f t="shared" si="40"/>
        <v>0</v>
      </c>
      <c r="EC22" s="228">
        <f t="shared" si="41"/>
        <v>0</v>
      </c>
      <c r="ED22" s="193">
        <f t="shared" si="42"/>
        <v>0</v>
      </c>
      <c r="EE22" s="194">
        <f t="shared" si="43"/>
        <v>0</v>
      </c>
      <c r="EG22" s="228">
        <f t="shared" si="44"/>
        <v>0</v>
      </c>
      <c r="EH22" s="193">
        <f t="shared" si="45"/>
        <v>0</v>
      </c>
      <c r="EI22" s="194">
        <f t="shared" si="46"/>
        <v>0</v>
      </c>
      <c r="EJ22" s="194"/>
      <c r="EK22" s="228">
        <f t="shared" si="47"/>
        <v>0</v>
      </c>
      <c r="EL22" s="228">
        <f t="shared" si="48"/>
        <v>0</v>
      </c>
      <c r="EM22" s="228">
        <f t="shared" si="49"/>
        <v>0</v>
      </c>
      <c r="EN22" s="194">
        <f t="shared" si="50"/>
        <v>0</v>
      </c>
      <c r="EP22" s="193"/>
    </row>
    <row r="23" spans="1:146" x14ac:dyDescent="0.2">
      <c r="A23" s="225">
        <f t="shared" si="51"/>
        <v>44209</v>
      </c>
      <c r="B23" s="193">
        <v>0</v>
      </c>
      <c r="C23" s="194">
        <v>8.9999999999999998E-4</v>
      </c>
      <c r="D23" s="193">
        <f t="shared" si="0"/>
        <v>0</v>
      </c>
      <c r="G23" s="193">
        <f t="shared" si="1"/>
        <v>0</v>
      </c>
      <c r="J23" s="193">
        <f t="shared" si="2"/>
        <v>0</v>
      </c>
      <c r="M23" s="193">
        <f t="shared" si="3"/>
        <v>0</v>
      </c>
      <c r="P23" s="193">
        <f t="shared" si="4"/>
        <v>0</v>
      </c>
      <c r="S23" s="193">
        <f t="shared" si="5"/>
        <v>0</v>
      </c>
      <c r="V23" s="193">
        <f t="shared" si="6"/>
        <v>0</v>
      </c>
      <c r="Y23" s="193">
        <f t="shared" si="7"/>
        <v>0</v>
      </c>
      <c r="AB23" s="193">
        <f t="shared" si="8"/>
        <v>0</v>
      </c>
      <c r="AE23" s="193">
        <v>0</v>
      </c>
      <c r="AH23" s="193">
        <v>0</v>
      </c>
      <c r="AI23" s="226"/>
      <c r="AJ23" s="227"/>
      <c r="AK23" s="193">
        <f t="shared" si="9"/>
        <v>0</v>
      </c>
      <c r="AL23" s="226"/>
      <c r="AM23" s="227"/>
      <c r="AN23" s="193">
        <f t="shared" si="10"/>
        <v>0</v>
      </c>
      <c r="AO23" s="226"/>
      <c r="AP23" s="227"/>
      <c r="AQ23" s="193">
        <f t="shared" si="11"/>
        <v>0</v>
      </c>
      <c r="AR23" s="226"/>
      <c r="AS23" s="227"/>
      <c r="AT23" s="193">
        <f t="shared" si="12"/>
        <v>0</v>
      </c>
      <c r="AW23" s="193">
        <f t="shared" si="13"/>
        <v>0</v>
      </c>
      <c r="AZ23" s="193">
        <f t="shared" si="14"/>
        <v>0</v>
      </c>
      <c r="BC23" s="193">
        <f t="shared" si="15"/>
        <v>0</v>
      </c>
      <c r="BF23" s="193">
        <f t="shared" si="16"/>
        <v>0</v>
      </c>
      <c r="BI23" s="193">
        <f t="shared" si="17"/>
        <v>0</v>
      </c>
      <c r="BL23" s="193">
        <f t="shared" si="18"/>
        <v>0</v>
      </c>
      <c r="BO23" s="193">
        <f t="shared" si="19"/>
        <v>0</v>
      </c>
      <c r="BR23" s="193">
        <f t="shared" si="20"/>
        <v>0</v>
      </c>
      <c r="BU23" s="193">
        <f t="shared" si="21"/>
        <v>0</v>
      </c>
      <c r="BX23" s="193">
        <f t="shared" si="22"/>
        <v>0</v>
      </c>
      <c r="CA23" s="193">
        <f t="shared" si="23"/>
        <v>0</v>
      </c>
      <c r="CD23" s="193">
        <f t="shared" si="24"/>
        <v>0</v>
      </c>
      <c r="CG23" s="193">
        <f t="shared" si="25"/>
        <v>0</v>
      </c>
      <c r="CJ23" s="193">
        <f t="shared" si="26"/>
        <v>0</v>
      </c>
      <c r="CM23" s="193">
        <f t="shared" si="27"/>
        <v>0</v>
      </c>
      <c r="CP23" s="193">
        <f t="shared" si="28"/>
        <v>0</v>
      </c>
      <c r="CS23" s="193">
        <f t="shared" si="29"/>
        <v>0</v>
      </c>
      <c r="CV23" s="193">
        <f t="shared" si="30"/>
        <v>0</v>
      </c>
      <c r="CY23" s="193">
        <f t="shared" si="31"/>
        <v>0</v>
      </c>
      <c r="DB23" s="193">
        <f t="shared" si="32"/>
        <v>0</v>
      </c>
      <c r="DE23" s="193">
        <f t="shared" si="33"/>
        <v>0</v>
      </c>
      <c r="DH23" s="193">
        <f t="shared" si="34"/>
        <v>0</v>
      </c>
      <c r="DK23" s="193">
        <f t="shared" si="35"/>
        <v>0</v>
      </c>
      <c r="DN23" s="193">
        <f t="shared" si="36"/>
        <v>0</v>
      </c>
      <c r="DQ23" s="193">
        <f t="shared" si="37"/>
        <v>0</v>
      </c>
      <c r="DT23" s="193">
        <f t="shared" si="38"/>
        <v>0</v>
      </c>
      <c r="DW23" s="193">
        <f t="shared" si="39"/>
        <v>0</v>
      </c>
      <c r="DZ23" s="193"/>
      <c r="EA23" s="193"/>
      <c r="EB23" s="228">
        <f t="shared" si="40"/>
        <v>0</v>
      </c>
      <c r="EC23" s="228">
        <f t="shared" si="41"/>
        <v>0</v>
      </c>
      <c r="ED23" s="193">
        <f t="shared" si="42"/>
        <v>0</v>
      </c>
      <c r="EE23" s="194">
        <f t="shared" si="43"/>
        <v>0</v>
      </c>
      <c r="EG23" s="228">
        <f t="shared" si="44"/>
        <v>0</v>
      </c>
      <c r="EH23" s="193">
        <f t="shared" si="45"/>
        <v>0</v>
      </c>
      <c r="EI23" s="194">
        <f t="shared" si="46"/>
        <v>0</v>
      </c>
      <c r="EJ23" s="194"/>
      <c r="EK23" s="228">
        <f t="shared" si="47"/>
        <v>0</v>
      </c>
      <c r="EL23" s="228">
        <f t="shared" si="48"/>
        <v>0</v>
      </c>
      <c r="EM23" s="228">
        <f t="shared" si="49"/>
        <v>0</v>
      </c>
      <c r="EN23" s="194">
        <f t="shared" si="50"/>
        <v>0</v>
      </c>
      <c r="EP23" s="193"/>
    </row>
    <row r="24" spans="1:146" x14ac:dyDescent="0.2">
      <c r="A24" s="225">
        <f t="shared" si="51"/>
        <v>44210</v>
      </c>
      <c r="B24" s="193">
        <v>0</v>
      </c>
      <c r="C24" s="194">
        <v>2.8626899999999998E-3</v>
      </c>
      <c r="D24" s="193">
        <f t="shared" si="0"/>
        <v>0</v>
      </c>
      <c r="G24" s="193">
        <f t="shared" si="1"/>
        <v>0</v>
      </c>
      <c r="J24" s="193">
        <f t="shared" si="2"/>
        <v>0</v>
      </c>
      <c r="M24" s="193">
        <f t="shared" si="3"/>
        <v>0</v>
      </c>
      <c r="P24" s="193">
        <f t="shared" si="4"/>
        <v>0</v>
      </c>
      <c r="S24" s="193">
        <f t="shared" si="5"/>
        <v>0</v>
      </c>
      <c r="V24" s="193">
        <f t="shared" si="6"/>
        <v>0</v>
      </c>
      <c r="Y24" s="193">
        <f t="shared" si="7"/>
        <v>0</v>
      </c>
      <c r="AB24" s="193">
        <f t="shared" si="8"/>
        <v>0</v>
      </c>
      <c r="AE24" s="193">
        <v>0</v>
      </c>
      <c r="AH24" s="193">
        <v>0</v>
      </c>
      <c r="AI24" s="226">
        <v>32875000</v>
      </c>
      <c r="AJ24" s="227">
        <v>2E-3</v>
      </c>
      <c r="AK24" s="193">
        <f t="shared" si="9"/>
        <v>182.63888888888889</v>
      </c>
      <c r="AL24" s="226"/>
      <c r="AM24" s="227"/>
      <c r="AN24" s="193">
        <f t="shared" si="10"/>
        <v>0</v>
      </c>
      <c r="AO24" s="226"/>
      <c r="AP24" s="227"/>
      <c r="AQ24" s="193">
        <f t="shared" si="11"/>
        <v>0</v>
      </c>
      <c r="AR24" s="226"/>
      <c r="AS24" s="227"/>
      <c r="AT24" s="193">
        <f t="shared" si="12"/>
        <v>0</v>
      </c>
      <c r="AW24" s="193">
        <f t="shared" si="13"/>
        <v>0</v>
      </c>
      <c r="AZ24" s="193">
        <f t="shared" si="14"/>
        <v>0</v>
      </c>
      <c r="BC24" s="193">
        <f t="shared" si="15"/>
        <v>0</v>
      </c>
      <c r="BF24" s="193">
        <f t="shared" si="16"/>
        <v>0</v>
      </c>
      <c r="BI24" s="193">
        <f t="shared" si="17"/>
        <v>0</v>
      </c>
      <c r="BL24" s="193">
        <f t="shared" si="18"/>
        <v>0</v>
      </c>
      <c r="BO24" s="193">
        <f t="shared" si="19"/>
        <v>0</v>
      </c>
      <c r="BR24" s="193">
        <f t="shared" si="20"/>
        <v>0</v>
      </c>
      <c r="BU24" s="193">
        <f t="shared" si="21"/>
        <v>0</v>
      </c>
      <c r="BX24" s="193">
        <f t="shared" si="22"/>
        <v>0</v>
      </c>
      <c r="CA24" s="193">
        <f t="shared" si="23"/>
        <v>0</v>
      </c>
      <c r="CD24" s="193">
        <f t="shared" si="24"/>
        <v>0</v>
      </c>
      <c r="CG24" s="193">
        <f t="shared" si="25"/>
        <v>0</v>
      </c>
      <c r="CJ24" s="193">
        <f t="shared" si="26"/>
        <v>0</v>
      </c>
      <c r="CM24" s="193">
        <f t="shared" si="27"/>
        <v>0</v>
      </c>
      <c r="CP24" s="193">
        <f t="shared" si="28"/>
        <v>0</v>
      </c>
      <c r="CS24" s="193">
        <f t="shared" si="29"/>
        <v>0</v>
      </c>
      <c r="CV24" s="193">
        <f t="shared" si="30"/>
        <v>0</v>
      </c>
      <c r="CY24" s="193">
        <f t="shared" si="31"/>
        <v>0</v>
      </c>
      <c r="DB24" s="193">
        <f t="shared" si="32"/>
        <v>0</v>
      </c>
      <c r="DE24" s="193">
        <f t="shared" si="33"/>
        <v>0</v>
      </c>
      <c r="DH24" s="193">
        <f t="shared" si="34"/>
        <v>0</v>
      </c>
      <c r="DK24" s="193">
        <f t="shared" si="35"/>
        <v>0</v>
      </c>
      <c r="DN24" s="193">
        <f t="shared" si="36"/>
        <v>0</v>
      </c>
      <c r="DQ24" s="193">
        <f t="shared" si="37"/>
        <v>0</v>
      </c>
      <c r="DT24" s="193">
        <f t="shared" si="38"/>
        <v>0</v>
      </c>
      <c r="DW24" s="193">
        <f t="shared" si="39"/>
        <v>0</v>
      </c>
      <c r="DZ24" s="193"/>
      <c r="EA24" s="193"/>
      <c r="EB24" s="228">
        <f t="shared" si="40"/>
        <v>32875000</v>
      </c>
      <c r="EC24" s="228">
        <f t="shared" si="41"/>
        <v>0</v>
      </c>
      <c r="ED24" s="193">
        <f t="shared" si="42"/>
        <v>182.63888888888889</v>
      </c>
      <c r="EE24" s="194">
        <f t="shared" si="43"/>
        <v>2E-3</v>
      </c>
      <c r="EG24" s="228">
        <f t="shared" si="44"/>
        <v>0</v>
      </c>
      <c r="EH24" s="193">
        <f t="shared" si="45"/>
        <v>0</v>
      </c>
      <c r="EI24" s="194">
        <f t="shared" si="46"/>
        <v>0</v>
      </c>
      <c r="EJ24" s="194"/>
      <c r="EK24" s="228">
        <f t="shared" si="47"/>
        <v>32875000</v>
      </c>
      <c r="EL24" s="228">
        <f t="shared" si="48"/>
        <v>0</v>
      </c>
      <c r="EM24" s="228">
        <f t="shared" si="49"/>
        <v>182.63888888888889</v>
      </c>
      <c r="EN24" s="194">
        <f t="shared" si="50"/>
        <v>2E-3</v>
      </c>
      <c r="EP24" s="193"/>
    </row>
    <row r="25" spans="1:146" x14ac:dyDescent="0.2">
      <c r="A25" s="225">
        <f t="shared" si="51"/>
        <v>44211</v>
      </c>
      <c r="B25" s="193">
        <v>0</v>
      </c>
      <c r="C25" s="194">
        <v>2.79452E-3</v>
      </c>
      <c r="D25" s="193">
        <f t="shared" si="0"/>
        <v>0</v>
      </c>
      <c r="G25" s="193">
        <f t="shared" si="1"/>
        <v>0</v>
      </c>
      <c r="J25" s="193">
        <f t="shared" si="2"/>
        <v>0</v>
      </c>
      <c r="M25" s="193">
        <f t="shared" si="3"/>
        <v>0</v>
      </c>
      <c r="P25" s="193">
        <f t="shared" si="4"/>
        <v>0</v>
      </c>
      <c r="S25" s="193">
        <f t="shared" si="5"/>
        <v>0</v>
      </c>
      <c r="V25" s="193">
        <f t="shared" si="6"/>
        <v>0</v>
      </c>
      <c r="Y25" s="193">
        <f t="shared" si="7"/>
        <v>0</v>
      </c>
      <c r="AB25" s="193">
        <f t="shared" si="8"/>
        <v>0</v>
      </c>
      <c r="AE25" s="193">
        <v>0</v>
      </c>
      <c r="AH25" s="193">
        <v>0</v>
      </c>
      <c r="AI25" s="226">
        <f>56450000</f>
        <v>56450000</v>
      </c>
      <c r="AJ25" s="227">
        <v>2E-3</v>
      </c>
      <c r="AK25" s="193">
        <f t="shared" si="9"/>
        <v>313.61111111111109</v>
      </c>
      <c r="AL25" s="226"/>
      <c r="AM25" s="227"/>
      <c r="AN25" s="193">
        <f t="shared" si="10"/>
        <v>0</v>
      </c>
      <c r="AO25" s="226"/>
      <c r="AP25" s="227"/>
      <c r="AQ25" s="193">
        <f t="shared" si="11"/>
        <v>0</v>
      </c>
      <c r="AR25" s="226"/>
      <c r="AS25" s="227"/>
      <c r="AT25" s="193">
        <f t="shared" si="12"/>
        <v>0</v>
      </c>
      <c r="AW25" s="193">
        <f t="shared" si="13"/>
        <v>0</v>
      </c>
      <c r="AZ25" s="193">
        <f t="shared" si="14"/>
        <v>0</v>
      </c>
      <c r="BC25" s="193">
        <f t="shared" si="15"/>
        <v>0</v>
      </c>
      <c r="BF25" s="193">
        <f t="shared" si="16"/>
        <v>0</v>
      </c>
      <c r="BI25" s="193">
        <f t="shared" si="17"/>
        <v>0</v>
      </c>
      <c r="BL25" s="193">
        <f t="shared" si="18"/>
        <v>0</v>
      </c>
      <c r="BO25" s="193">
        <f t="shared" si="19"/>
        <v>0</v>
      </c>
      <c r="BR25" s="193">
        <f t="shared" si="20"/>
        <v>0</v>
      </c>
      <c r="BU25" s="193">
        <f t="shared" si="21"/>
        <v>0</v>
      </c>
      <c r="BX25" s="193">
        <f t="shared" si="22"/>
        <v>0</v>
      </c>
      <c r="CA25" s="193">
        <f t="shared" si="23"/>
        <v>0</v>
      </c>
      <c r="CD25" s="193">
        <f t="shared" si="24"/>
        <v>0</v>
      </c>
      <c r="CG25" s="193">
        <f t="shared" si="25"/>
        <v>0</v>
      </c>
      <c r="CJ25" s="193">
        <f t="shared" si="26"/>
        <v>0</v>
      </c>
      <c r="CM25" s="193">
        <f t="shared" si="27"/>
        <v>0</v>
      </c>
      <c r="CP25" s="193">
        <f t="shared" si="28"/>
        <v>0</v>
      </c>
      <c r="CS25" s="193">
        <f t="shared" si="29"/>
        <v>0</v>
      </c>
      <c r="CV25" s="193">
        <f t="shared" si="30"/>
        <v>0</v>
      </c>
      <c r="CY25" s="193">
        <f t="shared" si="31"/>
        <v>0</v>
      </c>
      <c r="DB25" s="193">
        <f t="shared" si="32"/>
        <v>0</v>
      </c>
      <c r="DE25" s="193">
        <f t="shared" si="33"/>
        <v>0</v>
      </c>
      <c r="DH25" s="193">
        <f t="shared" si="34"/>
        <v>0</v>
      </c>
      <c r="DK25" s="193">
        <f t="shared" si="35"/>
        <v>0</v>
      </c>
      <c r="DN25" s="193">
        <f t="shared" si="36"/>
        <v>0</v>
      </c>
      <c r="DQ25" s="193">
        <f t="shared" si="37"/>
        <v>0</v>
      </c>
      <c r="DT25" s="193">
        <f t="shared" si="38"/>
        <v>0</v>
      </c>
      <c r="DW25" s="193">
        <f t="shared" si="39"/>
        <v>0</v>
      </c>
      <c r="DZ25" s="193"/>
      <c r="EA25" s="193"/>
      <c r="EB25" s="228">
        <f t="shared" si="40"/>
        <v>56450000</v>
      </c>
      <c r="EC25" s="228">
        <f t="shared" si="41"/>
        <v>0</v>
      </c>
      <c r="ED25" s="193">
        <f t="shared" si="42"/>
        <v>313.61111111111109</v>
      </c>
      <c r="EE25" s="194">
        <f t="shared" si="43"/>
        <v>1.9999999999999996E-3</v>
      </c>
      <c r="EG25" s="228">
        <f t="shared" si="44"/>
        <v>0</v>
      </c>
      <c r="EH25" s="193">
        <f t="shared" si="45"/>
        <v>0</v>
      </c>
      <c r="EI25" s="194">
        <f t="shared" si="46"/>
        <v>0</v>
      </c>
      <c r="EJ25" s="194"/>
      <c r="EK25" s="228">
        <f t="shared" si="47"/>
        <v>56450000</v>
      </c>
      <c r="EL25" s="228">
        <f t="shared" si="48"/>
        <v>0</v>
      </c>
      <c r="EM25" s="228">
        <f t="shared" si="49"/>
        <v>313.61111111111109</v>
      </c>
      <c r="EN25" s="194">
        <f t="shared" si="50"/>
        <v>1.9999999999999996E-3</v>
      </c>
      <c r="EP25" s="193"/>
    </row>
    <row r="26" spans="1:146" x14ac:dyDescent="0.2">
      <c r="A26" s="225">
        <f t="shared" si="51"/>
        <v>44212</v>
      </c>
      <c r="B26" s="193">
        <v>0</v>
      </c>
      <c r="C26" s="194">
        <v>2.79452E-3</v>
      </c>
      <c r="D26" s="193">
        <f t="shared" si="0"/>
        <v>0</v>
      </c>
      <c r="G26" s="193">
        <f t="shared" si="1"/>
        <v>0</v>
      </c>
      <c r="J26" s="193">
        <f t="shared" si="2"/>
        <v>0</v>
      </c>
      <c r="M26" s="193">
        <f t="shared" si="3"/>
        <v>0</v>
      </c>
      <c r="P26" s="193">
        <f t="shared" si="4"/>
        <v>0</v>
      </c>
      <c r="S26" s="193">
        <f t="shared" si="5"/>
        <v>0</v>
      </c>
      <c r="V26" s="193">
        <f t="shared" si="6"/>
        <v>0</v>
      </c>
      <c r="Y26" s="193">
        <f t="shared" si="7"/>
        <v>0</v>
      </c>
      <c r="AB26" s="193">
        <f t="shared" si="8"/>
        <v>0</v>
      </c>
      <c r="AE26" s="193">
        <v>0</v>
      </c>
      <c r="AH26" s="193">
        <v>0</v>
      </c>
      <c r="AI26" s="226">
        <f>56450000</f>
        <v>56450000</v>
      </c>
      <c r="AJ26" s="227">
        <v>2E-3</v>
      </c>
      <c r="AK26" s="193">
        <f t="shared" si="9"/>
        <v>313.61111111111109</v>
      </c>
      <c r="AL26" s="226"/>
      <c r="AM26" s="227"/>
      <c r="AN26" s="193">
        <f t="shared" si="10"/>
        <v>0</v>
      </c>
      <c r="AO26" s="226"/>
      <c r="AP26" s="227"/>
      <c r="AQ26" s="193">
        <f t="shared" si="11"/>
        <v>0</v>
      </c>
      <c r="AR26" s="226"/>
      <c r="AS26" s="227"/>
      <c r="AT26" s="193">
        <f t="shared" si="12"/>
        <v>0</v>
      </c>
      <c r="AW26" s="193">
        <f t="shared" si="13"/>
        <v>0</v>
      </c>
      <c r="AZ26" s="193">
        <f t="shared" si="14"/>
        <v>0</v>
      </c>
      <c r="BC26" s="193">
        <f t="shared" si="15"/>
        <v>0</v>
      </c>
      <c r="BF26" s="193">
        <f t="shared" si="16"/>
        <v>0</v>
      </c>
      <c r="BI26" s="193">
        <f t="shared" si="17"/>
        <v>0</v>
      </c>
      <c r="BL26" s="193">
        <f t="shared" si="18"/>
        <v>0</v>
      </c>
      <c r="BO26" s="193">
        <f t="shared" si="19"/>
        <v>0</v>
      </c>
      <c r="BR26" s="193">
        <f t="shared" si="20"/>
        <v>0</v>
      </c>
      <c r="BU26" s="193">
        <f t="shared" si="21"/>
        <v>0</v>
      </c>
      <c r="BX26" s="193">
        <f t="shared" si="22"/>
        <v>0</v>
      </c>
      <c r="CA26" s="193">
        <f t="shared" si="23"/>
        <v>0</v>
      </c>
      <c r="CD26" s="193">
        <f t="shared" si="24"/>
        <v>0</v>
      </c>
      <c r="CG26" s="193">
        <f t="shared" si="25"/>
        <v>0</v>
      </c>
      <c r="CJ26" s="193">
        <f t="shared" si="26"/>
        <v>0</v>
      </c>
      <c r="CM26" s="193">
        <f t="shared" si="27"/>
        <v>0</v>
      </c>
      <c r="CP26" s="193">
        <f t="shared" si="28"/>
        <v>0</v>
      </c>
      <c r="CS26" s="193">
        <f t="shared" si="29"/>
        <v>0</v>
      </c>
      <c r="CV26" s="193">
        <f t="shared" si="30"/>
        <v>0</v>
      </c>
      <c r="CY26" s="193">
        <f t="shared" si="31"/>
        <v>0</v>
      </c>
      <c r="DB26" s="193">
        <f t="shared" si="32"/>
        <v>0</v>
      </c>
      <c r="DE26" s="193">
        <f t="shared" si="33"/>
        <v>0</v>
      </c>
      <c r="DH26" s="193">
        <f t="shared" si="34"/>
        <v>0</v>
      </c>
      <c r="DK26" s="193">
        <f t="shared" si="35"/>
        <v>0</v>
      </c>
      <c r="DN26" s="193">
        <f t="shared" si="36"/>
        <v>0</v>
      </c>
      <c r="DQ26" s="193">
        <f t="shared" si="37"/>
        <v>0</v>
      </c>
      <c r="DT26" s="193">
        <f t="shared" si="38"/>
        <v>0</v>
      </c>
      <c r="DW26" s="193">
        <f t="shared" si="39"/>
        <v>0</v>
      </c>
      <c r="DZ26" s="193"/>
      <c r="EA26" s="193"/>
      <c r="EB26" s="228">
        <f t="shared" si="40"/>
        <v>56450000</v>
      </c>
      <c r="EC26" s="228">
        <f t="shared" si="41"/>
        <v>0</v>
      </c>
      <c r="ED26" s="193">
        <f t="shared" si="42"/>
        <v>313.61111111111109</v>
      </c>
      <c r="EE26" s="194">
        <f t="shared" si="43"/>
        <v>1.9999999999999996E-3</v>
      </c>
      <c r="EG26" s="228">
        <f t="shared" si="44"/>
        <v>0</v>
      </c>
      <c r="EH26" s="193">
        <f t="shared" si="45"/>
        <v>0</v>
      </c>
      <c r="EI26" s="194">
        <f t="shared" si="46"/>
        <v>0</v>
      </c>
      <c r="EJ26" s="194"/>
      <c r="EK26" s="228">
        <f t="shared" si="47"/>
        <v>56450000</v>
      </c>
      <c r="EL26" s="228">
        <f t="shared" si="48"/>
        <v>0</v>
      </c>
      <c r="EM26" s="228">
        <f t="shared" si="49"/>
        <v>313.61111111111109</v>
      </c>
      <c r="EN26" s="194">
        <f t="shared" si="50"/>
        <v>1.9999999999999996E-3</v>
      </c>
      <c r="EP26" s="193"/>
    </row>
    <row r="27" spans="1:146" x14ac:dyDescent="0.2">
      <c r="A27" s="225">
        <f t="shared" si="51"/>
        <v>44213</v>
      </c>
      <c r="B27" s="193">
        <v>0</v>
      </c>
      <c r="C27" s="194">
        <v>2.79452E-3</v>
      </c>
      <c r="D27" s="193">
        <f t="shared" si="0"/>
        <v>0</v>
      </c>
      <c r="G27" s="193">
        <f t="shared" si="1"/>
        <v>0</v>
      </c>
      <c r="J27" s="193">
        <f t="shared" si="2"/>
        <v>0</v>
      </c>
      <c r="M27" s="193">
        <f t="shared" si="3"/>
        <v>0</v>
      </c>
      <c r="P27" s="193">
        <f t="shared" si="4"/>
        <v>0</v>
      </c>
      <c r="S27" s="193">
        <f t="shared" si="5"/>
        <v>0</v>
      </c>
      <c r="V27" s="193">
        <f t="shared" si="6"/>
        <v>0</v>
      </c>
      <c r="Y27" s="193">
        <f t="shared" si="7"/>
        <v>0</v>
      </c>
      <c r="AB27" s="193">
        <f t="shared" si="8"/>
        <v>0</v>
      </c>
      <c r="AE27" s="193">
        <v>0</v>
      </c>
      <c r="AH27" s="193">
        <v>0</v>
      </c>
      <c r="AI27" s="226">
        <f>56450000</f>
        <v>56450000</v>
      </c>
      <c r="AJ27" s="227">
        <v>2E-3</v>
      </c>
      <c r="AK27" s="193">
        <f t="shared" si="9"/>
        <v>313.61111111111109</v>
      </c>
      <c r="AL27" s="226"/>
      <c r="AM27" s="227"/>
      <c r="AN27" s="193">
        <f t="shared" si="10"/>
        <v>0</v>
      </c>
      <c r="AO27" s="226"/>
      <c r="AP27" s="227"/>
      <c r="AQ27" s="193">
        <f t="shared" si="11"/>
        <v>0</v>
      </c>
      <c r="AR27" s="226"/>
      <c r="AS27" s="227"/>
      <c r="AT27" s="193">
        <f t="shared" si="12"/>
        <v>0</v>
      </c>
      <c r="AW27" s="193">
        <f t="shared" si="13"/>
        <v>0</v>
      </c>
      <c r="AZ27" s="193">
        <f t="shared" si="14"/>
        <v>0</v>
      </c>
      <c r="BC27" s="193">
        <f t="shared" si="15"/>
        <v>0</v>
      </c>
      <c r="BF27" s="193">
        <f t="shared" si="16"/>
        <v>0</v>
      </c>
      <c r="BI27" s="193">
        <f t="shared" si="17"/>
        <v>0</v>
      </c>
      <c r="BL27" s="193">
        <f t="shared" si="18"/>
        <v>0</v>
      </c>
      <c r="BO27" s="193">
        <f t="shared" si="19"/>
        <v>0</v>
      </c>
      <c r="BR27" s="193">
        <f t="shared" si="20"/>
        <v>0</v>
      </c>
      <c r="BU27" s="193">
        <f t="shared" si="21"/>
        <v>0</v>
      </c>
      <c r="BX27" s="193">
        <f t="shared" si="22"/>
        <v>0</v>
      </c>
      <c r="CA27" s="193">
        <f t="shared" si="23"/>
        <v>0</v>
      </c>
      <c r="CD27" s="193">
        <f t="shared" si="24"/>
        <v>0</v>
      </c>
      <c r="CG27" s="193">
        <f t="shared" si="25"/>
        <v>0</v>
      </c>
      <c r="CJ27" s="193">
        <f t="shared" si="26"/>
        <v>0</v>
      </c>
      <c r="CM27" s="193">
        <f t="shared" si="27"/>
        <v>0</v>
      </c>
      <c r="CP27" s="193">
        <f t="shared" si="28"/>
        <v>0</v>
      </c>
      <c r="CS27" s="193">
        <f t="shared" si="29"/>
        <v>0</v>
      </c>
      <c r="CV27" s="193">
        <f t="shared" si="30"/>
        <v>0</v>
      </c>
      <c r="CY27" s="193">
        <f t="shared" si="31"/>
        <v>0</v>
      </c>
      <c r="DB27" s="193">
        <f t="shared" si="32"/>
        <v>0</v>
      </c>
      <c r="DE27" s="193">
        <f t="shared" si="33"/>
        <v>0</v>
      </c>
      <c r="DH27" s="193">
        <f t="shared" si="34"/>
        <v>0</v>
      </c>
      <c r="DK27" s="193">
        <f t="shared" si="35"/>
        <v>0</v>
      </c>
      <c r="DN27" s="193">
        <f t="shared" si="36"/>
        <v>0</v>
      </c>
      <c r="DQ27" s="193">
        <f t="shared" si="37"/>
        <v>0</v>
      </c>
      <c r="DT27" s="193">
        <f t="shared" si="38"/>
        <v>0</v>
      </c>
      <c r="DW27" s="193">
        <f t="shared" si="39"/>
        <v>0</v>
      </c>
      <c r="DZ27" s="193"/>
      <c r="EA27" s="193"/>
      <c r="EB27" s="228">
        <f t="shared" si="40"/>
        <v>56450000</v>
      </c>
      <c r="EC27" s="228">
        <f t="shared" si="41"/>
        <v>0</v>
      </c>
      <c r="ED27" s="193">
        <f t="shared" si="42"/>
        <v>313.61111111111109</v>
      </c>
      <c r="EE27" s="194">
        <f t="shared" si="43"/>
        <v>1.9999999999999996E-3</v>
      </c>
      <c r="EG27" s="228">
        <f t="shared" si="44"/>
        <v>0</v>
      </c>
      <c r="EH27" s="193">
        <f t="shared" si="45"/>
        <v>0</v>
      </c>
      <c r="EI27" s="194">
        <f t="shared" si="46"/>
        <v>0</v>
      </c>
      <c r="EJ27" s="194"/>
      <c r="EK27" s="228">
        <f t="shared" si="47"/>
        <v>56450000</v>
      </c>
      <c r="EL27" s="228">
        <f t="shared" si="48"/>
        <v>0</v>
      </c>
      <c r="EM27" s="228">
        <f t="shared" si="49"/>
        <v>313.61111111111109</v>
      </c>
      <c r="EN27" s="194">
        <f t="shared" si="50"/>
        <v>1.9999999999999996E-3</v>
      </c>
      <c r="EP27" s="193"/>
    </row>
    <row r="28" spans="1:146" x14ac:dyDescent="0.2">
      <c r="A28" s="225">
        <f t="shared" si="51"/>
        <v>44214</v>
      </c>
      <c r="B28" s="193">
        <v>0</v>
      </c>
      <c r="C28" s="194">
        <v>2.79452E-3</v>
      </c>
      <c r="D28" s="193">
        <f t="shared" si="0"/>
        <v>0</v>
      </c>
      <c r="G28" s="193">
        <f t="shared" si="1"/>
        <v>0</v>
      </c>
      <c r="J28" s="193">
        <f t="shared" si="2"/>
        <v>0</v>
      </c>
      <c r="M28" s="193">
        <f t="shared" si="3"/>
        <v>0</v>
      </c>
      <c r="P28" s="193">
        <f t="shared" si="4"/>
        <v>0</v>
      </c>
      <c r="S28" s="193">
        <f t="shared" si="5"/>
        <v>0</v>
      </c>
      <c r="V28" s="193">
        <f t="shared" si="6"/>
        <v>0</v>
      </c>
      <c r="Y28" s="193">
        <f t="shared" si="7"/>
        <v>0</v>
      </c>
      <c r="AB28" s="193">
        <f t="shared" si="8"/>
        <v>0</v>
      </c>
      <c r="AE28" s="193">
        <v>0</v>
      </c>
      <c r="AH28" s="193">
        <v>0</v>
      </c>
      <c r="AI28" s="226">
        <f>56450000</f>
        <v>56450000</v>
      </c>
      <c r="AJ28" s="227">
        <v>2E-3</v>
      </c>
      <c r="AK28" s="193">
        <f t="shared" si="9"/>
        <v>313.61111111111109</v>
      </c>
      <c r="AL28" s="226"/>
      <c r="AM28" s="227"/>
      <c r="AN28" s="193">
        <f t="shared" si="10"/>
        <v>0</v>
      </c>
      <c r="AO28" s="226"/>
      <c r="AP28" s="227"/>
      <c r="AQ28" s="193">
        <f t="shared" si="11"/>
        <v>0</v>
      </c>
      <c r="AR28" s="226"/>
      <c r="AS28" s="227"/>
      <c r="AT28" s="193">
        <f t="shared" si="12"/>
        <v>0</v>
      </c>
      <c r="AW28" s="193">
        <f t="shared" si="13"/>
        <v>0</v>
      </c>
      <c r="AZ28" s="193">
        <f t="shared" si="14"/>
        <v>0</v>
      </c>
      <c r="BC28" s="193">
        <f t="shared" si="15"/>
        <v>0</v>
      </c>
      <c r="BF28" s="193">
        <f t="shared" si="16"/>
        <v>0</v>
      </c>
      <c r="BI28" s="193">
        <f t="shared" si="17"/>
        <v>0</v>
      </c>
      <c r="BL28" s="193">
        <f t="shared" si="18"/>
        <v>0</v>
      </c>
      <c r="BO28" s="193">
        <f t="shared" si="19"/>
        <v>0</v>
      </c>
      <c r="BR28" s="193">
        <f t="shared" si="20"/>
        <v>0</v>
      </c>
      <c r="BU28" s="193">
        <f t="shared" si="21"/>
        <v>0</v>
      </c>
      <c r="BX28" s="193">
        <f t="shared" si="22"/>
        <v>0</v>
      </c>
      <c r="CA28" s="193">
        <f t="shared" si="23"/>
        <v>0</v>
      </c>
      <c r="CD28" s="193">
        <f t="shared" si="24"/>
        <v>0</v>
      </c>
      <c r="CG28" s="193">
        <f t="shared" si="25"/>
        <v>0</v>
      </c>
      <c r="CJ28" s="193">
        <f t="shared" si="26"/>
        <v>0</v>
      </c>
      <c r="CM28" s="193">
        <f t="shared" si="27"/>
        <v>0</v>
      </c>
      <c r="CP28" s="193">
        <f t="shared" si="28"/>
        <v>0</v>
      </c>
      <c r="CS28" s="193">
        <f t="shared" si="29"/>
        <v>0</v>
      </c>
      <c r="CV28" s="193">
        <f t="shared" si="30"/>
        <v>0</v>
      </c>
      <c r="CY28" s="193">
        <f t="shared" si="31"/>
        <v>0</v>
      </c>
      <c r="DB28" s="193">
        <f t="shared" si="32"/>
        <v>0</v>
      </c>
      <c r="DE28" s="193">
        <f t="shared" si="33"/>
        <v>0</v>
      </c>
      <c r="DH28" s="193">
        <f t="shared" si="34"/>
        <v>0</v>
      </c>
      <c r="DK28" s="193">
        <f t="shared" si="35"/>
        <v>0</v>
      </c>
      <c r="DN28" s="193">
        <f t="shared" si="36"/>
        <v>0</v>
      </c>
      <c r="DQ28" s="193">
        <f t="shared" si="37"/>
        <v>0</v>
      </c>
      <c r="DT28" s="193">
        <f t="shared" si="38"/>
        <v>0</v>
      </c>
      <c r="DW28" s="193">
        <f t="shared" si="39"/>
        <v>0</v>
      </c>
      <c r="DZ28" s="193"/>
      <c r="EA28" s="193"/>
      <c r="EB28" s="228">
        <f t="shared" si="40"/>
        <v>56450000</v>
      </c>
      <c r="EC28" s="228">
        <f t="shared" si="41"/>
        <v>0</v>
      </c>
      <c r="ED28" s="193">
        <f t="shared" si="42"/>
        <v>313.61111111111109</v>
      </c>
      <c r="EE28" s="194">
        <f t="shared" si="43"/>
        <v>1.9999999999999996E-3</v>
      </c>
      <c r="EG28" s="228">
        <f t="shared" si="44"/>
        <v>0</v>
      </c>
      <c r="EH28" s="193">
        <f t="shared" si="45"/>
        <v>0</v>
      </c>
      <c r="EI28" s="194">
        <f t="shared" si="46"/>
        <v>0</v>
      </c>
      <c r="EJ28" s="194"/>
      <c r="EK28" s="228">
        <f t="shared" si="47"/>
        <v>56450000</v>
      </c>
      <c r="EL28" s="228">
        <f t="shared" si="48"/>
        <v>0</v>
      </c>
      <c r="EM28" s="228">
        <f t="shared" si="49"/>
        <v>313.61111111111109</v>
      </c>
      <c r="EN28" s="194">
        <f t="shared" si="50"/>
        <v>1.9999999999999996E-3</v>
      </c>
      <c r="EP28" s="193"/>
    </row>
    <row r="29" spans="1:146" x14ac:dyDescent="0.2">
      <c r="A29" s="225">
        <f t="shared" si="51"/>
        <v>44215</v>
      </c>
      <c r="B29" s="193">
        <v>0</v>
      </c>
      <c r="C29" s="194">
        <v>2.7946399999999997E-3</v>
      </c>
      <c r="D29" s="193">
        <f t="shared" si="0"/>
        <v>0</v>
      </c>
      <c r="G29" s="193">
        <f t="shared" si="1"/>
        <v>0</v>
      </c>
      <c r="J29" s="193">
        <f t="shared" si="2"/>
        <v>0</v>
      </c>
      <c r="M29" s="193">
        <f t="shared" si="3"/>
        <v>0</v>
      </c>
      <c r="P29" s="193">
        <f t="shared" si="4"/>
        <v>0</v>
      </c>
      <c r="S29" s="193">
        <f t="shared" si="5"/>
        <v>0</v>
      </c>
      <c r="V29" s="193">
        <f t="shared" si="6"/>
        <v>0</v>
      </c>
      <c r="Y29" s="193">
        <f t="shared" si="7"/>
        <v>0</v>
      </c>
      <c r="AB29" s="193">
        <f t="shared" si="8"/>
        <v>0</v>
      </c>
      <c r="AE29" s="193">
        <v>0</v>
      </c>
      <c r="AH29" s="193">
        <v>0</v>
      </c>
      <c r="AI29" s="226">
        <f>53575000</f>
        <v>53575000</v>
      </c>
      <c r="AJ29" s="227">
        <v>2E-3</v>
      </c>
      <c r="AK29" s="193">
        <f t="shared" si="9"/>
        <v>297.63888888888891</v>
      </c>
      <c r="AL29" s="226"/>
      <c r="AM29" s="227"/>
      <c r="AN29" s="193">
        <f t="shared" si="10"/>
        <v>0</v>
      </c>
      <c r="AO29" s="226"/>
      <c r="AP29" s="227"/>
      <c r="AQ29" s="193">
        <f t="shared" si="11"/>
        <v>0</v>
      </c>
      <c r="AR29" s="226"/>
      <c r="AS29" s="227"/>
      <c r="AT29" s="193">
        <f t="shared" si="12"/>
        <v>0</v>
      </c>
      <c r="AW29" s="193">
        <f t="shared" si="13"/>
        <v>0</v>
      </c>
      <c r="AZ29" s="193">
        <f t="shared" si="14"/>
        <v>0</v>
      </c>
      <c r="BC29" s="193">
        <f t="shared" si="15"/>
        <v>0</v>
      </c>
      <c r="BF29" s="193">
        <f t="shared" si="16"/>
        <v>0</v>
      </c>
      <c r="BI29" s="193">
        <f t="shared" si="17"/>
        <v>0</v>
      </c>
      <c r="BL29" s="193">
        <f t="shared" si="18"/>
        <v>0</v>
      </c>
      <c r="BO29" s="193">
        <f t="shared" si="19"/>
        <v>0</v>
      </c>
      <c r="BR29" s="193">
        <f t="shared" si="20"/>
        <v>0</v>
      </c>
      <c r="BU29" s="193">
        <f t="shared" si="21"/>
        <v>0</v>
      </c>
      <c r="BX29" s="193">
        <f t="shared" si="22"/>
        <v>0</v>
      </c>
      <c r="CA29" s="193">
        <f t="shared" si="23"/>
        <v>0</v>
      </c>
      <c r="CD29" s="193">
        <f t="shared" si="24"/>
        <v>0</v>
      </c>
      <c r="CG29" s="193">
        <f t="shared" si="25"/>
        <v>0</v>
      </c>
      <c r="CJ29" s="193">
        <f t="shared" si="26"/>
        <v>0</v>
      </c>
      <c r="CM29" s="193">
        <f t="shared" si="27"/>
        <v>0</v>
      </c>
      <c r="CP29" s="193">
        <f t="shared" si="28"/>
        <v>0</v>
      </c>
      <c r="CS29" s="193">
        <f t="shared" si="29"/>
        <v>0</v>
      </c>
      <c r="CV29" s="193">
        <f t="shared" si="30"/>
        <v>0</v>
      </c>
      <c r="CY29" s="193">
        <f t="shared" si="31"/>
        <v>0</v>
      </c>
      <c r="DB29" s="193">
        <f t="shared" si="32"/>
        <v>0</v>
      </c>
      <c r="DE29" s="193">
        <f t="shared" si="33"/>
        <v>0</v>
      </c>
      <c r="DH29" s="193">
        <f t="shared" si="34"/>
        <v>0</v>
      </c>
      <c r="DK29" s="193">
        <f t="shared" si="35"/>
        <v>0</v>
      </c>
      <c r="DN29" s="193">
        <f t="shared" si="36"/>
        <v>0</v>
      </c>
      <c r="DQ29" s="193">
        <f t="shared" si="37"/>
        <v>0</v>
      </c>
      <c r="DT29" s="193">
        <f t="shared" si="38"/>
        <v>0</v>
      </c>
      <c r="DW29" s="193">
        <f t="shared" si="39"/>
        <v>0</v>
      </c>
      <c r="DZ29" s="193"/>
      <c r="EA29" s="193"/>
      <c r="EB29" s="228">
        <f t="shared" si="40"/>
        <v>53575000</v>
      </c>
      <c r="EC29" s="228">
        <f t="shared" si="41"/>
        <v>0</v>
      </c>
      <c r="ED29" s="193">
        <f t="shared" si="42"/>
        <v>297.63888888888891</v>
      </c>
      <c r="EE29" s="194">
        <f t="shared" si="43"/>
        <v>2E-3</v>
      </c>
      <c r="EG29" s="228">
        <f t="shared" si="44"/>
        <v>0</v>
      </c>
      <c r="EH29" s="193">
        <f t="shared" si="45"/>
        <v>0</v>
      </c>
      <c r="EI29" s="194">
        <f t="shared" si="46"/>
        <v>0</v>
      </c>
      <c r="EJ29" s="194"/>
      <c r="EK29" s="228">
        <f t="shared" si="47"/>
        <v>53575000</v>
      </c>
      <c r="EL29" s="228">
        <f t="shared" si="48"/>
        <v>0</v>
      </c>
      <c r="EM29" s="228">
        <f t="shared" si="49"/>
        <v>297.63888888888891</v>
      </c>
      <c r="EN29" s="194">
        <f t="shared" si="50"/>
        <v>2E-3</v>
      </c>
      <c r="EP29" s="193"/>
    </row>
    <row r="30" spans="1:146" x14ac:dyDescent="0.2">
      <c r="A30" s="225">
        <f t="shared" si="51"/>
        <v>44216</v>
      </c>
      <c r="B30" s="193">
        <v>0</v>
      </c>
      <c r="C30" s="194">
        <v>2.76406E-3</v>
      </c>
      <c r="D30" s="193">
        <f t="shared" si="0"/>
        <v>0</v>
      </c>
      <c r="G30" s="193">
        <f t="shared" si="1"/>
        <v>0</v>
      </c>
      <c r="J30" s="193">
        <f t="shared" si="2"/>
        <v>0</v>
      </c>
      <c r="M30" s="193">
        <f t="shared" si="3"/>
        <v>0</v>
      </c>
      <c r="P30" s="193">
        <f t="shared" si="4"/>
        <v>0</v>
      </c>
      <c r="S30" s="193">
        <f t="shared" si="5"/>
        <v>0</v>
      </c>
      <c r="V30" s="193">
        <f t="shared" si="6"/>
        <v>0</v>
      </c>
      <c r="Y30" s="193">
        <f t="shared" si="7"/>
        <v>0</v>
      </c>
      <c r="AB30" s="193">
        <f t="shared" si="8"/>
        <v>0</v>
      </c>
      <c r="AE30" s="193">
        <v>0</v>
      </c>
      <c r="AH30" s="193">
        <v>0</v>
      </c>
      <c r="AI30" s="226">
        <f>52975000</f>
        <v>52975000</v>
      </c>
      <c r="AJ30" s="227">
        <v>2E-3</v>
      </c>
      <c r="AK30" s="193">
        <f t="shared" si="9"/>
        <v>294.30555555555554</v>
      </c>
      <c r="AL30" s="226"/>
      <c r="AM30" s="227"/>
      <c r="AN30" s="193">
        <f t="shared" si="10"/>
        <v>0</v>
      </c>
      <c r="AO30" s="226"/>
      <c r="AP30" s="227"/>
      <c r="AQ30" s="193">
        <f t="shared" si="11"/>
        <v>0</v>
      </c>
      <c r="AR30" s="226"/>
      <c r="AS30" s="227"/>
      <c r="AT30" s="193">
        <f t="shared" si="12"/>
        <v>0</v>
      </c>
      <c r="AW30" s="193">
        <f t="shared" si="13"/>
        <v>0</v>
      </c>
      <c r="AZ30" s="193">
        <f t="shared" si="14"/>
        <v>0</v>
      </c>
      <c r="BC30" s="193">
        <f t="shared" si="15"/>
        <v>0</v>
      </c>
      <c r="BF30" s="193">
        <f t="shared" si="16"/>
        <v>0</v>
      </c>
      <c r="BI30" s="193">
        <f t="shared" si="17"/>
        <v>0</v>
      </c>
      <c r="BL30" s="193">
        <f t="shared" si="18"/>
        <v>0</v>
      </c>
      <c r="BO30" s="193">
        <f t="shared" si="19"/>
        <v>0</v>
      </c>
      <c r="BR30" s="193">
        <f t="shared" si="20"/>
        <v>0</v>
      </c>
      <c r="BU30" s="193">
        <f t="shared" si="21"/>
        <v>0</v>
      </c>
      <c r="BX30" s="193">
        <f t="shared" si="22"/>
        <v>0</v>
      </c>
      <c r="CA30" s="193">
        <f t="shared" si="23"/>
        <v>0</v>
      </c>
      <c r="CD30" s="193">
        <f t="shared" si="24"/>
        <v>0</v>
      </c>
      <c r="CG30" s="193">
        <f t="shared" si="25"/>
        <v>0</v>
      </c>
      <c r="CJ30" s="193">
        <f t="shared" si="26"/>
        <v>0</v>
      </c>
      <c r="CM30" s="193">
        <f t="shared" si="27"/>
        <v>0</v>
      </c>
      <c r="CP30" s="193">
        <f t="shared" si="28"/>
        <v>0</v>
      </c>
      <c r="CS30" s="193">
        <f t="shared" si="29"/>
        <v>0</v>
      </c>
      <c r="CV30" s="193">
        <f t="shared" si="30"/>
        <v>0</v>
      </c>
      <c r="CY30" s="193">
        <f t="shared" si="31"/>
        <v>0</v>
      </c>
      <c r="DB30" s="193">
        <f t="shared" si="32"/>
        <v>0</v>
      </c>
      <c r="DE30" s="193">
        <f t="shared" si="33"/>
        <v>0</v>
      </c>
      <c r="DH30" s="193">
        <f t="shared" si="34"/>
        <v>0</v>
      </c>
      <c r="DK30" s="193">
        <f t="shared" si="35"/>
        <v>0</v>
      </c>
      <c r="DN30" s="193">
        <f t="shared" si="36"/>
        <v>0</v>
      </c>
      <c r="DQ30" s="193">
        <f t="shared" si="37"/>
        <v>0</v>
      </c>
      <c r="DT30" s="193">
        <f t="shared" si="38"/>
        <v>0</v>
      </c>
      <c r="DW30" s="193">
        <f t="shared" si="39"/>
        <v>0</v>
      </c>
      <c r="DZ30" s="193"/>
      <c r="EA30" s="193"/>
      <c r="EB30" s="228">
        <f t="shared" si="40"/>
        <v>52975000</v>
      </c>
      <c r="EC30" s="228">
        <f t="shared" si="41"/>
        <v>0</v>
      </c>
      <c r="ED30" s="193">
        <f t="shared" si="42"/>
        <v>294.30555555555554</v>
      </c>
      <c r="EE30" s="194">
        <f t="shared" si="43"/>
        <v>1.9999999999999996E-3</v>
      </c>
      <c r="EG30" s="228">
        <f t="shared" si="44"/>
        <v>0</v>
      </c>
      <c r="EH30" s="193">
        <f t="shared" si="45"/>
        <v>0</v>
      </c>
      <c r="EI30" s="194">
        <f t="shared" si="46"/>
        <v>0</v>
      </c>
      <c r="EJ30" s="194"/>
      <c r="EK30" s="228">
        <f t="shared" si="47"/>
        <v>52975000</v>
      </c>
      <c r="EL30" s="228">
        <f t="shared" si="48"/>
        <v>0</v>
      </c>
      <c r="EM30" s="228">
        <f t="shared" si="49"/>
        <v>294.30555555555554</v>
      </c>
      <c r="EN30" s="194">
        <f t="shared" si="50"/>
        <v>1.9999999999999996E-3</v>
      </c>
      <c r="EP30" s="193"/>
    </row>
    <row r="31" spans="1:146" x14ac:dyDescent="0.2">
      <c r="A31" s="225">
        <f t="shared" si="51"/>
        <v>44217</v>
      </c>
      <c r="B31" s="193">
        <v>0</v>
      </c>
      <c r="C31" s="194">
        <v>2.6452100000000003E-3</v>
      </c>
      <c r="D31" s="193">
        <f t="shared" si="0"/>
        <v>0</v>
      </c>
      <c r="G31" s="193">
        <f t="shared" si="1"/>
        <v>0</v>
      </c>
      <c r="J31" s="193">
        <f t="shared" si="2"/>
        <v>0</v>
      </c>
      <c r="M31" s="193">
        <f t="shared" si="3"/>
        <v>0</v>
      </c>
      <c r="P31" s="193">
        <f t="shared" si="4"/>
        <v>0</v>
      </c>
      <c r="S31" s="193">
        <f t="shared" si="5"/>
        <v>0</v>
      </c>
      <c r="V31" s="193">
        <f t="shared" si="6"/>
        <v>0</v>
      </c>
      <c r="Y31" s="193">
        <f t="shared" si="7"/>
        <v>0</v>
      </c>
      <c r="AB31" s="193">
        <f t="shared" si="8"/>
        <v>0</v>
      </c>
      <c r="AE31" s="193">
        <v>0</v>
      </c>
      <c r="AH31" s="193">
        <v>0</v>
      </c>
      <c r="AI31" s="226">
        <f>45875000</f>
        <v>45875000</v>
      </c>
      <c r="AJ31" s="227">
        <v>2E-3</v>
      </c>
      <c r="AK31" s="193">
        <f t="shared" si="9"/>
        <v>254.86111111111111</v>
      </c>
      <c r="AL31" s="226"/>
      <c r="AM31" s="227"/>
      <c r="AN31" s="193">
        <f t="shared" si="10"/>
        <v>0</v>
      </c>
      <c r="AO31" s="226"/>
      <c r="AP31" s="227"/>
      <c r="AQ31" s="193">
        <f t="shared" si="11"/>
        <v>0</v>
      </c>
      <c r="AR31" s="226"/>
      <c r="AS31" s="227"/>
      <c r="AT31" s="193">
        <f t="shared" si="12"/>
        <v>0</v>
      </c>
      <c r="AW31" s="193">
        <f t="shared" si="13"/>
        <v>0</v>
      </c>
      <c r="AZ31" s="193">
        <f t="shared" si="14"/>
        <v>0</v>
      </c>
      <c r="BC31" s="193">
        <f t="shared" si="15"/>
        <v>0</v>
      </c>
      <c r="BF31" s="193">
        <f t="shared" si="16"/>
        <v>0</v>
      </c>
      <c r="BI31" s="193">
        <f t="shared" si="17"/>
        <v>0</v>
      </c>
      <c r="BL31" s="193">
        <f t="shared" si="18"/>
        <v>0</v>
      </c>
      <c r="BO31" s="193">
        <f t="shared" si="19"/>
        <v>0</v>
      </c>
      <c r="BR31" s="193">
        <f t="shared" si="20"/>
        <v>0</v>
      </c>
      <c r="BU31" s="193">
        <f t="shared" si="21"/>
        <v>0</v>
      </c>
      <c r="BX31" s="193">
        <f t="shared" si="22"/>
        <v>0</v>
      </c>
      <c r="CA31" s="193">
        <f t="shared" si="23"/>
        <v>0</v>
      </c>
      <c r="CD31" s="193">
        <f t="shared" si="24"/>
        <v>0</v>
      </c>
      <c r="CG31" s="193">
        <f t="shared" si="25"/>
        <v>0</v>
      </c>
      <c r="CJ31" s="193">
        <f t="shared" si="26"/>
        <v>0</v>
      </c>
      <c r="CM31" s="193">
        <f t="shared" si="27"/>
        <v>0</v>
      </c>
      <c r="CP31" s="193">
        <f t="shared" si="28"/>
        <v>0</v>
      </c>
      <c r="CS31" s="193">
        <f t="shared" si="29"/>
        <v>0</v>
      </c>
      <c r="CV31" s="193">
        <f t="shared" si="30"/>
        <v>0</v>
      </c>
      <c r="CY31" s="193">
        <f t="shared" si="31"/>
        <v>0</v>
      </c>
      <c r="DB31" s="193">
        <f t="shared" si="32"/>
        <v>0</v>
      </c>
      <c r="DE31" s="193">
        <f t="shared" si="33"/>
        <v>0</v>
      </c>
      <c r="DH31" s="193">
        <f t="shared" si="34"/>
        <v>0</v>
      </c>
      <c r="DK31" s="193">
        <f t="shared" si="35"/>
        <v>0</v>
      </c>
      <c r="DN31" s="193">
        <f t="shared" si="36"/>
        <v>0</v>
      </c>
      <c r="DQ31" s="193">
        <f t="shared" si="37"/>
        <v>0</v>
      </c>
      <c r="DT31" s="193">
        <f t="shared" si="38"/>
        <v>0</v>
      </c>
      <c r="DW31" s="193">
        <f t="shared" si="39"/>
        <v>0</v>
      </c>
      <c r="DZ31" s="193"/>
      <c r="EA31" s="193"/>
      <c r="EB31" s="228">
        <f t="shared" si="40"/>
        <v>45875000</v>
      </c>
      <c r="EC31" s="228">
        <f t="shared" si="41"/>
        <v>0</v>
      </c>
      <c r="ED31" s="193">
        <f t="shared" si="42"/>
        <v>254.86111111111111</v>
      </c>
      <c r="EE31" s="194">
        <f t="shared" si="43"/>
        <v>2E-3</v>
      </c>
      <c r="EG31" s="228">
        <f t="shared" si="44"/>
        <v>0</v>
      </c>
      <c r="EH31" s="193">
        <f t="shared" si="45"/>
        <v>0</v>
      </c>
      <c r="EI31" s="194">
        <f t="shared" si="46"/>
        <v>0</v>
      </c>
      <c r="EJ31" s="194"/>
      <c r="EK31" s="228">
        <f t="shared" si="47"/>
        <v>45875000</v>
      </c>
      <c r="EL31" s="228">
        <f t="shared" si="48"/>
        <v>0</v>
      </c>
      <c r="EM31" s="228">
        <f t="shared" si="49"/>
        <v>254.86111111111111</v>
      </c>
      <c r="EN31" s="194">
        <f t="shared" si="50"/>
        <v>2E-3</v>
      </c>
      <c r="EP31" s="193"/>
    </row>
    <row r="32" spans="1:146" x14ac:dyDescent="0.2">
      <c r="A32" s="225">
        <f t="shared" si="51"/>
        <v>44218</v>
      </c>
      <c r="B32" s="193">
        <v>0</v>
      </c>
      <c r="C32" s="194">
        <v>2.7200499999999999E-3</v>
      </c>
      <c r="D32" s="193">
        <f t="shared" si="0"/>
        <v>0</v>
      </c>
      <c r="G32" s="193">
        <f t="shared" si="1"/>
        <v>0</v>
      </c>
      <c r="J32" s="193">
        <f t="shared" si="2"/>
        <v>0</v>
      </c>
      <c r="M32" s="193">
        <f t="shared" si="3"/>
        <v>0</v>
      </c>
      <c r="P32" s="193">
        <f t="shared" si="4"/>
        <v>0</v>
      </c>
      <c r="S32" s="193">
        <f t="shared" si="5"/>
        <v>0</v>
      </c>
      <c r="V32" s="193">
        <f t="shared" si="6"/>
        <v>0</v>
      </c>
      <c r="Y32" s="193">
        <f t="shared" si="7"/>
        <v>0</v>
      </c>
      <c r="AB32" s="193">
        <f t="shared" si="8"/>
        <v>0</v>
      </c>
      <c r="AE32" s="193">
        <v>0</v>
      </c>
      <c r="AH32" s="193">
        <v>0</v>
      </c>
      <c r="AI32" s="226">
        <f>87300000</f>
        <v>87300000</v>
      </c>
      <c r="AJ32" s="227">
        <v>2E-3</v>
      </c>
      <c r="AK32" s="193">
        <f t="shared" si="9"/>
        <v>485</v>
      </c>
      <c r="AL32" s="226"/>
      <c r="AM32" s="227"/>
      <c r="AN32" s="193">
        <f t="shared" si="10"/>
        <v>0</v>
      </c>
      <c r="AO32" s="226"/>
      <c r="AP32" s="227"/>
      <c r="AQ32" s="193">
        <f t="shared" si="11"/>
        <v>0</v>
      </c>
      <c r="AR32" s="226"/>
      <c r="AS32" s="227"/>
      <c r="AT32" s="193">
        <f t="shared" si="12"/>
        <v>0</v>
      </c>
      <c r="AW32" s="193">
        <f t="shared" si="13"/>
        <v>0</v>
      </c>
      <c r="AZ32" s="193">
        <f t="shared" si="14"/>
        <v>0</v>
      </c>
      <c r="BC32" s="193">
        <f t="shared" si="15"/>
        <v>0</v>
      </c>
      <c r="BF32" s="193">
        <f t="shared" si="16"/>
        <v>0</v>
      </c>
      <c r="BI32" s="193">
        <f t="shared" si="17"/>
        <v>0</v>
      </c>
      <c r="BL32" s="193">
        <f t="shared" si="18"/>
        <v>0</v>
      </c>
      <c r="BO32" s="193">
        <f t="shared" si="19"/>
        <v>0</v>
      </c>
      <c r="BR32" s="193">
        <f t="shared" si="20"/>
        <v>0</v>
      </c>
      <c r="BU32" s="193">
        <f t="shared" si="21"/>
        <v>0</v>
      </c>
      <c r="BX32" s="193">
        <f t="shared" si="22"/>
        <v>0</v>
      </c>
      <c r="CA32" s="193">
        <f t="shared" si="23"/>
        <v>0</v>
      </c>
      <c r="CD32" s="193">
        <f t="shared" si="24"/>
        <v>0</v>
      </c>
      <c r="CG32" s="193">
        <f t="shared" si="25"/>
        <v>0</v>
      </c>
      <c r="CJ32" s="193">
        <f t="shared" si="26"/>
        <v>0</v>
      </c>
      <c r="CM32" s="193">
        <f t="shared" si="27"/>
        <v>0</v>
      </c>
      <c r="CP32" s="193">
        <f t="shared" si="28"/>
        <v>0</v>
      </c>
      <c r="CS32" s="193">
        <f t="shared" si="29"/>
        <v>0</v>
      </c>
      <c r="CV32" s="193">
        <f t="shared" si="30"/>
        <v>0</v>
      </c>
      <c r="CY32" s="193">
        <f t="shared" si="31"/>
        <v>0</v>
      </c>
      <c r="DB32" s="193">
        <f t="shared" si="32"/>
        <v>0</v>
      </c>
      <c r="DE32" s="193">
        <f t="shared" si="33"/>
        <v>0</v>
      </c>
      <c r="DH32" s="193">
        <f t="shared" si="34"/>
        <v>0</v>
      </c>
      <c r="DK32" s="193">
        <f t="shared" si="35"/>
        <v>0</v>
      </c>
      <c r="DN32" s="193">
        <f t="shared" si="36"/>
        <v>0</v>
      </c>
      <c r="DQ32" s="193">
        <f t="shared" si="37"/>
        <v>0</v>
      </c>
      <c r="DT32" s="193">
        <f t="shared" si="38"/>
        <v>0</v>
      </c>
      <c r="DW32" s="193">
        <f t="shared" si="39"/>
        <v>0</v>
      </c>
      <c r="DZ32" s="193"/>
      <c r="EA32" s="193"/>
      <c r="EB32" s="228">
        <f t="shared" si="40"/>
        <v>87300000</v>
      </c>
      <c r="EC32" s="228">
        <f t="shared" si="41"/>
        <v>0</v>
      </c>
      <c r="ED32" s="193">
        <f t="shared" si="42"/>
        <v>485</v>
      </c>
      <c r="EE32" s="194">
        <f t="shared" si="43"/>
        <v>2E-3</v>
      </c>
      <c r="EG32" s="228">
        <f t="shared" si="44"/>
        <v>0</v>
      </c>
      <c r="EH32" s="193">
        <f t="shared" si="45"/>
        <v>0</v>
      </c>
      <c r="EI32" s="194">
        <f t="shared" si="46"/>
        <v>0</v>
      </c>
      <c r="EJ32" s="194"/>
      <c r="EK32" s="228">
        <f t="shared" si="47"/>
        <v>87300000</v>
      </c>
      <c r="EL32" s="228">
        <f t="shared" si="48"/>
        <v>0</v>
      </c>
      <c r="EM32" s="228">
        <f t="shared" si="49"/>
        <v>485</v>
      </c>
      <c r="EN32" s="194">
        <f t="shared" si="50"/>
        <v>2E-3</v>
      </c>
      <c r="EP32" s="193"/>
    </row>
    <row r="33" spans="1:146" x14ac:dyDescent="0.2">
      <c r="A33" s="225">
        <f t="shared" si="51"/>
        <v>44219</v>
      </c>
      <c r="B33" s="193">
        <v>0</v>
      </c>
      <c r="C33" s="194">
        <v>2.7200499999999999E-3</v>
      </c>
      <c r="D33" s="193">
        <f t="shared" si="0"/>
        <v>0</v>
      </c>
      <c r="G33" s="193">
        <f t="shared" si="1"/>
        <v>0</v>
      </c>
      <c r="J33" s="193">
        <f t="shared" si="2"/>
        <v>0</v>
      </c>
      <c r="M33" s="193">
        <f t="shared" si="3"/>
        <v>0</v>
      </c>
      <c r="P33" s="193">
        <f t="shared" si="4"/>
        <v>0</v>
      </c>
      <c r="S33" s="193">
        <f t="shared" si="5"/>
        <v>0</v>
      </c>
      <c r="V33" s="193">
        <f t="shared" si="6"/>
        <v>0</v>
      </c>
      <c r="Y33" s="193">
        <f t="shared" si="7"/>
        <v>0</v>
      </c>
      <c r="AB33" s="193">
        <f t="shared" si="8"/>
        <v>0</v>
      </c>
      <c r="AE33" s="193">
        <v>0</v>
      </c>
      <c r="AH33" s="193">
        <v>0</v>
      </c>
      <c r="AI33" s="226">
        <f>87300000</f>
        <v>87300000</v>
      </c>
      <c r="AJ33" s="227">
        <v>2E-3</v>
      </c>
      <c r="AK33" s="193">
        <f t="shared" si="9"/>
        <v>485</v>
      </c>
      <c r="AL33" s="226"/>
      <c r="AM33" s="227"/>
      <c r="AN33" s="193">
        <f t="shared" si="10"/>
        <v>0</v>
      </c>
      <c r="AO33" s="226"/>
      <c r="AP33" s="227"/>
      <c r="AQ33" s="193">
        <f t="shared" si="11"/>
        <v>0</v>
      </c>
      <c r="AR33" s="226"/>
      <c r="AS33" s="227"/>
      <c r="AT33" s="193">
        <f t="shared" si="12"/>
        <v>0</v>
      </c>
      <c r="AW33" s="193">
        <f t="shared" si="13"/>
        <v>0</v>
      </c>
      <c r="AZ33" s="193">
        <f t="shared" si="14"/>
        <v>0</v>
      </c>
      <c r="BC33" s="193">
        <f t="shared" si="15"/>
        <v>0</v>
      </c>
      <c r="BF33" s="193">
        <f t="shared" si="16"/>
        <v>0</v>
      </c>
      <c r="BI33" s="193">
        <f t="shared" si="17"/>
        <v>0</v>
      </c>
      <c r="BL33" s="193">
        <f t="shared" si="18"/>
        <v>0</v>
      </c>
      <c r="BO33" s="193">
        <f t="shared" si="19"/>
        <v>0</v>
      </c>
      <c r="BR33" s="193">
        <f t="shared" si="20"/>
        <v>0</v>
      </c>
      <c r="BU33" s="193">
        <f t="shared" si="21"/>
        <v>0</v>
      </c>
      <c r="BX33" s="193">
        <f t="shared" si="22"/>
        <v>0</v>
      </c>
      <c r="CA33" s="193">
        <f t="shared" si="23"/>
        <v>0</v>
      </c>
      <c r="CD33" s="193">
        <f t="shared" si="24"/>
        <v>0</v>
      </c>
      <c r="CG33" s="193">
        <f t="shared" si="25"/>
        <v>0</v>
      </c>
      <c r="CJ33" s="193">
        <f t="shared" si="26"/>
        <v>0</v>
      </c>
      <c r="CM33" s="193">
        <f t="shared" si="27"/>
        <v>0</v>
      </c>
      <c r="CP33" s="193">
        <f t="shared" si="28"/>
        <v>0</v>
      </c>
      <c r="CS33" s="193">
        <f t="shared" si="29"/>
        <v>0</v>
      </c>
      <c r="CV33" s="193">
        <f t="shared" si="30"/>
        <v>0</v>
      </c>
      <c r="CY33" s="193">
        <f t="shared" si="31"/>
        <v>0</v>
      </c>
      <c r="DB33" s="193">
        <f t="shared" si="32"/>
        <v>0</v>
      </c>
      <c r="DE33" s="193">
        <f t="shared" si="33"/>
        <v>0</v>
      </c>
      <c r="DH33" s="193">
        <f t="shared" si="34"/>
        <v>0</v>
      </c>
      <c r="DK33" s="193">
        <f t="shared" si="35"/>
        <v>0</v>
      </c>
      <c r="DN33" s="193">
        <f t="shared" si="36"/>
        <v>0</v>
      </c>
      <c r="DQ33" s="193">
        <f t="shared" si="37"/>
        <v>0</v>
      </c>
      <c r="DT33" s="193">
        <f t="shared" si="38"/>
        <v>0</v>
      </c>
      <c r="DW33" s="193">
        <f t="shared" si="39"/>
        <v>0</v>
      </c>
      <c r="DZ33" s="193"/>
      <c r="EA33" s="193"/>
      <c r="EB33" s="228">
        <f t="shared" si="40"/>
        <v>87300000</v>
      </c>
      <c r="EC33" s="228">
        <f t="shared" si="41"/>
        <v>0</v>
      </c>
      <c r="ED33" s="193">
        <f t="shared" si="42"/>
        <v>485</v>
      </c>
      <c r="EE33" s="194">
        <f t="shared" si="43"/>
        <v>2E-3</v>
      </c>
      <c r="EG33" s="228">
        <f t="shared" si="44"/>
        <v>0</v>
      </c>
      <c r="EH33" s="193">
        <f t="shared" si="45"/>
        <v>0</v>
      </c>
      <c r="EI33" s="194">
        <f t="shared" si="46"/>
        <v>0</v>
      </c>
      <c r="EJ33" s="194"/>
      <c r="EK33" s="228">
        <f t="shared" si="47"/>
        <v>87300000</v>
      </c>
      <c r="EL33" s="228">
        <f t="shared" si="48"/>
        <v>0</v>
      </c>
      <c r="EM33" s="228">
        <f t="shared" si="49"/>
        <v>485</v>
      </c>
      <c r="EN33" s="194">
        <f t="shared" si="50"/>
        <v>2E-3</v>
      </c>
      <c r="EP33" s="193"/>
    </row>
    <row r="34" spans="1:146" x14ac:dyDescent="0.2">
      <c r="A34" s="225">
        <f t="shared" si="51"/>
        <v>44220</v>
      </c>
      <c r="B34" s="193">
        <v>0</v>
      </c>
      <c r="C34" s="194">
        <v>2.7200499999999999E-3</v>
      </c>
      <c r="D34" s="193">
        <f t="shared" si="0"/>
        <v>0</v>
      </c>
      <c r="G34" s="193">
        <f t="shared" si="1"/>
        <v>0</v>
      </c>
      <c r="J34" s="193">
        <f t="shared" si="2"/>
        <v>0</v>
      </c>
      <c r="M34" s="193">
        <f t="shared" si="3"/>
        <v>0</v>
      </c>
      <c r="P34" s="193">
        <f t="shared" si="4"/>
        <v>0</v>
      </c>
      <c r="S34" s="193">
        <f t="shared" si="5"/>
        <v>0</v>
      </c>
      <c r="V34" s="193">
        <f t="shared" si="6"/>
        <v>0</v>
      </c>
      <c r="Y34" s="193">
        <f t="shared" si="7"/>
        <v>0</v>
      </c>
      <c r="AB34" s="193">
        <f t="shared" si="8"/>
        <v>0</v>
      </c>
      <c r="AE34" s="193">
        <v>0</v>
      </c>
      <c r="AH34" s="193">
        <v>0</v>
      </c>
      <c r="AI34" s="226">
        <f>87300000</f>
        <v>87300000</v>
      </c>
      <c r="AJ34" s="227">
        <v>2E-3</v>
      </c>
      <c r="AK34" s="193">
        <f t="shared" si="9"/>
        <v>485</v>
      </c>
      <c r="AL34" s="226"/>
      <c r="AM34" s="227"/>
      <c r="AN34" s="193">
        <f t="shared" si="10"/>
        <v>0</v>
      </c>
      <c r="AO34" s="226"/>
      <c r="AP34" s="227"/>
      <c r="AQ34" s="193">
        <f t="shared" si="11"/>
        <v>0</v>
      </c>
      <c r="AR34" s="226"/>
      <c r="AS34" s="227"/>
      <c r="AT34" s="193">
        <f t="shared" si="12"/>
        <v>0</v>
      </c>
      <c r="AW34" s="193">
        <f t="shared" si="13"/>
        <v>0</v>
      </c>
      <c r="AZ34" s="193">
        <f t="shared" si="14"/>
        <v>0</v>
      </c>
      <c r="BC34" s="193">
        <f t="shared" si="15"/>
        <v>0</v>
      </c>
      <c r="BF34" s="193">
        <f t="shared" si="16"/>
        <v>0</v>
      </c>
      <c r="BI34" s="193">
        <f t="shared" si="17"/>
        <v>0</v>
      </c>
      <c r="BL34" s="193">
        <f t="shared" si="18"/>
        <v>0</v>
      </c>
      <c r="BO34" s="193">
        <f t="shared" si="19"/>
        <v>0</v>
      </c>
      <c r="BR34" s="193">
        <f t="shared" si="20"/>
        <v>0</v>
      </c>
      <c r="BU34" s="193">
        <f t="shared" si="21"/>
        <v>0</v>
      </c>
      <c r="BX34" s="193">
        <f t="shared" si="22"/>
        <v>0</v>
      </c>
      <c r="CA34" s="193">
        <f t="shared" si="23"/>
        <v>0</v>
      </c>
      <c r="CD34" s="193">
        <f t="shared" si="24"/>
        <v>0</v>
      </c>
      <c r="CG34" s="193">
        <f t="shared" si="25"/>
        <v>0</v>
      </c>
      <c r="CJ34" s="193">
        <f t="shared" si="26"/>
        <v>0</v>
      </c>
      <c r="CM34" s="193">
        <f t="shared" si="27"/>
        <v>0</v>
      </c>
      <c r="CP34" s="193">
        <f t="shared" si="28"/>
        <v>0</v>
      </c>
      <c r="CS34" s="193">
        <f t="shared" si="29"/>
        <v>0</v>
      </c>
      <c r="CV34" s="193">
        <f t="shared" si="30"/>
        <v>0</v>
      </c>
      <c r="CY34" s="193">
        <f t="shared" si="31"/>
        <v>0</v>
      </c>
      <c r="DB34" s="193">
        <f t="shared" si="32"/>
        <v>0</v>
      </c>
      <c r="DE34" s="193">
        <f t="shared" si="33"/>
        <v>0</v>
      </c>
      <c r="DH34" s="193">
        <f t="shared" si="34"/>
        <v>0</v>
      </c>
      <c r="DK34" s="193">
        <f t="shared" si="35"/>
        <v>0</v>
      </c>
      <c r="DN34" s="193">
        <f t="shared" si="36"/>
        <v>0</v>
      </c>
      <c r="DQ34" s="193">
        <f t="shared" si="37"/>
        <v>0</v>
      </c>
      <c r="DT34" s="193">
        <f t="shared" si="38"/>
        <v>0</v>
      </c>
      <c r="DW34" s="193">
        <f t="shared" si="39"/>
        <v>0</v>
      </c>
      <c r="DZ34" s="193"/>
      <c r="EA34" s="193"/>
      <c r="EB34" s="228">
        <f t="shared" si="40"/>
        <v>87300000</v>
      </c>
      <c r="EC34" s="228">
        <f t="shared" si="41"/>
        <v>0</v>
      </c>
      <c r="ED34" s="193">
        <f t="shared" si="42"/>
        <v>485</v>
      </c>
      <c r="EE34" s="194">
        <f t="shared" si="43"/>
        <v>2E-3</v>
      </c>
      <c r="EG34" s="228">
        <f t="shared" si="44"/>
        <v>0</v>
      </c>
      <c r="EH34" s="193">
        <f t="shared" si="45"/>
        <v>0</v>
      </c>
      <c r="EI34" s="194">
        <f t="shared" si="46"/>
        <v>0</v>
      </c>
      <c r="EJ34" s="194"/>
      <c r="EK34" s="228">
        <f t="shared" si="47"/>
        <v>87300000</v>
      </c>
      <c r="EL34" s="228">
        <f t="shared" si="48"/>
        <v>0</v>
      </c>
      <c r="EM34" s="228">
        <f t="shared" si="49"/>
        <v>485</v>
      </c>
      <c r="EN34" s="194">
        <f t="shared" si="50"/>
        <v>2E-3</v>
      </c>
      <c r="EP34" s="193"/>
    </row>
    <row r="35" spans="1:146" x14ac:dyDescent="0.2">
      <c r="A35" s="225">
        <f t="shared" si="51"/>
        <v>44221</v>
      </c>
      <c r="B35" s="193">
        <v>0</v>
      </c>
      <c r="C35" s="194">
        <v>2.71974E-3</v>
      </c>
      <c r="D35" s="193">
        <f t="shared" si="0"/>
        <v>0</v>
      </c>
      <c r="G35" s="193">
        <f t="shared" si="1"/>
        <v>0</v>
      </c>
      <c r="J35" s="193">
        <f t="shared" si="2"/>
        <v>0</v>
      </c>
      <c r="M35" s="193">
        <f t="shared" si="3"/>
        <v>0</v>
      </c>
      <c r="P35" s="193">
        <f t="shared" si="4"/>
        <v>0</v>
      </c>
      <c r="S35" s="193">
        <f t="shared" si="5"/>
        <v>0</v>
      </c>
      <c r="V35" s="193">
        <f t="shared" si="6"/>
        <v>0</v>
      </c>
      <c r="Y35" s="193">
        <f t="shared" si="7"/>
        <v>0</v>
      </c>
      <c r="AB35" s="193">
        <f t="shared" si="8"/>
        <v>0</v>
      </c>
      <c r="AE35" s="193">
        <v>0</v>
      </c>
      <c r="AH35" s="193">
        <v>0</v>
      </c>
      <c r="AI35" s="226">
        <v>95200000</v>
      </c>
      <c r="AJ35" s="227">
        <v>2E-3</v>
      </c>
      <c r="AK35" s="193">
        <f t="shared" si="9"/>
        <v>528.88888888888891</v>
      </c>
      <c r="AL35" s="226"/>
      <c r="AM35" s="227"/>
      <c r="AN35" s="193">
        <f t="shared" si="10"/>
        <v>0</v>
      </c>
      <c r="AO35" s="226"/>
      <c r="AP35" s="227"/>
      <c r="AQ35" s="193">
        <f t="shared" si="11"/>
        <v>0</v>
      </c>
      <c r="AR35" s="226"/>
      <c r="AS35" s="227"/>
      <c r="AT35" s="193">
        <f t="shared" si="12"/>
        <v>0</v>
      </c>
      <c r="AW35" s="193">
        <f t="shared" si="13"/>
        <v>0</v>
      </c>
      <c r="AZ35" s="193">
        <f t="shared" si="14"/>
        <v>0</v>
      </c>
      <c r="BC35" s="193">
        <f t="shared" si="15"/>
        <v>0</v>
      </c>
      <c r="BF35" s="193">
        <f t="shared" si="16"/>
        <v>0</v>
      </c>
      <c r="BI35" s="193">
        <f t="shared" si="17"/>
        <v>0</v>
      </c>
      <c r="BL35" s="193">
        <f t="shared" si="18"/>
        <v>0</v>
      </c>
      <c r="BO35" s="193">
        <f t="shared" si="19"/>
        <v>0</v>
      </c>
      <c r="BR35" s="193">
        <f t="shared" si="20"/>
        <v>0</v>
      </c>
      <c r="BU35" s="193">
        <f t="shared" si="21"/>
        <v>0</v>
      </c>
      <c r="BX35" s="193">
        <f t="shared" si="22"/>
        <v>0</v>
      </c>
      <c r="CA35" s="193">
        <f t="shared" si="23"/>
        <v>0</v>
      </c>
      <c r="CD35" s="193">
        <f t="shared" si="24"/>
        <v>0</v>
      </c>
      <c r="CG35" s="193">
        <f t="shared" si="25"/>
        <v>0</v>
      </c>
      <c r="CJ35" s="193">
        <f t="shared" si="26"/>
        <v>0</v>
      </c>
      <c r="CM35" s="193">
        <f t="shared" si="27"/>
        <v>0</v>
      </c>
      <c r="CP35" s="193">
        <f t="shared" si="28"/>
        <v>0</v>
      </c>
      <c r="CS35" s="193">
        <f t="shared" si="29"/>
        <v>0</v>
      </c>
      <c r="CV35" s="193">
        <f t="shared" si="30"/>
        <v>0</v>
      </c>
      <c r="CY35" s="193">
        <f t="shared" si="31"/>
        <v>0</v>
      </c>
      <c r="DB35" s="193">
        <f t="shared" si="32"/>
        <v>0</v>
      </c>
      <c r="DE35" s="193">
        <f t="shared" si="33"/>
        <v>0</v>
      </c>
      <c r="DH35" s="193">
        <f t="shared" si="34"/>
        <v>0</v>
      </c>
      <c r="DK35" s="193">
        <f t="shared" si="35"/>
        <v>0</v>
      </c>
      <c r="DN35" s="193">
        <f t="shared" si="36"/>
        <v>0</v>
      </c>
      <c r="DQ35" s="193">
        <f t="shared" si="37"/>
        <v>0</v>
      </c>
      <c r="DT35" s="193">
        <f t="shared" si="38"/>
        <v>0</v>
      </c>
      <c r="DW35" s="193">
        <f t="shared" si="39"/>
        <v>0</v>
      </c>
      <c r="DZ35" s="193"/>
      <c r="EA35" s="193"/>
      <c r="EB35" s="228">
        <f t="shared" si="40"/>
        <v>95200000</v>
      </c>
      <c r="EC35" s="228">
        <f t="shared" si="41"/>
        <v>0</v>
      </c>
      <c r="ED35" s="193">
        <f t="shared" si="42"/>
        <v>528.88888888888891</v>
      </c>
      <c r="EE35" s="194">
        <f t="shared" si="43"/>
        <v>2E-3</v>
      </c>
      <c r="EG35" s="228">
        <f t="shared" si="44"/>
        <v>0</v>
      </c>
      <c r="EH35" s="193">
        <f t="shared" si="45"/>
        <v>0</v>
      </c>
      <c r="EI35" s="194">
        <f t="shared" si="46"/>
        <v>0</v>
      </c>
      <c r="EJ35" s="194"/>
      <c r="EK35" s="228">
        <f t="shared" si="47"/>
        <v>95200000</v>
      </c>
      <c r="EL35" s="228">
        <f t="shared" si="48"/>
        <v>0</v>
      </c>
      <c r="EM35" s="228">
        <f t="shared" si="49"/>
        <v>528.88888888888891</v>
      </c>
      <c r="EN35" s="194">
        <f t="shared" si="50"/>
        <v>2E-3</v>
      </c>
      <c r="EP35" s="193"/>
    </row>
    <row r="36" spans="1:146" x14ac:dyDescent="0.2">
      <c r="A36" s="225">
        <f t="shared" si="51"/>
        <v>44222</v>
      </c>
      <c r="B36" s="193">
        <v>0</v>
      </c>
      <c r="C36" s="194">
        <v>2.7180300000000002E-3</v>
      </c>
      <c r="D36" s="193">
        <f t="shared" si="0"/>
        <v>0</v>
      </c>
      <c r="G36" s="193">
        <f t="shared" si="1"/>
        <v>0</v>
      </c>
      <c r="J36" s="193">
        <f t="shared" si="2"/>
        <v>0</v>
      </c>
      <c r="M36" s="193">
        <f t="shared" si="3"/>
        <v>0</v>
      </c>
      <c r="P36" s="193">
        <f t="shared" si="4"/>
        <v>0</v>
      </c>
      <c r="S36" s="193">
        <f t="shared" si="5"/>
        <v>0</v>
      </c>
      <c r="V36" s="193">
        <f t="shared" si="6"/>
        <v>0</v>
      </c>
      <c r="Y36" s="193">
        <f t="shared" si="7"/>
        <v>0</v>
      </c>
      <c r="AB36" s="193">
        <f t="shared" si="8"/>
        <v>0</v>
      </c>
      <c r="AE36" s="193">
        <v>0</v>
      </c>
      <c r="AH36" s="193">
        <v>0</v>
      </c>
      <c r="AI36" s="226">
        <f>87425000</f>
        <v>87425000</v>
      </c>
      <c r="AJ36" s="227">
        <v>2E-3</v>
      </c>
      <c r="AK36" s="193">
        <f t="shared" si="9"/>
        <v>485.69444444444446</v>
      </c>
      <c r="AL36" s="226"/>
      <c r="AM36" s="227"/>
      <c r="AN36" s="193">
        <f t="shared" si="10"/>
        <v>0</v>
      </c>
      <c r="AO36" s="226"/>
      <c r="AP36" s="227"/>
      <c r="AQ36" s="193">
        <f t="shared" si="11"/>
        <v>0</v>
      </c>
      <c r="AR36" s="226"/>
      <c r="AS36" s="227"/>
      <c r="AT36" s="193">
        <f t="shared" si="12"/>
        <v>0</v>
      </c>
      <c r="AW36" s="193">
        <f t="shared" si="13"/>
        <v>0</v>
      </c>
      <c r="AZ36" s="193">
        <f t="shared" si="14"/>
        <v>0</v>
      </c>
      <c r="BC36" s="193">
        <f t="shared" si="15"/>
        <v>0</v>
      </c>
      <c r="BF36" s="193">
        <f t="shared" si="16"/>
        <v>0</v>
      </c>
      <c r="BI36" s="193">
        <f t="shared" si="17"/>
        <v>0</v>
      </c>
      <c r="BL36" s="193">
        <f t="shared" si="18"/>
        <v>0</v>
      </c>
      <c r="BO36" s="193">
        <f t="shared" si="19"/>
        <v>0</v>
      </c>
      <c r="BR36" s="193">
        <f t="shared" si="20"/>
        <v>0</v>
      </c>
      <c r="BU36" s="193">
        <f t="shared" si="21"/>
        <v>0</v>
      </c>
      <c r="BX36" s="193">
        <f t="shared" si="22"/>
        <v>0</v>
      </c>
      <c r="CA36" s="193">
        <f t="shared" si="23"/>
        <v>0</v>
      </c>
      <c r="CD36" s="193">
        <f t="shared" si="24"/>
        <v>0</v>
      </c>
      <c r="CG36" s="193">
        <f t="shared" si="25"/>
        <v>0</v>
      </c>
      <c r="CJ36" s="193">
        <f t="shared" si="26"/>
        <v>0</v>
      </c>
      <c r="CM36" s="193">
        <f t="shared" si="27"/>
        <v>0</v>
      </c>
      <c r="CP36" s="193">
        <f t="shared" si="28"/>
        <v>0</v>
      </c>
      <c r="CS36" s="193">
        <f t="shared" si="29"/>
        <v>0</v>
      </c>
      <c r="CV36" s="193">
        <f t="shared" si="30"/>
        <v>0</v>
      </c>
      <c r="CY36" s="193">
        <f t="shared" si="31"/>
        <v>0</v>
      </c>
      <c r="DB36" s="193">
        <f t="shared" si="32"/>
        <v>0</v>
      </c>
      <c r="DE36" s="193">
        <f t="shared" si="33"/>
        <v>0</v>
      </c>
      <c r="DH36" s="193">
        <f t="shared" si="34"/>
        <v>0</v>
      </c>
      <c r="DK36" s="193">
        <f t="shared" si="35"/>
        <v>0</v>
      </c>
      <c r="DN36" s="193">
        <f t="shared" si="36"/>
        <v>0</v>
      </c>
      <c r="DQ36" s="193">
        <f t="shared" si="37"/>
        <v>0</v>
      </c>
      <c r="DT36" s="193">
        <f t="shared" si="38"/>
        <v>0</v>
      </c>
      <c r="DW36" s="193">
        <f t="shared" si="39"/>
        <v>0</v>
      </c>
      <c r="DZ36" s="193"/>
      <c r="EA36" s="193"/>
      <c r="EB36" s="228">
        <f t="shared" si="40"/>
        <v>87425000</v>
      </c>
      <c r="EC36" s="228">
        <f t="shared" si="41"/>
        <v>0</v>
      </c>
      <c r="ED36" s="193">
        <f t="shared" si="42"/>
        <v>485.69444444444446</v>
      </c>
      <c r="EE36" s="194">
        <f t="shared" si="43"/>
        <v>2E-3</v>
      </c>
      <c r="EG36" s="228">
        <f t="shared" si="44"/>
        <v>0</v>
      </c>
      <c r="EH36" s="193">
        <f t="shared" si="45"/>
        <v>0</v>
      </c>
      <c r="EI36" s="194">
        <f t="shared" si="46"/>
        <v>0</v>
      </c>
      <c r="EJ36" s="194"/>
      <c r="EK36" s="228">
        <f t="shared" si="47"/>
        <v>87425000</v>
      </c>
      <c r="EL36" s="228">
        <f t="shared" si="48"/>
        <v>0</v>
      </c>
      <c r="EM36" s="228">
        <f t="shared" si="49"/>
        <v>485.69444444444446</v>
      </c>
      <c r="EN36" s="194">
        <f t="shared" si="50"/>
        <v>2E-3</v>
      </c>
      <c r="EP36" s="193"/>
    </row>
    <row r="37" spans="1:146" x14ac:dyDescent="0.2">
      <c r="A37" s="225">
        <f t="shared" si="51"/>
        <v>44223</v>
      </c>
      <c r="B37" s="193">
        <v>0</v>
      </c>
      <c r="C37" s="194">
        <v>2.7089100000000001E-3</v>
      </c>
      <c r="D37" s="193">
        <f t="shared" si="0"/>
        <v>0</v>
      </c>
      <c r="G37" s="193">
        <f t="shared" si="1"/>
        <v>0</v>
      </c>
      <c r="J37" s="193">
        <f t="shared" si="2"/>
        <v>0</v>
      </c>
      <c r="M37" s="193">
        <f t="shared" si="3"/>
        <v>0</v>
      </c>
      <c r="P37" s="193">
        <f t="shared" si="4"/>
        <v>0</v>
      </c>
      <c r="S37" s="193">
        <f t="shared" si="5"/>
        <v>0</v>
      </c>
      <c r="V37" s="193">
        <f t="shared" si="6"/>
        <v>0</v>
      </c>
      <c r="Y37" s="193">
        <f t="shared" si="7"/>
        <v>0</v>
      </c>
      <c r="AB37" s="193">
        <f t="shared" si="8"/>
        <v>0</v>
      </c>
      <c r="AE37" s="193">
        <v>0</v>
      </c>
      <c r="AH37" s="193">
        <v>0</v>
      </c>
      <c r="AI37" s="226">
        <f>79850000</f>
        <v>79850000</v>
      </c>
      <c r="AJ37" s="227">
        <v>2E-3</v>
      </c>
      <c r="AK37" s="193">
        <f t="shared" si="9"/>
        <v>443.61111111111109</v>
      </c>
      <c r="AL37" s="226"/>
      <c r="AM37" s="227"/>
      <c r="AN37" s="193">
        <f t="shared" si="10"/>
        <v>0</v>
      </c>
      <c r="AO37" s="226"/>
      <c r="AP37" s="227"/>
      <c r="AQ37" s="193">
        <f t="shared" si="11"/>
        <v>0</v>
      </c>
      <c r="AR37" s="226"/>
      <c r="AS37" s="227"/>
      <c r="AT37" s="193">
        <f t="shared" si="12"/>
        <v>0</v>
      </c>
      <c r="AW37" s="193">
        <f t="shared" si="13"/>
        <v>0</v>
      </c>
      <c r="AZ37" s="193">
        <f t="shared" si="14"/>
        <v>0</v>
      </c>
      <c r="BC37" s="193">
        <f t="shared" si="15"/>
        <v>0</v>
      </c>
      <c r="BF37" s="193">
        <f t="shared" si="16"/>
        <v>0</v>
      </c>
      <c r="BI37" s="193">
        <f t="shared" si="17"/>
        <v>0</v>
      </c>
      <c r="BL37" s="193">
        <f t="shared" si="18"/>
        <v>0</v>
      </c>
      <c r="BO37" s="193">
        <f t="shared" si="19"/>
        <v>0</v>
      </c>
      <c r="BR37" s="193">
        <f t="shared" si="20"/>
        <v>0</v>
      </c>
      <c r="BU37" s="193">
        <f t="shared" si="21"/>
        <v>0</v>
      </c>
      <c r="BX37" s="193">
        <f t="shared" si="22"/>
        <v>0</v>
      </c>
      <c r="CA37" s="193">
        <f t="shared" si="23"/>
        <v>0</v>
      </c>
      <c r="CD37" s="193">
        <f t="shared" si="24"/>
        <v>0</v>
      </c>
      <c r="CG37" s="193">
        <f t="shared" si="25"/>
        <v>0</v>
      </c>
      <c r="CJ37" s="193">
        <f t="shared" si="26"/>
        <v>0</v>
      </c>
      <c r="CM37" s="193">
        <f t="shared" si="27"/>
        <v>0</v>
      </c>
      <c r="CP37" s="193">
        <f t="shared" si="28"/>
        <v>0</v>
      </c>
      <c r="CS37" s="193">
        <f t="shared" si="29"/>
        <v>0</v>
      </c>
      <c r="CV37" s="193">
        <f t="shared" si="30"/>
        <v>0</v>
      </c>
      <c r="CY37" s="193">
        <f t="shared" si="31"/>
        <v>0</v>
      </c>
      <c r="DB37" s="193">
        <f t="shared" si="32"/>
        <v>0</v>
      </c>
      <c r="DE37" s="193">
        <f t="shared" si="33"/>
        <v>0</v>
      </c>
      <c r="DH37" s="193">
        <f t="shared" si="34"/>
        <v>0</v>
      </c>
      <c r="DK37" s="193">
        <f t="shared" si="35"/>
        <v>0</v>
      </c>
      <c r="DN37" s="193">
        <f t="shared" si="36"/>
        <v>0</v>
      </c>
      <c r="DQ37" s="193">
        <f t="shared" si="37"/>
        <v>0</v>
      </c>
      <c r="DT37" s="193">
        <f t="shared" si="38"/>
        <v>0</v>
      </c>
      <c r="DW37" s="193">
        <f t="shared" si="39"/>
        <v>0</v>
      </c>
      <c r="DZ37" s="193"/>
      <c r="EA37" s="193"/>
      <c r="EB37" s="228">
        <f t="shared" si="40"/>
        <v>79850000</v>
      </c>
      <c r="EC37" s="228">
        <f t="shared" si="41"/>
        <v>0</v>
      </c>
      <c r="ED37" s="193">
        <f t="shared" si="42"/>
        <v>443.61111111111109</v>
      </c>
      <c r="EE37" s="194">
        <f t="shared" si="43"/>
        <v>1.9999999999999996E-3</v>
      </c>
      <c r="EG37" s="228">
        <f t="shared" si="44"/>
        <v>0</v>
      </c>
      <c r="EH37" s="193">
        <f t="shared" si="45"/>
        <v>0</v>
      </c>
      <c r="EI37" s="194">
        <f t="shared" si="46"/>
        <v>0</v>
      </c>
      <c r="EJ37" s="194"/>
      <c r="EK37" s="228">
        <f t="shared" si="47"/>
        <v>79850000</v>
      </c>
      <c r="EL37" s="228">
        <f t="shared" si="48"/>
        <v>0</v>
      </c>
      <c r="EM37" s="228">
        <f t="shared" si="49"/>
        <v>443.61111111111109</v>
      </c>
      <c r="EN37" s="194">
        <f t="shared" si="50"/>
        <v>1.9999999999999996E-3</v>
      </c>
      <c r="EP37" s="193"/>
    </row>
    <row r="38" spans="1:146" x14ac:dyDescent="0.2">
      <c r="A38" s="225">
        <f t="shared" si="51"/>
        <v>44224</v>
      </c>
      <c r="B38" s="193">
        <v>0</v>
      </c>
      <c r="C38" s="194">
        <v>2.6895200000000004E-3</v>
      </c>
      <c r="D38" s="193">
        <f t="shared" si="0"/>
        <v>0</v>
      </c>
      <c r="G38" s="193">
        <f t="shared" si="1"/>
        <v>0</v>
      </c>
      <c r="J38" s="193">
        <f t="shared" si="2"/>
        <v>0</v>
      </c>
      <c r="M38" s="193">
        <f t="shared" si="3"/>
        <v>0</v>
      </c>
      <c r="P38" s="193">
        <f t="shared" si="4"/>
        <v>0</v>
      </c>
      <c r="S38" s="193">
        <f t="shared" si="5"/>
        <v>0</v>
      </c>
      <c r="V38" s="193">
        <f t="shared" si="6"/>
        <v>0</v>
      </c>
      <c r="Y38" s="193">
        <f t="shared" si="7"/>
        <v>0</v>
      </c>
      <c r="AB38" s="193">
        <f t="shared" si="8"/>
        <v>0</v>
      </c>
      <c r="AE38" s="193">
        <v>0</v>
      </c>
      <c r="AH38" s="193">
        <v>0</v>
      </c>
      <c r="AI38" s="226">
        <f>90700000</f>
        <v>90700000</v>
      </c>
      <c r="AJ38" s="227">
        <v>2E-3</v>
      </c>
      <c r="AK38" s="193">
        <f t="shared" si="9"/>
        <v>503.88888888888891</v>
      </c>
      <c r="AL38" s="226"/>
      <c r="AM38" s="227"/>
      <c r="AN38" s="193">
        <f t="shared" si="10"/>
        <v>0</v>
      </c>
      <c r="AO38" s="226"/>
      <c r="AP38" s="227"/>
      <c r="AQ38" s="193">
        <f t="shared" si="11"/>
        <v>0</v>
      </c>
      <c r="AR38" s="226"/>
      <c r="AS38" s="227"/>
      <c r="AT38" s="193">
        <f t="shared" si="12"/>
        <v>0</v>
      </c>
      <c r="AW38" s="193">
        <f t="shared" si="13"/>
        <v>0</v>
      </c>
      <c r="AZ38" s="193">
        <f t="shared" si="14"/>
        <v>0</v>
      </c>
      <c r="BC38" s="193">
        <f t="shared" si="15"/>
        <v>0</v>
      </c>
      <c r="BF38" s="193">
        <f t="shared" si="16"/>
        <v>0</v>
      </c>
      <c r="BI38" s="193">
        <f t="shared" si="17"/>
        <v>0</v>
      </c>
      <c r="BL38" s="193">
        <f t="shared" si="18"/>
        <v>0</v>
      </c>
      <c r="BO38" s="193">
        <f t="shared" si="19"/>
        <v>0</v>
      </c>
      <c r="BR38" s="193">
        <f t="shared" si="20"/>
        <v>0</v>
      </c>
      <c r="BU38" s="193">
        <f t="shared" si="21"/>
        <v>0</v>
      </c>
      <c r="BX38" s="193">
        <f t="shared" si="22"/>
        <v>0</v>
      </c>
      <c r="CA38" s="193">
        <f t="shared" si="23"/>
        <v>0</v>
      </c>
      <c r="CD38" s="193">
        <f t="shared" si="24"/>
        <v>0</v>
      </c>
      <c r="CG38" s="193">
        <f t="shared" si="25"/>
        <v>0</v>
      </c>
      <c r="CJ38" s="193">
        <f t="shared" si="26"/>
        <v>0</v>
      </c>
      <c r="CM38" s="193">
        <f t="shared" si="27"/>
        <v>0</v>
      </c>
      <c r="CP38" s="193">
        <f t="shared" si="28"/>
        <v>0</v>
      </c>
      <c r="CS38" s="193">
        <f t="shared" si="29"/>
        <v>0</v>
      </c>
      <c r="CV38" s="193">
        <f t="shared" si="30"/>
        <v>0</v>
      </c>
      <c r="CY38" s="193">
        <f t="shared" si="31"/>
        <v>0</v>
      </c>
      <c r="DB38" s="193">
        <f t="shared" si="32"/>
        <v>0</v>
      </c>
      <c r="DE38" s="193">
        <f t="shared" si="33"/>
        <v>0</v>
      </c>
      <c r="DH38" s="193">
        <f t="shared" si="34"/>
        <v>0</v>
      </c>
      <c r="DK38" s="193">
        <f t="shared" si="35"/>
        <v>0</v>
      </c>
      <c r="DN38" s="193">
        <f t="shared" si="36"/>
        <v>0</v>
      </c>
      <c r="DQ38" s="193">
        <f t="shared" si="37"/>
        <v>0</v>
      </c>
      <c r="DT38" s="193">
        <f t="shared" si="38"/>
        <v>0</v>
      </c>
      <c r="DW38" s="193">
        <f t="shared" si="39"/>
        <v>0</v>
      </c>
      <c r="DZ38" s="193"/>
      <c r="EA38" s="193"/>
      <c r="EB38" s="228">
        <f t="shared" si="40"/>
        <v>90700000</v>
      </c>
      <c r="EC38" s="228">
        <f t="shared" si="41"/>
        <v>0</v>
      </c>
      <c r="ED38" s="193">
        <f t="shared" si="42"/>
        <v>503.88888888888891</v>
      </c>
      <c r="EE38" s="194">
        <f t="shared" si="43"/>
        <v>2E-3</v>
      </c>
      <c r="EG38" s="228">
        <f t="shared" si="44"/>
        <v>0</v>
      </c>
      <c r="EH38" s="193">
        <f t="shared" si="45"/>
        <v>0</v>
      </c>
      <c r="EI38" s="194">
        <f t="shared" si="46"/>
        <v>0</v>
      </c>
      <c r="EJ38" s="194"/>
      <c r="EK38" s="228">
        <f t="shared" si="47"/>
        <v>90700000</v>
      </c>
      <c r="EL38" s="228">
        <f t="shared" si="48"/>
        <v>0</v>
      </c>
      <c r="EM38" s="228">
        <f t="shared" si="49"/>
        <v>503.88888888888891</v>
      </c>
      <c r="EN38" s="194">
        <f t="shared" si="50"/>
        <v>2E-3</v>
      </c>
      <c r="EP38" s="193"/>
    </row>
    <row r="39" spans="1:146" x14ac:dyDescent="0.2">
      <c r="A39" s="225">
        <f t="shared" si="51"/>
        <v>44225</v>
      </c>
      <c r="B39" s="193">
        <v>0</v>
      </c>
      <c r="C39" s="194">
        <v>2.6792700000000001E-3</v>
      </c>
      <c r="D39" s="193">
        <f t="shared" si="0"/>
        <v>0</v>
      </c>
      <c r="G39" s="193">
        <f t="shared" si="1"/>
        <v>0</v>
      </c>
      <c r="J39" s="193">
        <f t="shared" si="2"/>
        <v>0</v>
      </c>
      <c r="M39" s="193">
        <f t="shared" si="3"/>
        <v>0</v>
      </c>
      <c r="P39" s="193">
        <f t="shared" si="4"/>
        <v>0</v>
      </c>
      <c r="S39" s="193">
        <f t="shared" si="5"/>
        <v>0</v>
      </c>
      <c r="V39" s="193">
        <f t="shared" si="6"/>
        <v>0</v>
      </c>
      <c r="Y39" s="193">
        <f t="shared" si="7"/>
        <v>0</v>
      </c>
      <c r="AB39" s="193">
        <f t="shared" si="8"/>
        <v>0</v>
      </c>
      <c r="AE39" s="193">
        <v>0</v>
      </c>
      <c r="AH39" s="193">
        <v>0</v>
      </c>
      <c r="AI39" s="226">
        <f>50900000</f>
        <v>50900000</v>
      </c>
      <c r="AJ39" s="227">
        <v>2E-3</v>
      </c>
      <c r="AK39" s="193">
        <f t="shared" si="9"/>
        <v>282.77777777777777</v>
      </c>
      <c r="AL39" s="226">
        <f>14000000+6000000+35000000</f>
        <v>55000000</v>
      </c>
      <c r="AM39" s="227">
        <v>2.5000000000000001E-3</v>
      </c>
      <c r="AN39" s="193">
        <f t="shared" si="10"/>
        <v>381.94444444444446</v>
      </c>
      <c r="AO39" s="226"/>
      <c r="AP39" s="227"/>
      <c r="AQ39" s="193">
        <f t="shared" si="11"/>
        <v>0</v>
      </c>
      <c r="AR39" s="226"/>
      <c r="AS39" s="227"/>
      <c r="AT39" s="193">
        <f t="shared" si="12"/>
        <v>0</v>
      </c>
      <c r="AW39" s="193">
        <f t="shared" si="13"/>
        <v>0</v>
      </c>
      <c r="AZ39" s="193">
        <f t="shared" si="14"/>
        <v>0</v>
      </c>
      <c r="BC39" s="193">
        <f t="shared" si="15"/>
        <v>0</v>
      </c>
      <c r="BF39" s="193">
        <f t="shared" si="16"/>
        <v>0</v>
      </c>
      <c r="BI39" s="193">
        <f t="shared" si="17"/>
        <v>0</v>
      </c>
      <c r="BL39" s="193">
        <f t="shared" si="18"/>
        <v>0</v>
      </c>
      <c r="BO39" s="193">
        <f t="shared" si="19"/>
        <v>0</v>
      </c>
      <c r="BR39" s="193">
        <f t="shared" si="20"/>
        <v>0</v>
      </c>
      <c r="BU39" s="193">
        <f t="shared" si="21"/>
        <v>0</v>
      </c>
      <c r="BX39" s="193">
        <f t="shared" si="22"/>
        <v>0</v>
      </c>
      <c r="CA39" s="193">
        <f t="shared" si="23"/>
        <v>0</v>
      </c>
      <c r="CD39" s="193">
        <f t="shared" si="24"/>
        <v>0</v>
      </c>
      <c r="CG39" s="193">
        <f t="shared" si="25"/>
        <v>0</v>
      </c>
      <c r="CJ39" s="193">
        <f t="shared" si="26"/>
        <v>0</v>
      </c>
      <c r="CM39" s="193">
        <f t="shared" si="27"/>
        <v>0</v>
      </c>
      <c r="CP39" s="193">
        <f t="shared" si="28"/>
        <v>0</v>
      </c>
      <c r="CS39" s="193">
        <f t="shared" si="29"/>
        <v>0</v>
      </c>
      <c r="CV39" s="193">
        <f t="shared" si="30"/>
        <v>0</v>
      </c>
      <c r="CY39" s="193">
        <f t="shared" si="31"/>
        <v>0</v>
      </c>
      <c r="DB39" s="193">
        <f t="shared" si="32"/>
        <v>0</v>
      </c>
      <c r="DE39" s="193">
        <f t="shared" si="33"/>
        <v>0</v>
      </c>
      <c r="DH39" s="193">
        <f t="shared" si="34"/>
        <v>0</v>
      </c>
      <c r="DK39" s="193">
        <f t="shared" si="35"/>
        <v>0</v>
      </c>
      <c r="DN39" s="193">
        <f t="shared" si="36"/>
        <v>0</v>
      </c>
      <c r="DQ39" s="193">
        <f t="shared" si="37"/>
        <v>0</v>
      </c>
      <c r="DT39" s="193">
        <f t="shared" si="38"/>
        <v>0</v>
      </c>
      <c r="DW39" s="193">
        <f t="shared" si="39"/>
        <v>0</v>
      </c>
      <c r="DZ39" s="193"/>
      <c r="EA39" s="193"/>
      <c r="EB39" s="228">
        <f t="shared" si="40"/>
        <v>105900000</v>
      </c>
      <c r="EC39" s="228">
        <f t="shared" si="41"/>
        <v>0</v>
      </c>
      <c r="ED39" s="193">
        <f t="shared" si="42"/>
        <v>664.72222222222217</v>
      </c>
      <c r="EE39" s="194">
        <f t="shared" si="43"/>
        <v>2.2596789423984889E-3</v>
      </c>
      <c r="EG39" s="228">
        <f t="shared" si="44"/>
        <v>0</v>
      </c>
      <c r="EH39" s="193">
        <f t="shared" si="45"/>
        <v>0</v>
      </c>
      <c r="EI39" s="194">
        <f t="shared" si="46"/>
        <v>0</v>
      </c>
      <c r="EJ39" s="194"/>
      <c r="EK39" s="228">
        <f t="shared" si="47"/>
        <v>105900000</v>
      </c>
      <c r="EL39" s="228">
        <f t="shared" si="48"/>
        <v>0</v>
      </c>
      <c r="EM39" s="228">
        <f t="shared" si="49"/>
        <v>664.72222222222217</v>
      </c>
      <c r="EN39" s="194">
        <f t="shared" si="50"/>
        <v>2.2596789423984889E-3</v>
      </c>
      <c r="EP39" s="193"/>
    </row>
    <row r="40" spans="1:146" x14ac:dyDescent="0.2">
      <c r="A40" s="225">
        <f t="shared" si="51"/>
        <v>44226</v>
      </c>
      <c r="B40" s="193">
        <v>0</v>
      </c>
      <c r="C40" s="194">
        <v>2.6792700000000001E-3</v>
      </c>
      <c r="D40" s="193">
        <f t="shared" si="0"/>
        <v>0</v>
      </c>
      <c r="G40" s="193">
        <f t="shared" si="1"/>
        <v>0</v>
      </c>
      <c r="J40" s="193">
        <f t="shared" si="2"/>
        <v>0</v>
      </c>
      <c r="M40" s="193">
        <f t="shared" si="3"/>
        <v>0</v>
      </c>
      <c r="P40" s="193">
        <f t="shared" si="4"/>
        <v>0</v>
      </c>
      <c r="S40" s="193">
        <f t="shared" si="5"/>
        <v>0</v>
      </c>
      <c r="V40" s="193">
        <f t="shared" si="6"/>
        <v>0</v>
      </c>
      <c r="Y40" s="193">
        <f t="shared" si="7"/>
        <v>0</v>
      </c>
      <c r="AB40" s="193">
        <f t="shared" si="8"/>
        <v>0</v>
      </c>
      <c r="AE40" s="193">
        <v>0</v>
      </c>
      <c r="AH40" s="193">
        <v>0</v>
      </c>
      <c r="AI40" s="226">
        <f>50900000</f>
        <v>50900000</v>
      </c>
      <c r="AJ40" s="227">
        <v>2E-3</v>
      </c>
      <c r="AK40" s="193">
        <f t="shared" si="9"/>
        <v>282.77777777777777</v>
      </c>
      <c r="AL40" s="226">
        <f>14000000+6000000+35000000</f>
        <v>55000000</v>
      </c>
      <c r="AM40" s="227">
        <v>2.5000000000000001E-3</v>
      </c>
      <c r="AN40" s="193">
        <f t="shared" si="10"/>
        <v>381.94444444444446</v>
      </c>
      <c r="AO40" s="226"/>
      <c r="AP40" s="227"/>
      <c r="AQ40" s="193">
        <f t="shared" si="11"/>
        <v>0</v>
      </c>
      <c r="AR40" s="226"/>
      <c r="AS40" s="227"/>
      <c r="AT40" s="193">
        <f t="shared" si="12"/>
        <v>0</v>
      </c>
      <c r="AW40" s="193">
        <f t="shared" si="13"/>
        <v>0</v>
      </c>
      <c r="AZ40" s="193">
        <f t="shared" si="14"/>
        <v>0</v>
      </c>
      <c r="BC40" s="193">
        <f t="shared" si="15"/>
        <v>0</v>
      </c>
      <c r="BF40" s="193">
        <f t="shared" si="16"/>
        <v>0</v>
      </c>
      <c r="BI40" s="193">
        <f t="shared" si="17"/>
        <v>0</v>
      </c>
      <c r="BL40" s="193">
        <f t="shared" si="18"/>
        <v>0</v>
      </c>
      <c r="BO40" s="193">
        <f t="shared" si="19"/>
        <v>0</v>
      </c>
      <c r="BR40" s="193">
        <f t="shared" si="20"/>
        <v>0</v>
      </c>
      <c r="BU40" s="193">
        <f t="shared" si="21"/>
        <v>0</v>
      </c>
      <c r="BX40" s="193">
        <f t="shared" si="22"/>
        <v>0</v>
      </c>
      <c r="CA40" s="193">
        <f t="shared" si="23"/>
        <v>0</v>
      </c>
      <c r="CD40" s="193">
        <f t="shared" si="24"/>
        <v>0</v>
      </c>
      <c r="CG40" s="193">
        <f t="shared" si="25"/>
        <v>0</v>
      </c>
      <c r="CJ40" s="193">
        <f t="shared" si="26"/>
        <v>0</v>
      </c>
      <c r="CM40" s="193">
        <f t="shared" si="27"/>
        <v>0</v>
      </c>
      <c r="CP40" s="193">
        <f t="shared" si="28"/>
        <v>0</v>
      </c>
      <c r="CS40" s="193">
        <f t="shared" si="29"/>
        <v>0</v>
      </c>
      <c r="CV40" s="193">
        <f t="shared" si="30"/>
        <v>0</v>
      </c>
      <c r="CY40" s="193">
        <f t="shared" si="31"/>
        <v>0</v>
      </c>
      <c r="DB40" s="193">
        <f t="shared" si="32"/>
        <v>0</v>
      </c>
      <c r="DE40" s="193">
        <f t="shared" si="33"/>
        <v>0</v>
      </c>
      <c r="DH40" s="193">
        <f t="shared" si="34"/>
        <v>0</v>
      </c>
      <c r="DK40" s="193">
        <f t="shared" si="35"/>
        <v>0</v>
      </c>
      <c r="DN40" s="193">
        <f t="shared" si="36"/>
        <v>0</v>
      </c>
      <c r="DQ40" s="193">
        <f t="shared" si="37"/>
        <v>0</v>
      </c>
      <c r="DT40" s="193">
        <f t="shared" si="38"/>
        <v>0</v>
      </c>
      <c r="DW40" s="193">
        <f t="shared" si="39"/>
        <v>0</v>
      </c>
      <c r="DZ40" s="191"/>
      <c r="EA40" s="193"/>
      <c r="EB40" s="228">
        <f t="shared" si="40"/>
        <v>105900000</v>
      </c>
      <c r="EC40" s="228">
        <f t="shared" si="41"/>
        <v>0</v>
      </c>
      <c r="ED40" s="193">
        <f t="shared" si="42"/>
        <v>664.72222222222217</v>
      </c>
      <c r="EE40" s="194">
        <f t="shared" si="43"/>
        <v>2.2596789423984889E-3</v>
      </c>
      <c r="EG40" s="228">
        <f t="shared" si="44"/>
        <v>0</v>
      </c>
      <c r="EH40" s="193">
        <f t="shared" si="45"/>
        <v>0</v>
      </c>
      <c r="EI40" s="194">
        <f t="shared" si="46"/>
        <v>0</v>
      </c>
      <c r="EJ40" s="194"/>
      <c r="EK40" s="228">
        <f t="shared" si="47"/>
        <v>105900000</v>
      </c>
      <c r="EL40" s="228">
        <f t="shared" si="48"/>
        <v>0</v>
      </c>
      <c r="EM40" s="228">
        <f t="shared" si="49"/>
        <v>664.72222222222217</v>
      </c>
      <c r="EN40" s="194">
        <f t="shared" si="50"/>
        <v>2.2596789423984889E-3</v>
      </c>
      <c r="EP40" s="193"/>
    </row>
    <row r="41" spans="1:146" x14ac:dyDescent="0.2">
      <c r="A41" s="225">
        <f t="shared" si="51"/>
        <v>44227</v>
      </c>
      <c r="B41" s="193">
        <v>0</v>
      </c>
      <c r="C41" s="194">
        <v>2.6792700000000001E-3</v>
      </c>
      <c r="D41" s="193">
        <f t="shared" si="0"/>
        <v>0</v>
      </c>
      <c r="G41" s="193">
        <f t="shared" si="1"/>
        <v>0</v>
      </c>
      <c r="J41" s="193">
        <f t="shared" si="2"/>
        <v>0</v>
      </c>
      <c r="M41" s="193">
        <f t="shared" si="3"/>
        <v>0</v>
      </c>
      <c r="P41" s="193">
        <f t="shared" si="4"/>
        <v>0</v>
      </c>
      <c r="S41" s="193">
        <f t="shared" si="5"/>
        <v>0</v>
      </c>
      <c r="V41" s="193">
        <f t="shared" si="6"/>
        <v>0</v>
      </c>
      <c r="Y41" s="193">
        <f t="shared" si="7"/>
        <v>0</v>
      </c>
      <c r="AB41" s="193">
        <f t="shared" si="8"/>
        <v>0</v>
      </c>
      <c r="AE41" s="193">
        <v>0</v>
      </c>
      <c r="AH41" s="193">
        <v>0</v>
      </c>
      <c r="AI41" s="226">
        <f>50900000</f>
        <v>50900000</v>
      </c>
      <c r="AJ41" s="227">
        <v>2E-3</v>
      </c>
      <c r="AK41" s="193">
        <f t="shared" si="9"/>
        <v>282.77777777777777</v>
      </c>
      <c r="AL41" s="226">
        <f>14000000+6000000+35000000</f>
        <v>55000000</v>
      </c>
      <c r="AM41" s="227">
        <v>2.5000000000000001E-3</v>
      </c>
      <c r="AN41" s="193">
        <f t="shared" si="10"/>
        <v>381.94444444444446</v>
      </c>
      <c r="AO41" s="226"/>
      <c r="AP41" s="227"/>
      <c r="AQ41" s="193">
        <f t="shared" si="11"/>
        <v>0</v>
      </c>
      <c r="AR41" s="226"/>
      <c r="AS41" s="227"/>
      <c r="AT41" s="193">
        <f t="shared" si="12"/>
        <v>0</v>
      </c>
      <c r="AW41" s="193">
        <f t="shared" si="13"/>
        <v>0</v>
      </c>
      <c r="AZ41" s="193">
        <f t="shared" si="14"/>
        <v>0</v>
      </c>
      <c r="BC41" s="193">
        <f t="shared" si="15"/>
        <v>0</v>
      </c>
      <c r="BF41" s="193">
        <f t="shared" si="16"/>
        <v>0</v>
      </c>
      <c r="BI41" s="193">
        <f t="shared" si="17"/>
        <v>0</v>
      </c>
      <c r="BL41" s="193">
        <f t="shared" si="18"/>
        <v>0</v>
      </c>
      <c r="BO41" s="193">
        <f t="shared" si="19"/>
        <v>0</v>
      </c>
      <c r="BR41" s="193">
        <f t="shared" si="20"/>
        <v>0</v>
      </c>
      <c r="BU41" s="193">
        <f t="shared" si="21"/>
        <v>0</v>
      </c>
      <c r="BX41" s="193">
        <f t="shared" si="22"/>
        <v>0</v>
      </c>
      <c r="CA41" s="193">
        <f t="shared" si="23"/>
        <v>0</v>
      </c>
      <c r="CD41" s="193">
        <f t="shared" si="24"/>
        <v>0</v>
      </c>
      <c r="CG41" s="193">
        <f t="shared" si="25"/>
        <v>0</v>
      </c>
      <c r="CJ41" s="193">
        <f t="shared" si="26"/>
        <v>0</v>
      </c>
      <c r="CM41" s="193">
        <f t="shared" si="27"/>
        <v>0</v>
      </c>
      <c r="CP41" s="193">
        <f t="shared" si="28"/>
        <v>0</v>
      </c>
      <c r="CS41" s="193">
        <f t="shared" si="29"/>
        <v>0</v>
      </c>
      <c r="CV41" s="193">
        <f t="shared" si="30"/>
        <v>0</v>
      </c>
      <c r="CY41" s="193">
        <f t="shared" si="31"/>
        <v>0</v>
      </c>
      <c r="DB41" s="193">
        <f t="shared" si="32"/>
        <v>0</v>
      </c>
      <c r="DE41" s="193">
        <f t="shared" si="33"/>
        <v>0</v>
      </c>
      <c r="DH41" s="193">
        <f t="shared" si="34"/>
        <v>0</v>
      </c>
      <c r="DK41" s="193">
        <f t="shared" si="35"/>
        <v>0</v>
      </c>
      <c r="DN41" s="193">
        <f t="shared" si="36"/>
        <v>0</v>
      </c>
      <c r="DQ41" s="193">
        <f t="shared" si="37"/>
        <v>0</v>
      </c>
      <c r="DT41" s="193">
        <f t="shared" si="38"/>
        <v>0</v>
      </c>
      <c r="DW41" s="193">
        <f t="shared" si="39"/>
        <v>0</v>
      </c>
      <c r="DZ41" s="191"/>
      <c r="EA41" s="193"/>
      <c r="EB41" s="228">
        <f t="shared" si="40"/>
        <v>105900000</v>
      </c>
      <c r="EC41" s="228">
        <f t="shared" si="41"/>
        <v>0</v>
      </c>
      <c r="ED41" s="193">
        <f t="shared" si="42"/>
        <v>664.72222222222217</v>
      </c>
      <c r="EE41" s="194">
        <f t="shared" si="43"/>
        <v>2.2596789423984889E-3</v>
      </c>
      <c r="EG41" s="228">
        <f t="shared" si="44"/>
        <v>0</v>
      </c>
      <c r="EH41" s="193">
        <f t="shared" si="45"/>
        <v>0</v>
      </c>
      <c r="EI41" s="194">
        <f t="shared" si="46"/>
        <v>0</v>
      </c>
      <c r="EJ41" s="194"/>
      <c r="EK41" s="228">
        <f t="shared" si="47"/>
        <v>105900000</v>
      </c>
      <c r="EL41" s="228">
        <f t="shared" si="48"/>
        <v>0</v>
      </c>
      <c r="EM41" s="228">
        <f t="shared" si="49"/>
        <v>664.72222222222217</v>
      </c>
      <c r="EN41" s="194">
        <f t="shared" si="50"/>
        <v>2.2596789423984889E-3</v>
      </c>
      <c r="EP41" s="193"/>
    </row>
    <row r="42" spans="1:146" x14ac:dyDescent="0.2">
      <c r="A42" s="229" t="s">
        <v>76</v>
      </c>
      <c r="D42" s="230">
        <f>SUM(D11:D41)</f>
        <v>0</v>
      </c>
      <c r="G42" s="230">
        <f>SUM(G11:G41)</f>
        <v>0</v>
      </c>
      <c r="J42" s="230">
        <f>SUM(J11:J41)</f>
        <v>0</v>
      </c>
      <c r="M42" s="230">
        <f>SUM(M11:M41)</f>
        <v>0</v>
      </c>
      <c r="P42" s="230">
        <f>SUM(P11:P41)</f>
        <v>0</v>
      </c>
      <c r="S42" s="230">
        <f>SUM(S11:S41)</f>
        <v>0</v>
      </c>
      <c r="V42" s="230">
        <f>SUM(V11:V41)</f>
        <v>0</v>
      </c>
      <c r="Y42" s="230">
        <f>SUM(Y11:Y41)</f>
        <v>0</v>
      </c>
      <c r="AB42" s="230">
        <f>SUM(AB11:AB41)</f>
        <v>0</v>
      </c>
      <c r="AE42" s="230">
        <f>SUM(AE11:AE41)</f>
        <v>0</v>
      </c>
      <c r="AH42" s="230">
        <f>SUM(AH11:AH41)</f>
        <v>0</v>
      </c>
      <c r="AK42" s="230">
        <f>SUM(AK11:AK41)</f>
        <v>6549.3055555555547</v>
      </c>
      <c r="AN42" s="230">
        <f>SUM(AN11:AN41)</f>
        <v>1145.8333333333335</v>
      </c>
      <c r="AQ42" s="230">
        <f>SUM(AQ11:AQ41)</f>
        <v>0</v>
      </c>
      <c r="AT42" s="230">
        <f>SUM(AT11:AT41)</f>
        <v>0</v>
      </c>
      <c r="AW42" s="230">
        <f>SUM(AW11:AW41)</f>
        <v>0</v>
      </c>
      <c r="AZ42" s="230">
        <f>SUM(AZ11:AZ41)</f>
        <v>0</v>
      </c>
      <c r="BC42" s="230">
        <f>SUM(BC11:BC41)</f>
        <v>0</v>
      </c>
      <c r="BF42" s="230">
        <f>SUM(BF11:BF41)</f>
        <v>0</v>
      </c>
      <c r="BI42" s="230">
        <f>SUM(BI11:BI41)</f>
        <v>0</v>
      </c>
      <c r="BL42" s="230">
        <f>SUM(BL11:BL41)</f>
        <v>0</v>
      </c>
      <c r="BO42" s="230">
        <f>SUM(BO11:BO41)</f>
        <v>0</v>
      </c>
      <c r="BR42" s="230">
        <f>SUM(BR11:BR41)</f>
        <v>0</v>
      </c>
      <c r="BU42" s="230">
        <f>SUM(BU11:BU41)</f>
        <v>0</v>
      </c>
      <c r="BX42" s="230">
        <f>SUM(BX11:BX41)</f>
        <v>0</v>
      </c>
      <c r="CA42" s="230">
        <f>SUM(CA11:CA41)</f>
        <v>0</v>
      </c>
      <c r="CD42" s="230">
        <f>SUM(CD11:CD41)</f>
        <v>0</v>
      </c>
      <c r="CG42" s="230">
        <f>SUM(CG11:CG41)</f>
        <v>0</v>
      </c>
      <c r="CJ42" s="230">
        <f>SUM(CJ11:CJ41)</f>
        <v>0</v>
      </c>
      <c r="CM42" s="230">
        <f>SUM(CM11:CM41)</f>
        <v>0</v>
      </c>
      <c r="CP42" s="230">
        <f>SUM(CP11:CP41)</f>
        <v>0</v>
      </c>
      <c r="CS42" s="230">
        <f>SUM(CS11:CS41)</f>
        <v>0</v>
      </c>
      <c r="CV42" s="230">
        <f>SUM(CV11:CV41)</f>
        <v>0</v>
      </c>
      <c r="CY42" s="230">
        <f>SUM(CY11:CY41)</f>
        <v>0</v>
      </c>
      <c r="DB42" s="230">
        <f>SUM(DB11:DB41)</f>
        <v>0</v>
      </c>
      <c r="DE42" s="230">
        <f>SUM(DE11:DE41)</f>
        <v>0</v>
      </c>
      <c r="DH42" s="230">
        <f>SUM(DH11:DH41)</f>
        <v>0</v>
      </c>
      <c r="DK42" s="230">
        <f>SUM(DK11:DK41)</f>
        <v>0</v>
      </c>
      <c r="DN42" s="230">
        <f>SUM(DN11:DN41)</f>
        <v>0</v>
      </c>
      <c r="DQ42" s="230">
        <f>SUM(DQ11:DQ41)</f>
        <v>0</v>
      </c>
      <c r="DT42" s="230">
        <f>SUM(DT11:DT41)</f>
        <v>0</v>
      </c>
      <c r="DW42" s="230">
        <f>SUM(DW11:DW41)</f>
        <v>0</v>
      </c>
      <c r="DZ42" s="191"/>
      <c r="EA42" s="191"/>
      <c r="EB42" s="193"/>
      <c r="EC42" s="193"/>
      <c r="ED42" s="230">
        <f>SUM(ED11:ED41)</f>
        <v>7695.1388888888905</v>
      </c>
      <c r="EE42" s="194"/>
      <c r="EG42" s="193"/>
      <c r="EH42" s="230">
        <f>SUM(EH11:EH41)</f>
        <v>0</v>
      </c>
      <c r="EI42" s="194"/>
      <c r="EJ42" s="194"/>
      <c r="EK42" s="193"/>
      <c r="EL42" s="193"/>
      <c r="EM42" s="230">
        <f>SUM(EM11:EM41)</f>
        <v>7695.1388888888905</v>
      </c>
      <c r="EN42" s="194"/>
    </row>
    <row r="44" spans="1:146" x14ac:dyDescent="0.2">
      <c r="EM44" s="231"/>
    </row>
    <row r="46" spans="1:146" x14ac:dyDescent="0.2">
      <c r="EM46" s="193"/>
    </row>
    <row r="48" spans="1:146" x14ac:dyDescent="0.2">
      <c r="EM48" s="19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5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2.75" x14ac:dyDescent="0.2"/>
  <cols>
    <col min="1" max="1" width="14.5703125" style="195" bestFit="1" customWidth="1"/>
    <col min="2" max="2" width="15.5703125" style="193" bestFit="1" customWidth="1"/>
    <col min="3" max="3" width="15.42578125" style="194" bestFit="1" customWidth="1"/>
    <col min="4" max="4" width="15.42578125" style="195" bestFit="1" customWidth="1"/>
    <col min="5" max="5" width="15.5703125" style="193" bestFit="1" customWidth="1"/>
    <col min="6" max="6" width="12.28515625" style="194" bestFit="1" customWidth="1"/>
    <col min="7" max="7" width="15.42578125" style="195" bestFit="1" customWidth="1"/>
    <col min="8" max="8" width="15.42578125" style="193" hidden="1" customWidth="1"/>
    <col min="9" max="9" width="10.28515625" style="194" hidden="1" customWidth="1"/>
    <col min="10" max="10" width="13.42578125" style="195" hidden="1" customWidth="1"/>
    <col min="11" max="11" width="14.42578125" style="193" hidden="1" customWidth="1"/>
    <col min="12" max="12" width="10.28515625" style="194" hidden="1" customWidth="1"/>
    <col min="13" max="13" width="11.7109375" style="195" hidden="1" customWidth="1"/>
    <col min="14" max="14" width="14.42578125" style="193" hidden="1" customWidth="1"/>
    <col min="15" max="15" width="10.28515625" style="194" hidden="1" customWidth="1"/>
    <col min="16" max="16" width="11.7109375" style="195" hidden="1" customWidth="1"/>
    <col min="17" max="17" width="15.42578125" style="193" hidden="1" customWidth="1"/>
    <col min="18" max="18" width="10.28515625" style="194" hidden="1" customWidth="1"/>
    <col min="19" max="19" width="11.7109375" style="195" hidden="1" customWidth="1"/>
    <col min="20" max="20" width="15.42578125" style="193" hidden="1" customWidth="1"/>
    <col min="21" max="21" width="10.28515625" style="194" hidden="1" customWidth="1"/>
    <col min="22" max="22" width="11.7109375" style="195" hidden="1" customWidth="1"/>
    <col min="23" max="23" width="15.42578125" style="193" hidden="1" customWidth="1"/>
    <col min="24" max="24" width="10.28515625" style="194" hidden="1" customWidth="1"/>
    <col min="25" max="25" width="11.7109375" style="195" hidden="1" customWidth="1"/>
    <col min="26" max="26" width="15.42578125" style="193" hidden="1" customWidth="1"/>
    <col min="27" max="27" width="10.28515625" style="194" hidden="1" customWidth="1"/>
    <col min="28" max="28" width="11.7109375" style="195" hidden="1" customWidth="1"/>
    <col min="29" max="29" width="15.42578125" style="193" hidden="1" customWidth="1"/>
    <col min="30" max="30" width="10.28515625" style="194" hidden="1" customWidth="1"/>
    <col min="31" max="31" width="11.7109375" style="195" hidden="1" customWidth="1"/>
    <col min="32" max="32" width="14.42578125" style="193" hidden="1" customWidth="1"/>
    <col min="33" max="33" width="10.28515625" style="194" hidden="1" customWidth="1"/>
    <col min="34" max="34" width="10.7109375" style="195" hidden="1" customWidth="1"/>
    <col min="35" max="35" width="14.42578125" style="193" customWidth="1"/>
    <col min="36" max="36" width="10.28515625" style="194" customWidth="1"/>
    <col min="37" max="37" width="11.7109375" style="195" bestFit="1" customWidth="1"/>
    <col min="38" max="38" width="14.42578125" style="193" customWidth="1"/>
    <col min="39" max="39" width="10.28515625" style="194" customWidth="1"/>
    <col min="40" max="40" width="10.7109375" style="195" customWidth="1"/>
    <col min="41" max="41" width="15.42578125" style="193" bestFit="1" customWidth="1"/>
    <col min="42" max="42" width="12.28515625" style="194" bestFit="1" customWidth="1"/>
    <col min="43" max="43" width="11.7109375" style="195" bestFit="1" customWidth="1"/>
    <col min="44" max="44" width="15.42578125" style="193" bestFit="1" customWidth="1"/>
    <col min="45" max="45" width="10.28515625" style="194" bestFit="1" customWidth="1"/>
    <col min="46" max="46" width="11.7109375" style="195" bestFit="1" customWidth="1"/>
    <col min="47" max="47" width="14.42578125" style="193" customWidth="1"/>
    <col min="48" max="48" width="10.28515625" style="194" customWidth="1"/>
    <col min="49" max="49" width="10.7109375" style="195" customWidth="1"/>
    <col min="50" max="50" width="14.42578125" style="193" customWidth="1"/>
    <col min="51" max="51" width="10.28515625" style="194" customWidth="1"/>
    <col min="52" max="52" width="10.7109375" style="195" customWidth="1"/>
    <col min="53" max="53" width="14.42578125" style="193" customWidth="1"/>
    <col min="54" max="54" width="10.28515625" style="194" customWidth="1"/>
    <col min="55" max="55" width="10.7109375" style="195" customWidth="1"/>
    <col min="56" max="56" width="14.42578125" style="193" customWidth="1"/>
    <col min="57" max="57" width="10.28515625" style="194" customWidth="1"/>
    <col min="58" max="58" width="10.7109375" style="195" customWidth="1"/>
    <col min="59" max="59" width="14.42578125" style="193" customWidth="1"/>
    <col min="60" max="60" width="10.28515625" style="194" customWidth="1"/>
    <col min="61" max="61" width="10.7109375" style="195" customWidth="1"/>
    <col min="62" max="62" width="14.42578125" style="193" customWidth="1"/>
    <col min="63" max="63" width="10.28515625" style="194" customWidth="1"/>
    <col min="64" max="64" width="10.7109375" style="195" customWidth="1"/>
    <col min="65" max="65" width="14.42578125" style="193" hidden="1" customWidth="1"/>
    <col min="66" max="66" width="10.28515625" style="194" hidden="1" customWidth="1"/>
    <col min="67" max="67" width="10.7109375" style="195" hidden="1" customWidth="1"/>
    <col min="68" max="68" width="14.42578125" style="193" hidden="1" customWidth="1"/>
    <col min="69" max="69" width="10.28515625" style="194" hidden="1" customWidth="1"/>
    <col min="70" max="70" width="10.7109375" style="195" hidden="1" customWidth="1"/>
    <col min="71" max="71" width="14.42578125" style="193" hidden="1" customWidth="1"/>
    <col min="72" max="72" width="10.28515625" style="194" hidden="1" customWidth="1"/>
    <col min="73" max="73" width="10.7109375" style="195" hidden="1" customWidth="1"/>
    <col min="74" max="74" width="14.42578125" style="193" hidden="1" customWidth="1"/>
    <col min="75" max="75" width="10.28515625" style="194" hidden="1" customWidth="1"/>
    <col min="76" max="76" width="10.7109375" style="195" hidden="1" customWidth="1"/>
    <col min="77" max="77" width="14.42578125" style="193" hidden="1" customWidth="1"/>
    <col min="78" max="78" width="10.28515625" style="194" hidden="1" customWidth="1"/>
    <col min="79" max="79" width="10.7109375" style="195" hidden="1" customWidth="1"/>
    <col min="80" max="80" width="14.42578125" style="193" hidden="1" customWidth="1"/>
    <col min="81" max="81" width="10.28515625" style="194" hidden="1" customWidth="1"/>
    <col min="82" max="82" width="10.7109375" style="195" hidden="1" customWidth="1"/>
    <col min="83" max="83" width="14.42578125" style="193" hidden="1" customWidth="1"/>
    <col min="84" max="84" width="10.28515625" style="194" hidden="1" customWidth="1"/>
    <col min="85" max="85" width="10.7109375" style="195" hidden="1" customWidth="1"/>
    <col min="86" max="86" width="14.42578125" style="193" hidden="1" customWidth="1"/>
    <col min="87" max="87" width="10.28515625" style="194" hidden="1" customWidth="1"/>
    <col min="88" max="88" width="10.7109375" style="195" hidden="1" customWidth="1"/>
    <col min="89" max="89" width="14.42578125" style="193" hidden="1" customWidth="1"/>
    <col min="90" max="90" width="10.28515625" style="194" hidden="1" customWidth="1"/>
    <col min="91" max="91" width="10.7109375" style="195" hidden="1" customWidth="1"/>
    <col min="92" max="92" width="14.42578125" style="193" hidden="1" customWidth="1"/>
    <col min="93" max="93" width="10.28515625" style="194" hidden="1" customWidth="1"/>
    <col min="94" max="94" width="10.7109375" style="195" hidden="1" customWidth="1"/>
    <col min="95" max="95" width="14.42578125" style="193" hidden="1" customWidth="1"/>
    <col min="96" max="96" width="10.28515625" style="194" hidden="1" customWidth="1"/>
    <col min="97" max="97" width="10.7109375" style="195" hidden="1" customWidth="1"/>
    <col min="98" max="98" width="14.42578125" style="193" hidden="1" customWidth="1"/>
    <col min="99" max="99" width="10.28515625" style="194" hidden="1" customWidth="1"/>
    <col min="100" max="100" width="10.7109375" style="195" hidden="1" customWidth="1"/>
    <col min="101" max="101" width="14.42578125" style="193" hidden="1" customWidth="1"/>
    <col min="102" max="102" width="10.28515625" style="194" hidden="1" customWidth="1"/>
    <col min="103" max="103" width="10.7109375" style="195" hidden="1" customWidth="1"/>
    <col min="104" max="104" width="14.42578125" style="193" hidden="1" customWidth="1"/>
    <col min="105" max="105" width="10.28515625" style="194" hidden="1" customWidth="1"/>
    <col min="106" max="106" width="10.7109375" style="195" hidden="1" customWidth="1"/>
    <col min="107" max="107" width="14.42578125" style="193" hidden="1" customWidth="1"/>
    <col min="108" max="108" width="10.28515625" style="194" hidden="1" customWidth="1"/>
    <col min="109" max="109" width="10.7109375" style="195" hidden="1" customWidth="1"/>
    <col min="110" max="110" width="14.42578125" style="193" hidden="1" customWidth="1"/>
    <col min="111" max="111" width="10.28515625" style="194" hidden="1" customWidth="1"/>
    <col min="112" max="112" width="10.7109375" style="195" hidden="1" customWidth="1"/>
    <col min="113" max="113" width="14.42578125" style="193" hidden="1" customWidth="1"/>
    <col min="114" max="114" width="10.28515625" style="194" hidden="1" customWidth="1"/>
    <col min="115" max="115" width="10.7109375" style="195" hidden="1" customWidth="1"/>
    <col min="116" max="116" width="14.42578125" style="193" hidden="1" customWidth="1"/>
    <col min="117" max="117" width="10.28515625" style="194" hidden="1" customWidth="1"/>
    <col min="118" max="118" width="10.7109375" style="195" hidden="1" customWidth="1"/>
    <col min="119" max="119" width="14.42578125" style="193" hidden="1" customWidth="1"/>
    <col min="120" max="120" width="10.28515625" style="194" hidden="1" customWidth="1"/>
    <col min="121" max="121" width="10.7109375" style="195" hidden="1" customWidth="1"/>
    <col min="122" max="122" width="14.42578125" style="193" hidden="1" customWidth="1"/>
    <col min="123" max="123" width="10.28515625" style="194" hidden="1" customWidth="1"/>
    <col min="124" max="124" width="10.7109375" style="195" hidden="1" customWidth="1"/>
    <col min="125" max="125" width="14.42578125" style="193" hidden="1" customWidth="1"/>
    <col min="126" max="126" width="10.28515625" style="194" hidden="1" customWidth="1"/>
    <col min="127" max="127" width="10.7109375" style="195" hidden="1" customWidth="1"/>
    <col min="128" max="128" width="14.42578125" style="193" hidden="1" customWidth="1"/>
    <col min="129" max="129" width="10.28515625" style="194" hidden="1" customWidth="1"/>
    <col min="130" max="130" width="10.7109375" style="195" hidden="1" customWidth="1"/>
    <col min="131" max="131" width="2.7109375" style="195" customWidth="1"/>
    <col min="132" max="132" width="15.42578125" style="195" bestFit="1" customWidth="1"/>
    <col min="133" max="133" width="15.42578125" style="195" hidden="1" customWidth="1"/>
    <col min="134" max="134" width="14.42578125" style="195" bestFit="1" customWidth="1"/>
    <col min="135" max="135" width="17.7109375" style="195" bestFit="1" customWidth="1"/>
    <col min="136" max="136" width="2.7109375" style="195" customWidth="1"/>
    <col min="137" max="137" width="15.42578125" style="195" hidden="1" customWidth="1"/>
    <col min="138" max="138" width="14.42578125" style="195" hidden="1" customWidth="1"/>
    <col min="139" max="139" width="12.42578125" style="195" hidden="1" customWidth="1"/>
    <col min="140" max="140" width="2.7109375" style="195" hidden="1" customWidth="1"/>
    <col min="141" max="141" width="15.42578125" style="195" bestFit="1" customWidth="1"/>
    <col min="142" max="142" width="15.42578125" style="195" hidden="1" customWidth="1"/>
    <col min="143" max="143" width="14.42578125" style="195" bestFit="1" customWidth="1"/>
    <col min="144" max="144" width="15.42578125" style="195" bestFit="1" customWidth="1"/>
    <col min="145" max="145" width="42.85546875" style="195" bestFit="1" customWidth="1"/>
    <col min="146" max="146" width="15.28515625" style="195" bestFit="1" customWidth="1"/>
    <col min="147" max="147" width="23.140625" style="195" bestFit="1" customWidth="1"/>
    <col min="148" max="16384" width="9" style="195"/>
  </cols>
  <sheetData>
    <row r="1" spans="1:147" s="185" customFormat="1" ht="15.75" x14ac:dyDescent="0.25">
      <c r="A1" s="182" t="s">
        <v>0</v>
      </c>
      <c r="B1" s="183"/>
      <c r="C1" s="184"/>
      <c r="E1" s="183"/>
      <c r="F1" s="184"/>
      <c r="H1" s="183"/>
      <c r="I1" s="184"/>
      <c r="K1" s="183"/>
      <c r="L1" s="184"/>
      <c r="N1" s="183"/>
      <c r="O1" s="184"/>
      <c r="Q1" s="183"/>
      <c r="R1" s="184"/>
      <c r="T1" s="183"/>
      <c r="U1" s="184"/>
      <c r="W1" s="183"/>
      <c r="X1" s="184"/>
      <c r="Z1" s="183"/>
      <c r="AA1" s="184"/>
      <c r="AC1" s="183"/>
      <c r="AD1" s="184"/>
      <c r="AF1" s="183"/>
      <c r="AG1" s="184"/>
      <c r="AI1" s="183"/>
      <c r="AJ1" s="184"/>
      <c r="AL1" s="183"/>
      <c r="AM1" s="184"/>
      <c r="AO1" s="183"/>
      <c r="AP1" s="184"/>
      <c r="AR1" s="183"/>
      <c r="AS1" s="184"/>
      <c r="AU1" s="183"/>
      <c r="AV1" s="184"/>
      <c r="AX1" s="183"/>
      <c r="AY1" s="184"/>
      <c r="BA1" s="183"/>
      <c r="BB1" s="184"/>
      <c r="BD1" s="183"/>
      <c r="BE1" s="184"/>
      <c r="BG1" s="183"/>
      <c r="BH1" s="184"/>
      <c r="BJ1" s="183"/>
      <c r="BK1" s="184"/>
      <c r="BM1" s="183"/>
      <c r="BN1" s="184"/>
      <c r="BP1" s="183"/>
      <c r="BQ1" s="184"/>
      <c r="BS1" s="183"/>
      <c r="BT1" s="184"/>
      <c r="BV1" s="183"/>
      <c r="BW1" s="184"/>
      <c r="BY1" s="183"/>
      <c r="BZ1" s="184"/>
      <c r="CB1" s="183"/>
      <c r="CC1" s="184"/>
      <c r="CE1" s="183"/>
      <c r="CF1" s="184"/>
      <c r="CH1" s="183"/>
      <c r="CI1" s="184"/>
      <c r="CK1" s="183"/>
      <c r="CL1" s="184"/>
      <c r="CN1" s="183"/>
      <c r="CO1" s="184"/>
      <c r="CQ1" s="183"/>
      <c r="CR1" s="184"/>
      <c r="CT1" s="183"/>
      <c r="CU1" s="184"/>
      <c r="CW1" s="183"/>
      <c r="CX1" s="184"/>
      <c r="CZ1" s="183"/>
      <c r="DA1" s="184"/>
      <c r="DC1" s="183"/>
      <c r="DD1" s="184"/>
      <c r="DF1" s="183"/>
      <c r="DG1" s="184"/>
      <c r="DI1" s="183"/>
      <c r="DJ1" s="184"/>
      <c r="DL1" s="183"/>
      <c r="DM1" s="184"/>
      <c r="DO1" s="183"/>
      <c r="DP1" s="184"/>
      <c r="DR1" s="183"/>
      <c r="DS1" s="184"/>
      <c r="DU1" s="183"/>
      <c r="DV1" s="184"/>
      <c r="DX1" s="183"/>
      <c r="DY1" s="184"/>
      <c r="DZ1" s="186"/>
      <c r="ED1" s="187"/>
      <c r="EE1" s="188" t="s">
        <v>95</v>
      </c>
      <c r="EI1" s="187" t="s">
        <v>96</v>
      </c>
      <c r="EM1" s="187"/>
      <c r="EN1" s="187" t="s">
        <v>97</v>
      </c>
      <c r="EO1" s="182" t="s">
        <v>98</v>
      </c>
      <c r="EP1" s="182" t="s">
        <v>99</v>
      </c>
      <c r="EQ1" s="182" t="s">
        <v>100</v>
      </c>
    </row>
    <row r="2" spans="1:147" s="185" customFormat="1" ht="16.5" thickBot="1" x14ac:dyDescent="0.3">
      <c r="A2" s="182" t="s">
        <v>101</v>
      </c>
      <c r="B2" s="183"/>
      <c r="C2" s="184"/>
      <c r="E2" s="189"/>
      <c r="F2" s="184"/>
      <c r="G2" s="187"/>
      <c r="H2" s="183"/>
      <c r="I2" s="184"/>
      <c r="K2" s="183"/>
      <c r="L2" s="184"/>
      <c r="N2" s="183"/>
      <c r="O2" s="184"/>
      <c r="Q2" s="183"/>
      <c r="R2" s="184"/>
      <c r="T2" s="183"/>
      <c r="U2" s="184"/>
      <c r="W2" s="183"/>
      <c r="X2" s="184"/>
      <c r="Z2" s="183"/>
      <c r="AA2" s="184"/>
      <c r="AC2" s="183"/>
      <c r="AD2" s="184"/>
      <c r="AF2" s="183"/>
      <c r="AG2" s="184"/>
      <c r="AI2" s="183"/>
      <c r="AJ2" s="184"/>
      <c r="AL2" s="183"/>
      <c r="AM2" s="184"/>
      <c r="AO2" s="183"/>
      <c r="AP2" s="184"/>
      <c r="AR2" s="183"/>
      <c r="AS2" s="184"/>
      <c r="AU2" s="183"/>
      <c r="AV2" s="184"/>
      <c r="AX2" s="183"/>
      <c r="AY2" s="184"/>
      <c r="BA2" s="183"/>
      <c r="BB2" s="184"/>
      <c r="BD2" s="183"/>
      <c r="BE2" s="184"/>
      <c r="BG2" s="183"/>
      <c r="BH2" s="184"/>
      <c r="BJ2" s="183"/>
      <c r="BK2" s="184"/>
      <c r="BM2" s="183"/>
      <c r="BN2" s="184"/>
      <c r="BP2" s="183"/>
      <c r="BQ2" s="184"/>
      <c r="BS2" s="183"/>
      <c r="BT2" s="184"/>
      <c r="BV2" s="183"/>
      <c r="BW2" s="184"/>
      <c r="BY2" s="183"/>
      <c r="BZ2" s="184"/>
      <c r="CB2" s="183"/>
      <c r="CC2" s="184"/>
      <c r="CE2" s="183"/>
      <c r="CF2" s="184"/>
      <c r="CH2" s="183"/>
      <c r="CI2" s="184"/>
      <c r="CK2" s="183"/>
      <c r="CL2" s="184"/>
      <c r="CN2" s="183"/>
      <c r="CO2" s="184"/>
      <c r="CQ2" s="183"/>
      <c r="CR2" s="184"/>
      <c r="CT2" s="183"/>
      <c r="CU2" s="184"/>
      <c r="CW2" s="183"/>
      <c r="CX2" s="184"/>
      <c r="CZ2" s="183"/>
      <c r="DA2" s="184"/>
      <c r="DC2" s="183"/>
      <c r="DD2" s="184"/>
      <c r="DF2" s="183"/>
      <c r="DG2" s="184"/>
      <c r="DI2" s="183"/>
      <c r="DJ2" s="184"/>
      <c r="DL2" s="183"/>
      <c r="DM2" s="184"/>
      <c r="DO2" s="183"/>
      <c r="DP2" s="184"/>
      <c r="DR2" s="183"/>
      <c r="DS2" s="184"/>
      <c r="DU2" s="183"/>
      <c r="DV2" s="184"/>
      <c r="DX2" s="183"/>
      <c r="DY2" s="184"/>
      <c r="EB2" s="190" t="s">
        <v>102</v>
      </c>
      <c r="EC2" s="190"/>
      <c r="ED2" s="191"/>
      <c r="EE2" s="191">
        <f>EB38</f>
        <v>143425000</v>
      </c>
      <c r="EI2" s="191" t="e">
        <f>#REF!</f>
        <v>#REF!</v>
      </c>
      <c r="EM2" s="191"/>
      <c r="EN2" s="191">
        <f>EK38</f>
        <v>143425000</v>
      </c>
      <c r="EO2" s="183">
        <v>0</v>
      </c>
      <c r="EP2" s="183">
        <f>EN2+EO2</f>
        <v>143425000</v>
      </c>
      <c r="EQ2" s="183">
        <f>EE2+EO2</f>
        <v>143425000</v>
      </c>
    </row>
    <row r="3" spans="1:147" ht="16.5" thickTop="1" x14ac:dyDescent="0.25">
      <c r="A3" s="192" t="s">
        <v>196</v>
      </c>
      <c r="E3" s="196" t="s">
        <v>104</v>
      </c>
      <c r="F3" s="197"/>
      <c r="G3" s="198"/>
      <c r="EB3" s="190" t="s">
        <v>105</v>
      </c>
      <c r="EC3" s="190"/>
      <c r="ED3" s="191"/>
      <c r="EE3" s="191">
        <f>AVERAGE(EB11:EB38)</f>
        <v>97827678.571428567</v>
      </c>
      <c r="EI3" s="191">
        <f>AVERAGE(EG11:EG38)</f>
        <v>0</v>
      </c>
      <c r="EM3" s="191"/>
      <c r="EN3" s="191">
        <f>AVERAGE(EK11:EK38)</f>
        <v>97827678.571428567</v>
      </c>
    </row>
    <row r="4" spans="1:147" x14ac:dyDescent="0.2">
      <c r="D4" s="190"/>
      <c r="E4" s="199" t="s">
        <v>102</v>
      </c>
      <c r="F4" s="191"/>
      <c r="G4" s="200">
        <f>EQ2</f>
        <v>143425000</v>
      </c>
      <c r="AI4" s="201" t="s">
        <v>106</v>
      </c>
      <c r="EB4" s="190" t="s">
        <v>107</v>
      </c>
      <c r="EC4" s="190"/>
      <c r="ED4" s="202"/>
      <c r="EE4" s="202">
        <f>IF(EE3=0,0,360*(AVERAGE(ED11:ED38)/EE3))</f>
        <v>2.3221681710734079E-3</v>
      </c>
      <c r="EI4" s="202">
        <f>IF(EI3=0,0,360*(AVERAGE(EH11:EH38)/EI3))</f>
        <v>0</v>
      </c>
      <c r="EM4" s="202"/>
      <c r="EN4" s="202">
        <f>IF(EN3=0,0,360*(AVERAGE(EM11:EM38)/EN3))</f>
        <v>2.3221681710734079E-3</v>
      </c>
      <c r="EO4" s="203" t="s">
        <v>108</v>
      </c>
      <c r="EQ4" s="204" t="s">
        <v>106</v>
      </c>
    </row>
    <row r="5" spans="1:147" ht="15.75" x14ac:dyDescent="0.25">
      <c r="D5" s="190"/>
      <c r="E5" s="199" t="s">
        <v>105</v>
      </c>
      <c r="F5" s="191"/>
      <c r="G5" s="200">
        <f>EE3</f>
        <v>97827678.571428567</v>
      </c>
      <c r="AI5" s="205" t="s">
        <v>97</v>
      </c>
      <c r="EB5" s="206" t="s">
        <v>109</v>
      </c>
      <c r="EC5" s="206"/>
      <c r="ED5" s="191"/>
      <c r="EE5" s="191">
        <f>MAX(EB11:EB38)</f>
        <v>143425000</v>
      </c>
      <c r="EI5" s="191">
        <f>MAX(EG11:EG38)</f>
        <v>0</v>
      </c>
      <c r="EM5" s="191"/>
      <c r="EN5" s="191">
        <f>MAX(EK11:EK38)</f>
        <v>143425000</v>
      </c>
    </row>
    <row r="6" spans="1:147" x14ac:dyDescent="0.2">
      <c r="D6" s="190"/>
      <c r="E6" s="199" t="s">
        <v>107</v>
      </c>
      <c r="F6" s="191"/>
      <c r="G6" s="207">
        <f>EE4</f>
        <v>2.3221681710734079E-3</v>
      </c>
    </row>
    <row r="7" spans="1:147" ht="16.5" thickBot="1" x14ac:dyDescent="0.3">
      <c r="D7" s="190"/>
      <c r="E7" s="208" t="s">
        <v>109</v>
      </c>
      <c r="F7" s="209"/>
      <c r="G7" s="210">
        <f>EE5</f>
        <v>143425000</v>
      </c>
      <c r="AI7" s="205" t="s">
        <v>97</v>
      </c>
      <c r="EB7" s="211" t="s">
        <v>110</v>
      </c>
      <c r="EC7" s="211"/>
      <c r="ED7" s="212"/>
      <c r="EE7" s="212"/>
      <c r="EG7" s="211" t="s">
        <v>111</v>
      </c>
      <c r="EH7" s="212"/>
      <c r="EI7" s="212"/>
      <c r="EJ7" s="213"/>
      <c r="EK7" s="211" t="s">
        <v>112</v>
      </c>
      <c r="EL7" s="211"/>
      <c r="EM7" s="212"/>
      <c r="EN7" s="212"/>
    </row>
    <row r="8" spans="1:147" ht="13.5" thickTop="1" x14ac:dyDescent="0.2">
      <c r="AI8" s="214" t="s">
        <v>113</v>
      </c>
      <c r="AL8" s="214" t="s">
        <v>113</v>
      </c>
      <c r="AO8" s="214" t="s">
        <v>113</v>
      </c>
      <c r="AR8" s="214" t="s">
        <v>113</v>
      </c>
      <c r="AU8" s="214" t="s">
        <v>113</v>
      </c>
      <c r="AX8" s="214" t="s">
        <v>113</v>
      </c>
      <c r="BA8" s="214" t="s">
        <v>113</v>
      </c>
      <c r="BD8" s="214" t="s">
        <v>113</v>
      </c>
      <c r="BG8" s="214" t="s">
        <v>113</v>
      </c>
      <c r="BJ8" s="214" t="s">
        <v>113</v>
      </c>
      <c r="BM8" s="214" t="s">
        <v>113</v>
      </c>
      <c r="BP8" s="214" t="s">
        <v>113</v>
      </c>
      <c r="BS8" s="214" t="s">
        <v>113</v>
      </c>
      <c r="BV8" s="214" t="s">
        <v>113</v>
      </c>
      <c r="BY8" s="214" t="s">
        <v>113</v>
      </c>
      <c r="CB8" s="214" t="s">
        <v>113</v>
      </c>
      <c r="CE8" s="214" t="s">
        <v>113</v>
      </c>
      <c r="CH8" s="214" t="s">
        <v>113</v>
      </c>
      <c r="CK8" s="214" t="s">
        <v>113</v>
      </c>
      <c r="CN8" s="214" t="s">
        <v>113</v>
      </c>
      <c r="CQ8" s="214" t="s">
        <v>113</v>
      </c>
      <c r="CT8" s="214" t="s">
        <v>113</v>
      </c>
      <c r="CW8" s="214" t="s">
        <v>113</v>
      </c>
      <c r="CZ8" s="214" t="s">
        <v>113</v>
      </c>
      <c r="DC8" s="214" t="s">
        <v>113</v>
      </c>
      <c r="DF8" s="214" t="s">
        <v>113</v>
      </c>
      <c r="DI8" s="214" t="s">
        <v>113</v>
      </c>
      <c r="DL8" s="214" t="s">
        <v>113</v>
      </c>
      <c r="DO8" s="214" t="s">
        <v>113</v>
      </c>
      <c r="DR8" s="214" t="s">
        <v>113</v>
      </c>
      <c r="EB8" s="215"/>
      <c r="EC8" s="215"/>
      <c r="ED8" s="215"/>
      <c r="EE8" s="215" t="s">
        <v>114</v>
      </c>
      <c r="EG8" s="215"/>
      <c r="EH8" s="216" t="s">
        <v>96</v>
      </c>
      <c r="EI8" s="215" t="s">
        <v>114</v>
      </c>
      <c r="EJ8" s="215"/>
      <c r="EK8" s="204" t="s">
        <v>115</v>
      </c>
      <c r="EL8" s="204" t="s">
        <v>116</v>
      </c>
      <c r="EM8" s="216" t="s">
        <v>117</v>
      </c>
      <c r="EN8" s="215" t="s">
        <v>114</v>
      </c>
    </row>
    <row r="9" spans="1:147" x14ac:dyDescent="0.2">
      <c r="B9" s="217" t="s">
        <v>118</v>
      </c>
      <c r="C9" s="218"/>
      <c r="D9" s="212"/>
      <c r="E9" s="217" t="s">
        <v>119</v>
      </c>
      <c r="F9" s="218"/>
      <c r="G9" s="212"/>
      <c r="H9" s="217" t="s">
        <v>120</v>
      </c>
      <c r="I9" s="218"/>
      <c r="J9" s="212"/>
      <c r="K9" s="217" t="s">
        <v>121</v>
      </c>
      <c r="L9" s="218"/>
      <c r="M9" s="212"/>
      <c r="N9" s="217" t="s">
        <v>122</v>
      </c>
      <c r="O9" s="218"/>
      <c r="P9" s="212"/>
      <c r="Q9" s="217" t="s">
        <v>123</v>
      </c>
      <c r="R9" s="218"/>
      <c r="S9" s="212"/>
      <c r="T9" s="217" t="s">
        <v>124</v>
      </c>
      <c r="U9" s="218"/>
      <c r="V9" s="212"/>
      <c r="W9" s="217" t="s">
        <v>125</v>
      </c>
      <c r="X9" s="218"/>
      <c r="Y9" s="212"/>
      <c r="Z9" s="217" t="s">
        <v>126</v>
      </c>
      <c r="AA9" s="218"/>
      <c r="AB9" s="212"/>
      <c r="AC9" s="219" t="s">
        <v>127</v>
      </c>
      <c r="AD9" s="218"/>
      <c r="AE9" s="212"/>
      <c r="AF9" s="219" t="s">
        <v>128</v>
      </c>
      <c r="AG9" s="218"/>
      <c r="AH9" s="212"/>
      <c r="AI9" s="217" t="s">
        <v>129</v>
      </c>
      <c r="AJ9" s="218"/>
      <c r="AK9" s="212"/>
      <c r="AL9" s="217" t="s">
        <v>130</v>
      </c>
      <c r="AM9" s="218"/>
      <c r="AN9" s="212"/>
      <c r="AO9" s="217" t="s">
        <v>131</v>
      </c>
      <c r="AP9" s="218"/>
      <c r="AQ9" s="212"/>
      <c r="AR9" s="217" t="s">
        <v>132</v>
      </c>
      <c r="AS9" s="218"/>
      <c r="AT9" s="212"/>
      <c r="AU9" s="217" t="s">
        <v>133</v>
      </c>
      <c r="AV9" s="218"/>
      <c r="AW9" s="212"/>
      <c r="AX9" s="217" t="s">
        <v>134</v>
      </c>
      <c r="AY9" s="218"/>
      <c r="AZ9" s="212"/>
      <c r="BA9" s="217" t="s">
        <v>135</v>
      </c>
      <c r="BB9" s="218"/>
      <c r="BC9" s="212"/>
      <c r="BD9" s="217" t="s">
        <v>136</v>
      </c>
      <c r="BE9" s="218"/>
      <c r="BF9" s="212"/>
      <c r="BG9" s="217" t="s">
        <v>137</v>
      </c>
      <c r="BH9" s="218"/>
      <c r="BI9" s="212"/>
      <c r="BJ9" s="217" t="s">
        <v>138</v>
      </c>
      <c r="BK9" s="218"/>
      <c r="BL9" s="212"/>
      <c r="BM9" s="217" t="s">
        <v>139</v>
      </c>
      <c r="BN9" s="218"/>
      <c r="BO9" s="212"/>
      <c r="BP9" s="217" t="s">
        <v>140</v>
      </c>
      <c r="BQ9" s="218"/>
      <c r="BR9" s="212"/>
      <c r="BS9" s="217" t="s">
        <v>141</v>
      </c>
      <c r="BT9" s="218"/>
      <c r="BU9" s="212"/>
      <c r="BV9" s="217" t="s">
        <v>142</v>
      </c>
      <c r="BW9" s="218"/>
      <c r="BX9" s="212"/>
      <c r="BY9" s="217" t="s">
        <v>143</v>
      </c>
      <c r="BZ9" s="218"/>
      <c r="CA9" s="212"/>
      <c r="CB9" s="217" t="s">
        <v>144</v>
      </c>
      <c r="CC9" s="218"/>
      <c r="CD9" s="212"/>
      <c r="CE9" s="217" t="s">
        <v>145</v>
      </c>
      <c r="CF9" s="218"/>
      <c r="CG9" s="212"/>
      <c r="CH9" s="217" t="s">
        <v>146</v>
      </c>
      <c r="CI9" s="218"/>
      <c r="CJ9" s="212"/>
      <c r="CK9" s="217" t="s">
        <v>147</v>
      </c>
      <c r="CL9" s="218"/>
      <c r="CM9" s="212"/>
      <c r="CN9" s="217" t="s">
        <v>148</v>
      </c>
      <c r="CO9" s="218"/>
      <c r="CP9" s="212"/>
      <c r="CQ9" s="217" t="s">
        <v>149</v>
      </c>
      <c r="CR9" s="218"/>
      <c r="CS9" s="212"/>
      <c r="CT9" s="217" t="s">
        <v>150</v>
      </c>
      <c r="CU9" s="218"/>
      <c r="CV9" s="212"/>
      <c r="CW9" s="217" t="s">
        <v>151</v>
      </c>
      <c r="CX9" s="218"/>
      <c r="CY9" s="212"/>
      <c r="CZ9" s="217" t="s">
        <v>152</v>
      </c>
      <c r="DA9" s="218"/>
      <c r="DB9" s="212"/>
      <c r="DC9" s="217" t="s">
        <v>153</v>
      </c>
      <c r="DD9" s="218"/>
      <c r="DE9" s="212"/>
      <c r="DF9" s="217" t="s">
        <v>154</v>
      </c>
      <c r="DG9" s="218"/>
      <c r="DH9" s="212"/>
      <c r="DI9" s="217" t="s">
        <v>155</v>
      </c>
      <c r="DJ9" s="218"/>
      <c r="DK9" s="212"/>
      <c r="DL9" s="217" t="s">
        <v>156</v>
      </c>
      <c r="DM9" s="218"/>
      <c r="DN9" s="212"/>
      <c r="DO9" s="217" t="s">
        <v>157</v>
      </c>
      <c r="DP9" s="218"/>
      <c r="DQ9" s="212"/>
      <c r="DR9" s="217" t="s">
        <v>158</v>
      </c>
      <c r="DS9" s="218"/>
      <c r="DT9" s="212"/>
      <c r="DU9" s="217" t="s">
        <v>159</v>
      </c>
      <c r="DV9" s="218"/>
      <c r="DW9" s="212"/>
      <c r="DX9" s="220" t="s">
        <v>160</v>
      </c>
      <c r="DY9" s="218"/>
      <c r="DZ9" s="212"/>
      <c r="EA9" s="213"/>
      <c r="EB9" s="204" t="s">
        <v>161</v>
      </c>
      <c r="EC9" s="204" t="s">
        <v>162</v>
      </c>
      <c r="ED9" s="215" t="s">
        <v>163</v>
      </c>
      <c r="EE9" s="215" t="s">
        <v>164</v>
      </c>
      <c r="EG9" s="216" t="s">
        <v>165</v>
      </c>
      <c r="EH9" s="215" t="s">
        <v>163</v>
      </c>
      <c r="EI9" s="215" t="s">
        <v>164</v>
      </c>
      <c r="EJ9" s="215"/>
      <c r="EK9" s="216" t="s">
        <v>117</v>
      </c>
      <c r="EL9" s="216" t="s">
        <v>117</v>
      </c>
      <c r="EM9" s="215" t="s">
        <v>163</v>
      </c>
      <c r="EN9" s="215" t="s">
        <v>164</v>
      </c>
    </row>
    <row r="10" spans="1:147" x14ac:dyDescent="0.2">
      <c r="A10" s="215" t="s">
        <v>166</v>
      </c>
      <c r="B10" s="221" t="s">
        <v>167</v>
      </c>
      <c r="C10" s="222" t="s">
        <v>168</v>
      </c>
      <c r="D10" s="223" t="s">
        <v>19</v>
      </c>
      <c r="E10" s="221" t="s">
        <v>167</v>
      </c>
      <c r="F10" s="222" t="s">
        <v>168</v>
      </c>
      <c r="G10" s="223" t="s">
        <v>19</v>
      </c>
      <c r="H10" s="221" t="s">
        <v>167</v>
      </c>
      <c r="I10" s="222" t="s">
        <v>168</v>
      </c>
      <c r="J10" s="223" t="s">
        <v>19</v>
      </c>
      <c r="K10" s="221" t="s">
        <v>167</v>
      </c>
      <c r="L10" s="222" t="s">
        <v>168</v>
      </c>
      <c r="M10" s="223" t="s">
        <v>19</v>
      </c>
      <c r="N10" s="221" t="s">
        <v>167</v>
      </c>
      <c r="O10" s="222" t="s">
        <v>168</v>
      </c>
      <c r="P10" s="223" t="s">
        <v>19</v>
      </c>
      <c r="Q10" s="221" t="s">
        <v>167</v>
      </c>
      <c r="R10" s="222" t="s">
        <v>168</v>
      </c>
      <c r="S10" s="223" t="s">
        <v>19</v>
      </c>
      <c r="T10" s="221" t="s">
        <v>167</v>
      </c>
      <c r="U10" s="222" t="s">
        <v>168</v>
      </c>
      <c r="V10" s="223" t="s">
        <v>19</v>
      </c>
      <c r="W10" s="221" t="s">
        <v>167</v>
      </c>
      <c r="X10" s="222" t="s">
        <v>168</v>
      </c>
      <c r="Y10" s="223" t="s">
        <v>19</v>
      </c>
      <c r="Z10" s="221" t="s">
        <v>167</v>
      </c>
      <c r="AA10" s="222" t="s">
        <v>168</v>
      </c>
      <c r="AB10" s="223" t="s">
        <v>19</v>
      </c>
      <c r="AC10" s="221" t="s">
        <v>167</v>
      </c>
      <c r="AD10" s="222" t="s">
        <v>168</v>
      </c>
      <c r="AE10" s="223" t="s">
        <v>19</v>
      </c>
      <c r="AF10" s="221" t="s">
        <v>167</v>
      </c>
      <c r="AG10" s="222" t="s">
        <v>168</v>
      </c>
      <c r="AH10" s="223" t="s">
        <v>19</v>
      </c>
      <c r="AI10" s="221" t="s">
        <v>167</v>
      </c>
      <c r="AJ10" s="222" t="s">
        <v>168</v>
      </c>
      <c r="AK10" s="223" t="s">
        <v>19</v>
      </c>
      <c r="AL10" s="221" t="s">
        <v>167</v>
      </c>
      <c r="AM10" s="222" t="s">
        <v>168</v>
      </c>
      <c r="AN10" s="223" t="s">
        <v>19</v>
      </c>
      <c r="AO10" s="221" t="s">
        <v>167</v>
      </c>
      <c r="AP10" s="222" t="s">
        <v>168</v>
      </c>
      <c r="AQ10" s="223" t="s">
        <v>19</v>
      </c>
      <c r="AR10" s="221" t="s">
        <v>167</v>
      </c>
      <c r="AS10" s="222" t="s">
        <v>168</v>
      </c>
      <c r="AT10" s="223" t="s">
        <v>19</v>
      </c>
      <c r="AU10" s="221" t="s">
        <v>167</v>
      </c>
      <c r="AV10" s="222" t="s">
        <v>168</v>
      </c>
      <c r="AW10" s="223" t="s">
        <v>19</v>
      </c>
      <c r="AX10" s="221" t="s">
        <v>167</v>
      </c>
      <c r="AY10" s="222" t="s">
        <v>168</v>
      </c>
      <c r="AZ10" s="223" t="s">
        <v>19</v>
      </c>
      <c r="BA10" s="221" t="s">
        <v>167</v>
      </c>
      <c r="BB10" s="222" t="s">
        <v>168</v>
      </c>
      <c r="BC10" s="223" t="s">
        <v>19</v>
      </c>
      <c r="BD10" s="221" t="s">
        <v>167</v>
      </c>
      <c r="BE10" s="222" t="s">
        <v>168</v>
      </c>
      <c r="BF10" s="223" t="s">
        <v>19</v>
      </c>
      <c r="BG10" s="221" t="s">
        <v>167</v>
      </c>
      <c r="BH10" s="222" t="s">
        <v>168</v>
      </c>
      <c r="BI10" s="223" t="s">
        <v>19</v>
      </c>
      <c r="BJ10" s="221" t="s">
        <v>167</v>
      </c>
      <c r="BK10" s="222" t="s">
        <v>168</v>
      </c>
      <c r="BL10" s="223" t="s">
        <v>19</v>
      </c>
      <c r="BM10" s="221" t="s">
        <v>167</v>
      </c>
      <c r="BN10" s="222" t="s">
        <v>168</v>
      </c>
      <c r="BO10" s="223" t="s">
        <v>19</v>
      </c>
      <c r="BP10" s="221" t="s">
        <v>167</v>
      </c>
      <c r="BQ10" s="222" t="s">
        <v>168</v>
      </c>
      <c r="BR10" s="223" t="s">
        <v>19</v>
      </c>
      <c r="BS10" s="221" t="s">
        <v>167</v>
      </c>
      <c r="BT10" s="222" t="s">
        <v>168</v>
      </c>
      <c r="BU10" s="223" t="s">
        <v>19</v>
      </c>
      <c r="BV10" s="221" t="s">
        <v>167</v>
      </c>
      <c r="BW10" s="222" t="s">
        <v>168</v>
      </c>
      <c r="BX10" s="223" t="s">
        <v>19</v>
      </c>
      <c r="BY10" s="221" t="s">
        <v>167</v>
      </c>
      <c r="BZ10" s="222" t="s">
        <v>168</v>
      </c>
      <c r="CA10" s="223" t="s">
        <v>19</v>
      </c>
      <c r="CB10" s="221" t="s">
        <v>167</v>
      </c>
      <c r="CC10" s="222" t="s">
        <v>168</v>
      </c>
      <c r="CD10" s="223" t="s">
        <v>19</v>
      </c>
      <c r="CE10" s="221" t="s">
        <v>167</v>
      </c>
      <c r="CF10" s="222" t="s">
        <v>168</v>
      </c>
      <c r="CG10" s="223" t="s">
        <v>19</v>
      </c>
      <c r="CH10" s="221" t="s">
        <v>167</v>
      </c>
      <c r="CI10" s="222" t="s">
        <v>168</v>
      </c>
      <c r="CJ10" s="223" t="s">
        <v>19</v>
      </c>
      <c r="CK10" s="221" t="s">
        <v>167</v>
      </c>
      <c r="CL10" s="222" t="s">
        <v>168</v>
      </c>
      <c r="CM10" s="223" t="s">
        <v>19</v>
      </c>
      <c r="CN10" s="221" t="s">
        <v>167</v>
      </c>
      <c r="CO10" s="222" t="s">
        <v>168</v>
      </c>
      <c r="CP10" s="223" t="s">
        <v>19</v>
      </c>
      <c r="CQ10" s="221" t="s">
        <v>167</v>
      </c>
      <c r="CR10" s="222" t="s">
        <v>168</v>
      </c>
      <c r="CS10" s="223" t="s">
        <v>19</v>
      </c>
      <c r="CT10" s="221" t="s">
        <v>167</v>
      </c>
      <c r="CU10" s="222" t="s">
        <v>168</v>
      </c>
      <c r="CV10" s="223" t="s">
        <v>19</v>
      </c>
      <c r="CW10" s="221" t="s">
        <v>167</v>
      </c>
      <c r="CX10" s="222" t="s">
        <v>168</v>
      </c>
      <c r="CY10" s="223" t="s">
        <v>19</v>
      </c>
      <c r="CZ10" s="221" t="s">
        <v>167</v>
      </c>
      <c r="DA10" s="222" t="s">
        <v>168</v>
      </c>
      <c r="DB10" s="223" t="s">
        <v>19</v>
      </c>
      <c r="DC10" s="221" t="s">
        <v>167</v>
      </c>
      <c r="DD10" s="222" t="s">
        <v>168</v>
      </c>
      <c r="DE10" s="223" t="s">
        <v>19</v>
      </c>
      <c r="DF10" s="221" t="s">
        <v>167</v>
      </c>
      <c r="DG10" s="222" t="s">
        <v>168</v>
      </c>
      <c r="DH10" s="223" t="s">
        <v>19</v>
      </c>
      <c r="DI10" s="221" t="s">
        <v>167</v>
      </c>
      <c r="DJ10" s="222" t="s">
        <v>168</v>
      </c>
      <c r="DK10" s="223" t="s">
        <v>19</v>
      </c>
      <c r="DL10" s="221" t="s">
        <v>167</v>
      </c>
      <c r="DM10" s="222" t="s">
        <v>168</v>
      </c>
      <c r="DN10" s="223" t="s">
        <v>19</v>
      </c>
      <c r="DO10" s="221" t="s">
        <v>167</v>
      </c>
      <c r="DP10" s="222" t="s">
        <v>168</v>
      </c>
      <c r="DQ10" s="223" t="s">
        <v>19</v>
      </c>
      <c r="DR10" s="221" t="s">
        <v>167</v>
      </c>
      <c r="DS10" s="222" t="s">
        <v>168</v>
      </c>
      <c r="DT10" s="223" t="s">
        <v>19</v>
      </c>
      <c r="DU10" s="221" t="s">
        <v>167</v>
      </c>
      <c r="DV10" s="222" t="s">
        <v>168</v>
      </c>
      <c r="DW10" s="223" t="s">
        <v>19</v>
      </c>
      <c r="DX10" s="221" t="s">
        <v>167</v>
      </c>
      <c r="DY10" s="222"/>
      <c r="DZ10" s="223"/>
      <c r="EA10" s="223"/>
      <c r="EB10" s="223" t="s">
        <v>169</v>
      </c>
      <c r="EC10" s="223" t="s">
        <v>169</v>
      </c>
      <c r="ED10" s="223" t="s">
        <v>19</v>
      </c>
      <c r="EE10" s="224" t="s">
        <v>168</v>
      </c>
      <c r="EG10" s="223" t="s">
        <v>169</v>
      </c>
      <c r="EH10" s="223" t="s">
        <v>19</v>
      </c>
      <c r="EI10" s="224" t="s">
        <v>168</v>
      </c>
      <c r="EJ10" s="224"/>
      <c r="EK10" s="223" t="s">
        <v>169</v>
      </c>
      <c r="EL10" s="223" t="s">
        <v>169</v>
      </c>
      <c r="EM10" s="223" t="s">
        <v>19</v>
      </c>
      <c r="EN10" s="224" t="s">
        <v>168</v>
      </c>
    </row>
    <row r="11" spans="1:147" x14ac:dyDescent="0.2">
      <c r="A11" s="225">
        <v>44228</v>
      </c>
      <c r="B11" s="193">
        <v>0</v>
      </c>
      <c r="C11" s="194">
        <v>2.6791499999999999E-3</v>
      </c>
      <c r="D11" s="193">
        <f>(B11*C11)/360</f>
        <v>0</v>
      </c>
      <c r="G11" s="193">
        <f>(E11*F11)/360</f>
        <v>0</v>
      </c>
      <c r="J11" s="193">
        <f>(H11*I11)/360</f>
        <v>0</v>
      </c>
      <c r="M11" s="193">
        <f>(K11*L11)/360</f>
        <v>0</v>
      </c>
      <c r="P11" s="193">
        <f>(N11*O11)/360</f>
        <v>0</v>
      </c>
      <c r="S11" s="193">
        <f>(Q11*R11)/360</f>
        <v>0</v>
      </c>
      <c r="V11" s="193">
        <f>(T11*U11)/360</f>
        <v>0</v>
      </c>
      <c r="Y11" s="193">
        <f>(W11*X11)/360</f>
        <v>0</v>
      </c>
      <c r="AB11" s="193">
        <f>(Z11*AA11)/360</f>
        <v>0</v>
      </c>
      <c r="AE11" s="193">
        <v>0</v>
      </c>
      <c r="AH11" s="193">
        <v>0</v>
      </c>
      <c r="AI11" s="226">
        <v>20000000</v>
      </c>
      <c r="AJ11" s="227">
        <v>2.5000000000000001E-3</v>
      </c>
      <c r="AK11" s="193">
        <f>(AI11*AJ11)/360</f>
        <v>138.88888888888889</v>
      </c>
      <c r="AL11" s="226">
        <v>55000000</v>
      </c>
      <c r="AM11" s="227">
        <v>2.5000000000000001E-3</v>
      </c>
      <c r="AN11" s="193">
        <f>(AL11*AM11)/360</f>
        <v>381.94444444444446</v>
      </c>
      <c r="AO11" s="226">
        <v>48175000</v>
      </c>
      <c r="AP11" s="227">
        <v>2E-3</v>
      </c>
      <c r="AQ11" s="193">
        <f>(AO11*AP11)/360</f>
        <v>267.63888888888891</v>
      </c>
      <c r="AR11" s="226"/>
      <c r="AS11" s="227"/>
      <c r="AT11" s="193">
        <f>(AR11*AS11)/360</f>
        <v>0</v>
      </c>
      <c r="AW11" s="193">
        <f>(AU11*AV11)/360</f>
        <v>0</v>
      </c>
      <c r="AZ11" s="193">
        <f>(AX11*AY11)/360</f>
        <v>0</v>
      </c>
      <c r="BC11" s="193">
        <f>(BA11*BB11)/360</f>
        <v>0</v>
      </c>
      <c r="BF11" s="193">
        <f>(BD11*BE11)/360</f>
        <v>0</v>
      </c>
      <c r="BI11" s="193">
        <f>(BG11*BH11)/360</f>
        <v>0</v>
      </c>
      <c r="BL11" s="193">
        <f>(BJ11*BK11)/360</f>
        <v>0</v>
      </c>
      <c r="BO11" s="193">
        <f>(BM11*BN11)/360</f>
        <v>0</v>
      </c>
      <c r="BR11" s="193">
        <f>(BP11*BQ11)/360</f>
        <v>0</v>
      </c>
      <c r="BU11" s="193">
        <f>(BS11*BT11)/360</f>
        <v>0</v>
      </c>
      <c r="BX11" s="193">
        <f>(BV11*BW11)/360</f>
        <v>0</v>
      </c>
      <c r="CA11" s="193">
        <f>(BY11*BZ11)/360</f>
        <v>0</v>
      </c>
      <c r="CD11" s="193">
        <f>(CB11*CC11)/360</f>
        <v>0</v>
      </c>
      <c r="CG11" s="193">
        <f>(CE11*CF11)/360</f>
        <v>0</v>
      </c>
      <c r="CJ11" s="193">
        <f>(CH11*CI11)/360</f>
        <v>0</v>
      </c>
      <c r="CM11" s="193">
        <f>(CK11*CL11)/360</f>
        <v>0</v>
      </c>
      <c r="CP11" s="193">
        <f>(CN11*CO11)/360</f>
        <v>0</v>
      </c>
      <c r="CS11" s="193">
        <f>(CQ11*CR11)/360</f>
        <v>0</v>
      </c>
      <c r="CV11" s="193">
        <f>(CT11*CU11)/360</f>
        <v>0</v>
      </c>
      <c r="CY11" s="193">
        <f>(CW11*CX11)/360</f>
        <v>0</v>
      </c>
      <c r="DB11" s="193">
        <f>(CZ11*DA11)/360</f>
        <v>0</v>
      </c>
      <c r="DE11" s="193">
        <f>(DC11*DD11)/360</f>
        <v>0</v>
      </c>
      <c r="DH11" s="193">
        <f>(DF11*DG11)/360</f>
        <v>0</v>
      </c>
      <c r="DK11" s="193">
        <f>(DI11*DJ11)/360</f>
        <v>0</v>
      </c>
      <c r="DN11" s="193">
        <f>(DL11*DM11)/360</f>
        <v>0</v>
      </c>
      <c r="DQ11" s="193">
        <f>(DO11*DP11)/360</f>
        <v>0</v>
      </c>
      <c r="DT11" s="193">
        <f>(DR11*DS11)/360</f>
        <v>0</v>
      </c>
      <c r="DW11" s="193">
        <f>(DU11*DV11)/360</f>
        <v>0</v>
      </c>
      <c r="DZ11" s="193"/>
      <c r="EA11" s="193"/>
      <c r="EB11" s="228">
        <f>B11+E11+H11+K11+N11+Q11+T11+W11+Z11+AC11+AF11+AL11+AO11+AR11+AU11+AX11+BA11+BD11+BG11+DU11+AI11+DR11+DO11+DL11+DI11+DF11+DC11+CZ11+CW11+CT11+CQ11+CN11+CK11+CH11+CE11+CB11+BY11+BV11+BS11+BP11+BM11+BJ11</f>
        <v>123175000</v>
      </c>
      <c r="EC11" s="228">
        <f>EB11-EK11+EL11</f>
        <v>0</v>
      </c>
      <c r="ED11" s="193">
        <f>D11+G11+J11+M11+P11+S11+V11+Y11+AB11+AE11+AH11+AK11+AN11+AQ11+AT11+AW11+AZ11+BC11+BF11+BI11+DW11+DT11+DQ11+DN11+DK11+DH11+DE11+DB11+CY11+CV11+CS11+CP11+CM11+CJ11+CG11+CD11+CA11+BX11+BU11+BR11+BO11+BL11</f>
        <v>788.47222222222229</v>
      </c>
      <c r="EE11" s="194">
        <f>IF(EB11&lt;&gt;0,((ED11/EB11)*360),0)</f>
        <v>2.3044448954739191E-3</v>
      </c>
      <c r="EG11" s="228">
        <f>Q11+T11+W11+Z11+AC11+AF11</f>
        <v>0</v>
      </c>
      <c r="EH11" s="193">
        <f>S11+V11+Y11+AB11+AE11+AH11</f>
        <v>0</v>
      </c>
      <c r="EI11" s="194">
        <f>IF(EG11&lt;&gt;0,((EH11/EG11)*360),0)</f>
        <v>0</v>
      </c>
      <c r="EJ11" s="194"/>
      <c r="EK11" s="228">
        <f>DR11+DL11+DI11+DF11+DC11+CZ11+CW11+CT11+CQ11+CN11+CK11+CH11+CE11+CB11+BY11+BV11+BS11+BP11+BM11+BJ11+BG11+BD11+BA11+AX11+AU11+AR11+AO11+AL11+AI11+DO11</f>
        <v>123175000</v>
      </c>
      <c r="EL11" s="228">
        <f>DX11</f>
        <v>0</v>
      </c>
      <c r="EM11" s="228">
        <f>DT11+DQ11+DN11+DK11+DH11+DE11+DB11+CY11+CV11+CS11+CP11+CM11+CJ11+CG11+CD11+CA11+BX11+BU11+BR11+BO11+BL11+BI11+BF11+BC11+AZ11+AW11+AT11+AQ11+AN11+AK11</f>
        <v>788.47222222222229</v>
      </c>
      <c r="EN11" s="194">
        <f>IF(EK11&lt;&gt;0,((EM11/EK11)*360),0)</f>
        <v>2.3044448954739191E-3</v>
      </c>
      <c r="EP11" s="193"/>
    </row>
    <row r="12" spans="1:147" x14ac:dyDescent="0.2">
      <c r="A12" s="225">
        <f>1+A11</f>
        <v>44229</v>
      </c>
      <c r="B12" s="193">
        <v>0</v>
      </c>
      <c r="C12" s="194">
        <v>2.6478299999999999E-3</v>
      </c>
      <c r="D12" s="193">
        <f t="shared" ref="D12:D38" si="0">(B12*C12)/360</f>
        <v>0</v>
      </c>
      <c r="G12" s="193">
        <f t="shared" ref="G12:G38" si="1">(E12*F12)/360</f>
        <v>0</v>
      </c>
      <c r="J12" s="193">
        <f t="shared" ref="J12:J38" si="2">(H12*I12)/360</f>
        <v>0</v>
      </c>
      <c r="M12" s="193">
        <f t="shared" ref="M12:M38" si="3">(K12*L12)/360</f>
        <v>0</v>
      </c>
      <c r="P12" s="193">
        <f t="shared" ref="P12:P38" si="4">(N12*O12)/360</f>
        <v>0</v>
      </c>
      <c r="S12" s="193">
        <f t="shared" ref="S12:S38" si="5">(Q12*R12)/360</f>
        <v>0</v>
      </c>
      <c r="V12" s="193">
        <f t="shared" ref="V12:V38" si="6">(T12*U12)/360</f>
        <v>0</v>
      </c>
      <c r="Y12" s="193">
        <f t="shared" ref="Y12:Y38" si="7">(W12*X12)/360</f>
        <v>0</v>
      </c>
      <c r="AB12" s="193">
        <f t="shared" ref="AB12:AB38" si="8">(Z12*AA12)/360</f>
        <v>0</v>
      </c>
      <c r="AE12" s="193">
        <v>0</v>
      </c>
      <c r="AH12" s="193">
        <v>0</v>
      </c>
      <c r="AI12" s="226">
        <v>20000000</v>
      </c>
      <c r="AJ12" s="227">
        <v>2.5000000000000001E-3</v>
      </c>
      <c r="AK12" s="193">
        <f t="shared" ref="AK12:AK38" si="9">(AI12*AJ12)/360</f>
        <v>138.88888888888889</v>
      </c>
      <c r="AL12" s="226">
        <v>55000000</v>
      </c>
      <c r="AM12" s="227">
        <v>2.5000000000000001E-3</v>
      </c>
      <c r="AN12" s="193">
        <f t="shared" ref="AN12:AN38" si="10">(AL12*AM12)/360</f>
        <v>381.94444444444446</v>
      </c>
      <c r="AO12" s="226">
        <v>45825000</v>
      </c>
      <c r="AP12" s="227">
        <v>2E-3</v>
      </c>
      <c r="AQ12" s="193">
        <f t="shared" ref="AQ12:AQ38" si="11">(AO12*AP12)/360</f>
        <v>254.58333333333334</v>
      </c>
      <c r="AR12" s="226"/>
      <c r="AS12" s="227"/>
      <c r="AT12" s="193">
        <f t="shared" ref="AT12:AT38" si="12">(AR12*AS12)/360</f>
        <v>0</v>
      </c>
      <c r="AW12" s="193">
        <f t="shared" ref="AW12:AW38" si="13">(AU12*AV12)/360</f>
        <v>0</v>
      </c>
      <c r="AZ12" s="193">
        <f t="shared" ref="AZ12:AZ38" si="14">(AX12*AY12)/360</f>
        <v>0</v>
      </c>
      <c r="BC12" s="193">
        <f t="shared" ref="BC12:BC38" si="15">(BA12*BB12)/360</f>
        <v>0</v>
      </c>
      <c r="BF12" s="193">
        <f t="shared" ref="BF12:BF38" si="16">(BD12*BE12)/360</f>
        <v>0</v>
      </c>
      <c r="BI12" s="193">
        <f t="shared" ref="BI12:BI38" si="17">(BG12*BH12)/360</f>
        <v>0</v>
      </c>
      <c r="BL12" s="193">
        <f t="shared" ref="BL12:BL38" si="18">(BJ12*BK12)/360</f>
        <v>0</v>
      </c>
      <c r="BO12" s="193">
        <f t="shared" ref="BO12:BO38" si="19">(BM12*BN12)/360</f>
        <v>0</v>
      </c>
      <c r="BR12" s="193">
        <f t="shared" ref="BR12:BR38" si="20">(BP12*BQ12)/360</f>
        <v>0</v>
      </c>
      <c r="BU12" s="193">
        <f t="shared" ref="BU12:BU38" si="21">(BS12*BT12)/360</f>
        <v>0</v>
      </c>
      <c r="BX12" s="193">
        <f t="shared" ref="BX12:BX38" si="22">(BV12*BW12)/360</f>
        <v>0</v>
      </c>
      <c r="CA12" s="193">
        <f t="shared" ref="CA12:CA38" si="23">(BY12*BZ12)/360</f>
        <v>0</v>
      </c>
      <c r="CD12" s="193">
        <f t="shared" ref="CD12:CD38" si="24">(CB12*CC12)/360</f>
        <v>0</v>
      </c>
      <c r="CG12" s="193">
        <f t="shared" ref="CG12:CG38" si="25">(CE12*CF12)/360</f>
        <v>0</v>
      </c>
      <c r="CJ12" s="193">
        <f t="shared" ref="CJ12:CJ38" si="26">(CH12*CI12)/360</f>
        <v>0</v>
      </c>
      <c r="CM12" s="193">
        <f t="shared" ref="CM12:CM38" si="27">(CK12*CL12)/360</f>
        <v>0</v>
      </c>
      <c r="CP12" s="193">
        <f t="shared" ref="CP12:CP38" si="28">(CN12*CO12)/360</f>
        <v>0</v>
      </c>
      <c r="CS12" s="193">
        <f t="shared" ref="CS12:CS38" si="29">(CQ12*CR12)/360</f>
        <v>0</v>
      </c>
      <c r="CV12" s="193">
        <f t="shared" ref="CV12:CV38" si="30">(CT12*CU12)/360</f>
        <v>0</v>
      </c>
      <c r="CY12" s="193">
        <f t="shared" ref="CY12:CY38" si="31">(CW12*CX12)/360</f>
        <v>0</v>
      </c>
      <c r="DB12" s="193">
        <f t="shared" ref="DB12:DB38" si="32">(CZ12*DA12)/360</f>
        <v>0</v>
      </c>
      <c r="DE12" s="193">
        <f t="shared" ref="DE12:DE38" si="33">(DC12*DD12)/360</f>
        <v>0</v>
      </c>
      <c r="DH12" s="193">
        <f t="shared" ref="DH12:DH38" si="34">(DF12*DG12)/360</f>
        <v>0</v>
      </c>
      <c r="DK12" s="193">
        <f t="shared" ref="DK12:DK38" si="35">(DI12*DJ12)/360</f>
        <v>0</v>
      </c>
      <c r="DN12" s="193">
        <f t="shared" ref="DN12:DN38" si="36">(DL12*DM12)/360</f>
        <v>0</v>
      </c>
      <c r="DQ12" s="193">
        <f t="shared" ref="DQ12:DQ38" si="37">(DO12*DP12)/360</f>
        <v>0</v>
      </c>
      <c r="DT12" s="193">
        <f t="shared" ref="DT12:DT38" si="38">(DR12*DS12)/360</f>
        <v>0</v>
      </c>
      <c r="DW12" s="193">
        <f t="shared" ref="DW12:DW38" si="39">(DU12*DV12)/360</f>
        <v>0</v>
      </c>
      <c r="DZ12" s="193"/>
      <c r="EA12" s="193"/>
      <c r="EB12" s="228">
        <f t="shared" ref="EB12:EB38" si="40">B12+E12+H12+K12+N12+Q12+T12+W12+Z12+AC12+AF12+AL12+AO12+AR12+AU12+AX12+BA12+BD12+BG12+DU12+AI12+DR12+DO12+DL12+DI12+DF12+DC12+CZ12+CW12+CT12+CQ12+CN12+CK12+CH12+CE12+CB12+BY12+BV12+BS12+BP12+BM12+BJ12</f>
        <v>120825000</v>
      </c>
      <c r="EC12" s="228">
        <f t="shared" ref="EC12:EC38" si="41">EB12-EK12+EL12</f>
        <v>0</v>
      </c>
      <c r="ED12" s="193">
        <f t="shared" ref="ED12:ED38" si="42">D12+G12+J12+M12+P12+S12+V12+Y12+AB12+AE12+AH12+AK12+AN12+AQ12+AT12+AW12+AZ12+BC12+BF12+BI12+DW12+DT12+DQ12+DN12+DK12+DH12+DE12+DB12+CY12+CV12+CS12+CP12+CM12+CJ12+CG12+CD12+CA12+BX12+BU12+BR12+BO12+BL12</f>
        <v>775.41666666666674</v>
      </c>
      <c r="EE12" s="194">
        <f t="shared" ref="EE12:EE38" si="43">IF(EB12&lt;&gt;0,((ED12/EB12)*360),0)</f>
        <v>2.3103662321539418E-3</v>
      </c>
      <c r="EG12" s="228">
        <f t="shared" ref="EG12:EG38" si="44">Q12+T12+W12+Z12+AC12+AF12</f>
        <v>0</v>
      </c>
      <c r="EH12" s="193">
        <f t="shared" ref="EH12:EH38" si="45">S12+V12+Y12+AB12+AE12+AH12</f>
        <v>0</v>
      </c>
      <c r="EI12" s="194">
        <f t="shared" ref="EI12:EI38" si="46">IF(EG12&lt;&gt;0,((EH12/EG12)*360),0)</f>
        <v>0</v>
      </c>
      <c r="EJ12" s="194"/>
      <c r="EK12" s="228">
        <f t="shared" ref="EK12:EK38" si="47">DR12+DL12+DI12+DF12+DC12+CZ12+CW12+CT12+CQ12+CN12+CK12+CH12+CE12+CB12+BY12+BV12+BS12+BP12+BM12+BJ12+BG12+BD12+BA12+AX12+AU12+AR12+AO12+AL12+AI12+DO12</f>
        <v>120825000</v>
      </c>
      <c r="EL12" s="228">
        <f t="shared" ref="EL12:EL38" si="48">DX12</f>
        <v>0</v>
      </c>
      <c r="EM12" s="228">
        <f t="shared" ref="EM12:EM38" si="49">DT12+DQ12+DN12+DK12+DH12+DE12+DB12+CY12+CV12+CS12+CP12+CM12+CJ12+CG12+CD12+CA12+BX12+BU12+BR12+BO12+BL12+BI12+BF12+BC12+AZ12+AW12+AT12+AQ12+AN12+AK12</f>
        <v>775.41666666666674</v>
      </c>
      <c r="EN12" s="194">
        <f t="shared" ref="EN12:EN38" si="50">IF(EK12&lt;&gt;0,((EM12/EK12)*360),0)</f>
        <v>2.3103662321539418E-3</v>
      </c>
      <c r="EP12" s="193"/>
    </row>
    <row r="13" spans="1:147" x14ac:dyDescent="0.2">
      <c r="A13" s="225">
        <f t="shared" ref="A13:A38" si="51">1+A12</f>
        <v>44230</v>
      </c>
      <c r="B13" s="193">
        <v>0</v>
      </c>
      <c r="C13" s="194">
        <v>2.5466699999999996E-3</v>
      </c>
      <c r="D13" s="193">
        <f t="shared" si="0"/>
        <v>0</v>
      </c>
      <c r="G13" s="193">
        <f t="shared" si="1"/>
        <v>0</v>
      </c>
      <c r="J13" s="193">
        <f t="shared" si="2"/>
        <v>0</v>
      </c>
      <c r="M13" s="193">
        <f t="shared" si="3"/>
        <v>0</v>
      </c>
      <c r="P13" s="193">
        <f t="shared" si="4"/>
        <v>0</v>
      </c>
      <c r="S13" s="193">
        <f t="shared" si="5"/>
        <v>0</v>
      </c>
      <c r="V13" s="193">
        <f t="shared" si="6"/>
        <v>0</v>
      </c>
      <c r="Y13" s="193">
        <f t="shared" si="7"/>
        <v>0</v>
      </c>
      <c r="AB13" s="193">
        <f t="shared" si="8"/>
        <v>0</v>
      </c>
      <c r="AE13" s="193">
        <v>0</v>
      </c>
      <c r="AH13" s="193">
        <v>0</v>
      </c>
      <c r="AI13" s="226">
        <v>20000000</v>
      </c>
      <c r="AJ13" s="227">
        <v>2.5000000000000001E-3</v>
      </c>
      <c r="AK13" s="193">
        <f t="shared" si="9"/>
        <v>138.88888888888889</v>
      </c>
      <c r="AL13" s="226">
        <v>55000000</v>
      </c>
      <c r="AM13" s="227">
        <v>2.5000000000000001E-3</v>
      </c>
      <c r="AN13" s="193">
        <f t="shared" si="10"/>
        <v>381.94444444444446</v>
      </c>
      <c r="AO13" s="226">
        <v>38075000</v>
      </c>
      <c r="AP13" s="227">
        <v>2E-3</v>
      </c>
      <c r="AQ13" s="193">
        <f t="shared" si="11"/>
        <v>211.52777777777777</v>
      </c>
      <c r="AR13" s="226"/>
      <c r="AS13" s="227"/>
      <c r="AT13" s="193">
        <f t="shared" si="12"/>
        <v>0</v>
      </c>
      <c r="AW13" s="193">
        <f t="shared" si="13"/>
        <v>0</v>
      </c>
      <c r="AZ13" s="193">
        <f t="shared" si="14"/>
        <v>0</v>
      </c>
      <c r="BC13" s="193">
        <f t="shared" si="15"/>
        <v>0</v>
      </c>
      <c r="BF13" s="193">
        <f t="shared" si="16"/>
        <v>0</v>
      </c>
      <c r="BI13" s="193">
        <f t="shared" si="17"/>
        <v>0</v>
      </c>
      <c r="BL13" s="193">
        <f t="shared" si="18"/>
        <v>0</v>
      </c>
      <c r="BO13" s="193">
        <f t="shared" si="19"/>
        <v>0</v>
      </c>
      <c r="BR13" s="193">
        <f t="shared" si="20"/>
        <v>0</v>
      </c>
      <c r="BU13" s="193">
        <f t="shared" si="21"/>
        <v>0</v>
      </c>
      <c r="BX13" s="193">
        <f t="shared" si="22"/>
        <v>0</v>
      </c>
      <c r="CA13" s="193">
        <f t="shared" si="23"/>
        <v>0</v>
      </c>
      <c r="CD13" s="193">
        <f t="shared" si="24"/>
        <v>0</v>
      </c>
      <c r="CG13" s="193">
        <f t="shared" si="25"/>
        <v>0</v>
      </c>
      <c r="CJ13" s="193">
        <f t="shared" si="26"/>
        <v>0</v>
      </c>
      <c r="CM13" s="193">
        <f t="shared" si="27"/>
        <v>0</v>
      </c>
      <c r="CP13" s="193">
        <f t="shared" si="28"/>
        <v>0</v>
      </c>
      <c r="CS13" s="193">
        <f t="shared" si="29"/>
        <v>0</v>
      </c>
      <c r="CV13" s="193">
        <f t="shared" si="30"/>
        <v>0</v>
      </c>
      <c r="CY13" s="193">
        <f t="shared" si="31"/>
        <v>0</v>
      </c>
      <c r="DB13" s="193">
        <f t="shared" si="32"/>
        <v>0</v>
      </c>
      <c r="DE13" s="193">
        <f t="shared" si="33"/>
        <v>0</v>
      </c>
      <c r="DH13" s="193">
        <f t="shared" si="34"/>
        <v>0</v>
      </c>
      <c r="DK13" s="193">
        <f t="shared" si="35"/>
        <v>0</v>
      </c>
      <c r="DN13" s="193">
        <f t="shared" si="36"/>
        <v>0</v>
      </c>
      <c r="DQ13" s="193">
        <f t="shared" si="37"/>
        <v>0</v>
      </c>
      <c r="DT13" s="193">
        <f t="shared" si="38"/>
        <v>0</v>
      </c>
      <c r="DW13" s="193">
        <f t="shared" si="39"/>
        <v>0</v>
      </c>
      <c r="DZ13" s="193"/>
      <c r="EA13" s="193"/>
      <c r="EB13" s="228">
        <f t="shared" si="40"/>
        <v>113075000</v>
      </c>
      <c r="EC13" s="228">
        <f t="shared" si="41"/>
        <v>0</v>
      </c>
      <c r="ED13" s="193">
        <f t="shared" si="42"/>
        <v>732.36111111111109</v>
      </c>
      <c r="EE13" s="194">
        <f t="shared" si="43"/>
        <v>2.3316382931682514E-3</v>
      </c>
      <c r="EG13" s="228">
        <f t="shared" si="44"/>
        <v>0</v>
      </c>
      <c r="EH13" s="193">
        <f t="shared" si="45"/>
        <v>0</v>
      </c>
      <c r="EI13" s="194">
        <f t="shared" si="46"/>
        <v>0</v>
      </c>
      <c r="EJ13" s="194"/>
      <c r="EK13" s="228">
        <f t="shared" si="47"/>
        <v>113075000</v>
      </c>
      <c r="EL13" s="228">
        <f t="shared" si="48"/>
        <v>0</v>
      </c>
      <c r="EM13" s="228">
        <f t="shared" si="49"/>
        <v>732.36111111111109</v>
      </c>
      <c r="EN13" s="194">
        <f t="shared" si="50"/>
        <v>2.3316382931682514E-3</v>
      </c>
      <c r="EP13" s="193"/>
    </row>
    <row r="14" spans="1:147" x14ac:dyDescent="0.2">
      <c r="A14" s="225">
        <f t="shared" si="51"/>
        <v>44231</v>
      </c>
      <c r="B14" s="193">
        <v>0</v>
      </c>
      <c r="C14" s="194">
        <v>2.5463700000000001E-3</v>
      </c>
      <c r="D14" s="193">
        <f t="shared" si="0"/>
        <v>0</v>
      </c>
      <c r="G14" s="193">
        <f t="shared" si="1"/>
        <v>0</v>
      </c>
      <c r="J14" s="193">
        <f t="shared" si="2"/>
        <v>0</v>
      </c>
      <c r="M14" s="193">
        <f t="shared" si="3"/>
        <v>0</v>
      </c>
      <c r="P14" s="193">
        <f t="shared" si="4"/>
        <v>0</v>
      </c>
      <c r="S14" s="193">
        <f t="shared" si="5"/>
        <v>0</v>
      </c>
      <c r="V14" s="193">
        <f t="shared" si="6"/>
        <v>0</v>
      </c>
      <c r="Y14" s="193">
        <f t="shared" si="7"/>
        <v>0</v>
      </c>
      <c r="AB14" s="193">
        <f t="shared" si="8"/>
        <v>0</v>
      </c>
      <c r="AE14" s="193">
        <v>0</v>
      </c>
      <c r="AH14" s="193">
        <v>0</v>
      </c>
      <c r="AI14" s="226">
        <v>20000000</v>
      </c>
      <c r="AJ14" s="227">
        <v>2.5000000000000001E-3</v>
      </c>
      <c r="AK14" s="193">
        <f t="shared" si="9"/>
        <v>138.88888888888889</v>
      </c>
      <c r="AL14" s="226">
        <v>55000000</v>
      </c>
      <c r="AM14" s="227">
        <v>2.5000000000000001E-3</v>
      </c>
      <c r="AN14" s="193">
        <f t="shared" si="10"/>
        <v>381.94444444444446</v>
      </c>
      <c r="AO14" s="226">
        <v>37300000</v>
      </c>
      <c r="AP14" s="227">
        <v>2E-3</v>
      </c>
      <c r="AQ14" s="193">
        <f t="shared" si="11"/>
        <v>207.22222222222223</v>
      </c>
      <c r="AR14" s="226"/>
      <c r="AS14" s="227"/>
      <c r="AT14" s="193">
        <f t="shared" si="12"/>
        <v>0</v>
      </c>
      <c r="AW14" s="193">
        <f t="shared" si="13"/>
        <v>0</v>
      </c>
      <c r="AZ14" s="193">
        <f t="shared" si="14"/>
        <v>0</v>
      </c>
      <c r="BC14" s="193">
        <f t="shared" si="15"/>
        <v>0</v>
      </c>
      <c r="BF14" s="193">
        <f t="shared" si="16"/>
        <v>0</v>
      </c>
      <c r="BI14" s="193">
        <f t="shared" si="17"/>
        <v>0</v>
      </c>
      <c r="BL14" s="193">
        <f t="shared" si="18"/>
        <v>0</v>
      </c>
      <c r="BO14" s="193">
        <f t="shared" si="19"/>
        <v>0</v>
      </c>
      <c r="BR14" s="193">
        <f t="shared" si="20"/>
        <v>0</v>
      </c>
      <c r="BU14" s="193">
        <f t="shared" si="21"/>
        <v>0</v>
      </c>
      <c r="BX14" s="193">
        <f t="shared" si="22"/>
        <v>0</v>
      </c>
      <c r="CA14" s="193">
        <f t="shared" si="23"/>
        <v>0</v>
      </c>
      <c r="CD14" s="193">
        <f t="shared" si="24"/>
        <v>0</v>
      </c>
      <c r="CG14" s="193">
        <f t="shared" si="25"/>
        <v>0</v>
      </c>
      <c r="CJ14" s="193">
        <f t="shared" si="26"/>
        <v>0</v>
      </c>
      <c r="CM14" s="193">
        <f t="shared" si="27"/>
        <v>0</v>
      </c>
      <c r="CP14" s="193">
        <f t="shared" si="28"/>
        <v>0</v>
      </c>
      <c r="CS14" s="193">
        <f t="shared" si="29"/>
        <v>0</v>
      </c>
      <c r="CV14" s="193">
        <f t="shared" si="30"/>
        <v>0</v>
      </c>
      <c r="CY14" s="193">
        <f t="shared" si="31"/>
        <v>0</v>
      </c>
      <c r="DB14" s="193">
        <f t="shared" si="32"/>
        <v>0</v>
      </c>
      <c r="DE14" s="193">
        <f t="shared" si="33"/>
        <v>0</v>
      </c>
      <c r="DH14" s="193">
        <f t="shared" si="34"/>
        <v>0</v>
      </c>
      <c r="DK14" s="193">
        <f t="shared" si="35"/>
        <v>0</v>
      </c>
      <c r="DN14" s="193">
        <f t="shared" si="36"/>
        <v>0</v>
      </c>
      <c r="DQ14" s="193">
        <f t="shared" si="37"/>
        <v>0</v>
      </c>
      <c r="DT14" s="193">
        <f t="shared" si="38"/>
        <v>0</v>
      </c>
      <c r="DW14" s="193">
        <f t="shared" si="39"/>
        <v>0</v>
      </c>
      <c r="DZ14" s="193"/>
      <c r="EA14" s="193"/>
      <c r="EB14" s="228">
        <f t="shared" si="40"/>
        <v>112300000</v>
      </c>
      <c r="EC14" s="228">
        <f t="shared" si="41"/>
        <v>0</v>
      </c>
      <c r="ED14" s="193">
        <f t="shared" si="42"/>
        <v>728.05555555555566</v>
      </c>
      <c r="EE14" s="194">
        <f t="shared" si="43"/>
        <v>2.3339269813000894E-3</v>
      </c>
      <c r="EG14" s="228">
        <f t="shared" si="44"/>
        <v>0</v>
      </c>
      <c r="EH14" s="193">
        <f t="shared" si="45"/>
        <v>0</v>
      </c>
      <c r="EI14" s="194">
        <f t="shared" si="46"/>
        <v>0</v>
      </c>
      <c r="EJ14" s="194"/>
      <c r="EK14" s="228">
        <f t="shared" si="47"/>
        <v>112300000</v>
      </c>
      <c r="EL14" s="228">
        <f t="shared" si="48"/>
        <v>0</v>
      </c>
      <c r="EM14" s="228">
        <f t="shared" si="49"/>
        <v>728.05555555555566</v>
      </c>
      <c r="EN14" s="194">
        <f t="shared" si="50"/>
        <v>2.3339269813000894E-3</v>
      </c>
      <c r="EP14" s="193"/>
    </row>
    <row r="15" spans="1:147" x14ac:dyDescent="0.2">
      <c r="A15" s="225">
        <f t="shared" si="51"/>
        <v>44232</v>
      </c>
      <c r="B15" s="193">
        <v>0</v>
      </c>
      <c r="C15" s="194">
        <v>2.5468000000000001E-3</v>
      </c>
      <c r="D15" s="193">
        <f t="shared" si="0"/>
        <v>0</v>
      </c>
      <c r="G15" s="193">
        <f t="shared" si="1"/>
        <v>0</v>
      </c>
      <c r="J15" s="193">
        <f t="shared" si="2"/>
        <v>0</v>
      </c>
      <c r="M15" s="193">
        <f t="shared" si="3"/>
        <v>0</v>
      </c>
      <c r="P15" s="193">
        <f t="shared" si="4"/>
        <v>0</v>
      </c>
      <c r="S15" s="193">
        <f t="shared" si="5"/>
        <v>0</v>
      </c>
      <c r="V15" s="193">
        <f t="shared" si="6"/>
        <v>0</v>
      </c>
      <c r="Y15" s="193">
        <f t="shared" si="7"/>
        <v>0</v>
      </c>
      <c r="AB15" s="193">
        <f t="shared" si="8"/>
        <v>0</v>
      </c>
      <c r="AE15" s="193">
        <v>0</v>
      </c>
      <c r="AH15" s="193">
        <v>0</v>
      </c>
      <c r="AI15" s="226">
        <v>20000000</v>
      </c>
      <c r="AJ15" s="227">
        <v>2.5000000000000001E-3</v>
      </c>
      <c r="AK15" s="193">
        <f t="shared" si="9"/>
        <v>138.88888888888889</v>
      </c>
      <c r="AL15" s="226">
        <v>55000000</v>
      </c>
      <c r="AM15" s="227">
        <v>2.5000000000000001E-3</v>
      </c>
      <c r="AN15" s="193">
        <f t="shared" si="10"/>
        <v>381.94444444444446</v>
      </c>
      <c r="AO15" s="226">
        <v>40725000</v>
      </c>
      <c r="AP15" s="227">
        <v>2E-3</v>
      </c>
      <c r="AQ15" s="193">
        <f t="shared" si="11"/>
        <v>226.25</v>
      </c>
      <c r="AR15" s="226"/>
      <c r="AS15" s="227"/>
      <c r="AT15" s="193">
        <f t="shared" si="12"/>
        <v>0</v>
      </c>
      <c r="AW15" s="193">
        <f t="shared" si="13"/>
        <v>0</v>
      </c>
      <c r="AZ15" s="193">
        <f t="shared" si="14"/>
        <v>0</v>
      </c>
      <c r="BC15" s="193">
        <f t="shared" si="15"/>
        <v>0</v>
      </c>
      <c r="BF15" s="193">
        <f t="shared" si="16"/>
        <v>0</v>
      </c>
      <c r="BI15" s="193">
        <f t="shared" si="17"/>
        <v>0</v>
      </c>
      <c r="BL15" s="193">
        <f t="shared" si="18"/>
        <v>0</v>
      </c>
      <c r="BO15" s="193">
        <f t="shared" si="19"/>
        <v>0</v>
      </c>
      <c r="BR15" s="193">
        <f t="shared" si="20"/>
        <v>0</v>
      </c>
      <c r="BU15" s="193">
        <f t="shared" si="21"/>
        <v>0</v>
      </c>
      <c r="BX15" s="193">
        <f t="shared" si="22"/>
        <v>0</v>
      </c>
      <c r="CA15" s="193">
        <f t="shared" si="23"/>
        <v>0</v>
      </c>
      <c r="CD15" s="193">
        <f t="shared" si="24"/>
        <v>0</v>
      </c>
      <c r="CG15" s="193">
        <f t="shared" si="25"/>
        <v>0</v>
      </c>
      <c r="CJ15" s="193">
        <f t="shared" si="26"/>
        <v>0</v>
      </c>
      <c r="CM15" s="193">
        <f t="shared" si="27"/>
        <v>0</v>
      </c>
      <c r="CP15" s="193">
        <f t="shared" si="28"/>
        <v>0</v>
      </c>
      <c r="CS15" s="193">
        <f t="shared" si="29"/>
        <v>0</v>
      </c>
      <c r="CV15" s="193">
        <f t="shared" si="30"/>
        <v>0</v>
      </c>
      <c r="CY15" s="193">
        <f t="shared" si="31"/>
        <v>0</v>
      </c>
      <c r="DB15" s="193">
        <f t="shared" si="32"/>
        <v>0</v>
      </c>
      <c r="DE15" s="193">
        <f t="shared" si="33"/>
        <v>0</v>
      </c>
      <c r="DH15" s="193">
        <f t="shared" si="34"/>
        <v>0</v>
      </c>
      <c r="DK15" s="193">
        <f t="shared" si="35"/>
        <v>0</v>
      </c>
      <c r="DN15" s="193">
        <f t="shared" si="36"/>
        <v>0</v>
      </c>
      <c r="DQ15" s="193">
        <f t="shared" si="37"/>
        <v>0</v>
      </c>
      <c r="DT15" s="193">
        <f t="shared" si="38"/>
        <v>0</v>
      </c>
      <c r="DW15" s="193">
        <f t="shared" si="39"/>
        <v>0</v>
      </c>
      <c r="DZ15" s="193"/>
      <c r="EA15" s="193"/>
      <c r="EB15" s="228">
        <f t="shared" si="40"/>
        <v>115725000</v>
      </c>
      <c r="EC15" s="228">
        <f t="shared" si="41"/>
        <v>0</v>
      </c>
      <c r="ED15" s="193">
        <f t="shared" si="42"/>
        <v>747.08333333333337</v>
      </c>
      <c r="EE15" s="194">
        <f t="shared" si="43"/>
        <v>2.3240440699935196E-3</v>
      </c>
      <c r="EG15" s="228">
        <f t="shared" si="44"/>
        <v>0</v>
      </c>
      <c r="EH15" s="193">
        <f t="shared" si="45"/>
        <v>0</v>
      </c>
      <c r="EI15" s="194">
        <f t="shared" si="46"/>
        <v>0</v>
      </c>
      <c r="EJ15" s="194"/>
      <c r="EK15" s="228">
        <f t="shared" si="47"/>
        <v>115725000</v>
      </c>
      <c r="EL15" s="228">
        <f t="shared" si="48"/>
        <v>0</v>
      </c>
      <c r="EM15" s="228">
        <f t="shared" si="49"/>
        <v>747.08333333333337</v>
      </c>
      <c r="EN15" s="194">
        <f t="shared" si="50"/>
        <v>2.3240440699935196E-3</v>
      </c>
      <c r="EP15" s="193"/>
    </row>
    <row r="16" spans="1:147" x14ac:dyDescent="0.2">
      <c r="A16" s="225">
        <f t="shared" si="51"/>
        <v>44233</v>
      </c>
      <c r="B16" s="193">
        <v>0</v>
      </c>
      <c r="C16" s="194">
        <v>2.5468000000000001E-3</v>
      </c>
      <c r="D16" s="193">
        <f t="shared" si="0"/>
        <v>0</v>
      </c>
      <c r="G16" s="193">
        <f t="shared" si="1"/>
        <v>0</v>
      </c>
      <c r="J16" s="193">
        <f t="shared" si="2"/>
        <v>0</v>
      </c>
      <c r="M16" s="193">
        <f t="shared" si="3"/>
        <v>0</v>
      </c>
      <c r="P16" s="193">
        <f t="shared" si="4"/>
        <v>0</v>
      </c>
      <c r="S16" s="193">
        <f t="shared" si="5"/>
        <v>0</v>
      </c>
      <c r="V16" s="193">
        <f t="shared" si="6"/>
        <v>0</v>
      </c>
      <c r="Y16" s="193">
        <f t="shared" si="7"/>
        <v>0</v>
      </c>
      <c r="AB16" s="193">
        <f t="shared" si="8"/>
        <v>0</v>
      </c>
      <c r="AE16" s="193">
        <v>0</v>
      </c>
      <c r="AH16" s="193">
        <v>0</v>
      </c>
      <c r="AI16" s="226">
        <v>20000000</v>
      </c>
      <c r="AJ16" s="227">
        <v>2.5000000000000001E-3</v>
      </c>
      <c r="AK16" s="193">
        <f t="shared" si="9"/>
        <v>138.88888888888889</v>
      </c>
      <c r="AL16" s="226">
        <v>55000000</v>
      </c>
      <c r="AM16" s="227">
        <v>2.5000000000000001E-3</v>
      </c>
      <c r="AN16" s="193">
        <f t="shared" si="10"/>
        <v>381.94444444444446</v>
      </c>
      <c r="AO16" s="226">
        <v>40725000</v>
      </c>
      <c r="AP16" s="227">
        <v>2E-3</v>
      </c>
      <c r="AQ16" s="193">
        <f t="shared" si="11"/>
        <v>226.25</v>
      </c>
      <c r="AR16" s="226"/>
      <c r="AS16" s="227"/>
      <c r="AT16" s="193">
        <f t="shared" si="12"/>
        <v>0</v>
      </c>
      <c r="AW16" s="193">
        <f t="shared" si="13"/>
        <v>0</v>
      </c>
      <c r="AZ16" s="193">
        <f t="shared" si="14"/>
        <v>0</v>
      </c>
      <c r="BC16" s="193">
        <f t="shared" si="15"/>
        <v>0</v>
      </c>
      <c r="BF16" s="193">
        <f t="shared" si="16"/>
        <v>0</v>
      </c>
      <c r="BI16" s="193">
        <f t="shared" si="17"/>
        <v>0</v>
      </c>
      <c r="BL16" s="193">
        <f t="shared" si="18"/>
        <v>0</v>
      </c>
      <c r="BO16" s="193">
        <f t="shared" si="19"/>
        <v>0</v>
      </c>
      <c r="BR16" s="193">
        <f t="shared" si="20"/>
        <v>0</v>
      </c>
      <c r="BU16" s="193">
        <f t="shared" si="21"/>
        <v>0</v>
      </c>
      <c r="BX16" s="193">
        <f t="shared" si="22"/>
        <v>0</v>
      </c>
      <c r="CA16" s="193">
        <f t="shared" si="23"/>
        <v>0</v>
      </c>
      <c r="CD16" s="193">
        <f t="shared" si="24"/>
        <v>0</v>
      </c>
      <c r="CG16" s="193">
        <f t="shared" si="25"/>
        <v>0</v>
      </c>
      <c r="CJ16" s="193">
        <f t="shared" si="26"/>
        <v>0</v>
      </c>
      <c r="CM16" s="193">
        <f t="shared" si="27"/>
        <v>0</v>
      </c>
      <c r="CP16" s="193">
        <f t="shared" si="28"/>
        <v>0</v>
      </c>
      <c r="CS16" s="193">
        <f t="shared" si="29"/>
        <v>0</v>
      </c>
      <c r="CV16" s="193">
        <f t="shared" si="30"/>
        <v>0</v>
      </c>
      <c r="CY16" s="193">
        <f t="shared" si="31"/>
        <v>0</v>
      </c>
      <c r="DB16" s="193">
        <f t="shared" si="32"/>
        <v>0</v>
      </c>
      <c r="DE16" s="193">
        <f t="shared" si="33"/>
        <v>0</v>
      </c>
      <c r="DH16" s="193">
        <f t="shared" si="34"/>
        <v>0</v>
      </c>
      <c r="DK16" s="193">
        <f t="shared" si="35"/>
        <v>0</v>
      </c>
      <c r="DN16" s="193">
        <f t="shared" si="36"/>
        <v>0</v>
      </c>
      <c r="DQ16" s="193">
        <f t="shared" si="37"/>
        <v>0</v>
      </c>
      <c r="DT16" s="193">
        <f t="shared" si="38"/>
        <v>0</v>
      </c>
      <c r="DW16" s="193">
        <f t="shared" si="39"/>
        <v>0</v>
      </c>
      <c r="DZ16" s="193"/>
      <c r="EA16" s="193"/>
      <c r="EB16" s="228">
        <f t="shared" si="40"/>
        <v>115725000</v>
      </c>
      <c r="EC16" s="228">
        <f t="shared" si="41"/>
        <v>0</v>
      </c>
      <c r="ED16" s="193">
        <f t="shared" si="42"/>
        <v>747.08333333333337</v>
      </c>
      <c r="EE16" s="194">
        <f t="shared" si="43"/>
        <v>2.3240440699935196E-3</v>
      </c>
      <c r="EG16" s="228">
        <f t="shared" si="44"/>
        <v>0</v>
      </c>
      <c r="EH16" s="193">
        <f t="shared" si="45"/>
        <v>0</v>
      </c>
      <c r="EI16" s="194">
        <f t="shared" si="46"/>
        <v>0</v>
      </c>
      <c r="EJ16" s="194"/>
      <c r="EK16" s="228">
        <f t="shared" si="47"/>
        <v>115725000</v>
      </c>
      <c r="EL16" s="228">
        <f t="shared" si="48"/>
        <v>0</v>
      </c>
      <c r="EM16" s="228">
        <f t="shared" si="49"/>
        <v>747.08333333333337</v>
      </c>
      <c r="EN16" s="194">
        <f t="shared" si="50"/>
        <v>2.3240440699935196E-3</v>
      </c>
      <c r="EP16" s="193"/>
    </row>
    <row r="17" spans="1:146" x14ac:dyDescent="0.2">
      <c r="A17" s="225">
        <f t="shared" si="51"/>
        <v>44234</v>
      </c>
      <c r="B17" s="193">
        <v>0</v>
      </c>
      <c r="C17" s="194">
        <v>2.5468000000000001E-3</v>
      </c>
      <c r="D17" s="193">
        <f t="shared" si="0"/>
        <v>0</v>
      </c>
      <c r="G17" s="193">
        <f t="shared" si="1"/>
        <v>0</v>
      </c>
      <c r="J17" s="193">
        <f t="shared" si="2"/>
        <v>0</v>
      </c>
      <c r="M17" s="193">
        <f t="shared" si="3"/>
        <v>0</v>
      </c>
      <c r="P17" s="193">
        <f t="shared" si="4"/>
        <v>0</v>
      </c>
      <c r="S17" s="193">
        <f t="shared" si="5"/>
        <v>0</v>
      </c>
      <c r="V17" s="193">
        <f t="shared" si="6"/>
        <v>0</v>
      </c>
      <c r="Y17" s="193">
        <f t="shared" si="7"/>
        <v>0</v>
      </c>
      <c r="AB17" s="193">
        <f t="shared" si="8"/>
        <v>0</v>
      </c>
      <c r="AE17" s="193">
        <v>0</v>
      </c>
      <c r="AH17" s="193">
        <v>0</v>
      </c>
      <c r="AI17" s="226">
        <v>20000000</v>
      </c>
      <c r="AJ17" s="227">
        <v>2.5000000000000001E-3</v>
      </c>
      <c r="AK17" s="193">
        <f t="shared" si="9"/>
        <v>138.88888888888889</v>
      </c>
      <c r="AL17" s="226">
        <v>55000000</v>
      </c>
      <c r="AM17" s="227">
        <v>2.5000000000000001E-3</v>
      </c>
      <c r="AN17" s="193">
        <f t="shared" si="10"/>
        <v>381.94444444444446</v>
      </c>
      <c r="AO17" s="226">
        <v>40725000</v>
      </c>
      <c r="AP17" s="227">
        <v>2E-3</v>
      </c>
      <c r="AQ17" s="193">
        <f t="shared" si="11"/>
        <v>226.25</v>
      </c>
      <c r="AR17" s="226"/>
      <c r="AS17" s="227"/>
      <c r="AT17" s="193">
        <f t="shared" si="12"/>
        <v>0</v>
      </c>
      <c r="AW17" s="193">
        <f t="shared" si="13"/>
        <v>0</v>
      </c>
      <c r="AZ17" s="193">
        <f t="shared" si="14"/>
        <v>0</v>
      </c>
      <c r="BC17" s="193">
        <f t="shared" si="15"/>
        <v>0</v>
      </c>
      <c r="BF17" s="193">
        <f t="shared" si="16"/>
        <v>0</v>
      </c>
      <c r="BI17" s="193">
        <f t="shared" si="17"/>
        <v>0</v>
      </c>
      <c r="BL17" s="193">
        <f t="shared" si="18"/>
        <v>0</v>
      </c>
      <c r="BO17" s="193">
        <f t="shared" si="19"/>
        <v>0</v>
      </c>
      <c r="BR17" s="193">
        <f t="shared" si="20"/>
        <v>0</v>
      </c>
      <c r="BU17" s="193">
        <f t="shared" si="21"/>
        <v>0</v>
      </c>
      <c r="BX17" s="193">
        <f t="shared" si="22"/>
        <v>0</v>
      </c>
      <c r="CA17" s="193">
        <f t="shared" si="23"/>
        <v>0</v>
      </c>
      <c r="CD17" s="193">
        <f t="shared" si="24"/>
        <v>0</v>
      </c>
      <c r="CG17" s="193">
        <f t="shared" si="25"/>
        <v>0</v>
      </c>
      <c r="CJ17" s="193">
        <f t="shared" si="26"/>
        <v>0</v>
      </c>
      <c r="CM17" s="193">
        <f t="shared" si="27"/>
        <v>0</v>
      </c>
      <c r="CP17" s="193">
        <f t="shared" si="28"/>
        <v>0</v>
      </c>
      <c r="CS17" s="193">
        <f t="shared" si="29"/>
        <v>0</v>
      </c>
      <c r="CV17" s="193">
        <f t="shared" si="30"/>
        <v>0</v>
      </c>
      <c r="CY17" s="193">
        <f t="shared" si="31"/>
        <v>0</v>
      </c>
      <c r="DB17" s="193">
        <f t="shared" si="32"/>
        <v>0</v>
      </c>
      <c r="DE17" s="193">
        <f t="shared" si="33"/>
        <v>0</v>
      </c>
      <c r="DH17" s="193">
        <f t="shared" si="34"/>
        <v>0</v>
      </c>
      <c r="DK17" s="193">
        <f t="shared" si="35"/>
        <v>0</v>
      </c>
      <c r="DN17" s="193">
        <f t="shared" si="36"/>
        <v>0</v>
      </c>
      <c r="DQ17" s="193">
        <f t="shared" si="37"/>
        <v>0</v>
      </c>
      <c r="DT17" s="193">
        <f t="shared" si="38"/>
        <v>0</v>
      </c>
      <c r="DW17" s="193">
        <f t="shared" si="39"/>
        <v>0</v>
      </c>
      <c r="DZ17" s="193"/>
      <c r="EA17" s="193"/>
      <c r="EB17" s="228">
        <f t="shared" si="40"/>
        <v>115725000</v>
      </c>
      <c r="EC17" s="228">
        <f t="shared" si="41"/>
        <v>0</v>
      </c>
      <c r="ED17" s="193">
        <f t="shared" si="42"/>
        <v>747.08333333333337</v>
      </c>
      <c r="EE17" s="194">
        <f t="shared" si="43"/>
        <v>2.3240440699935196E-3</v>
      </c>
      <c r="EG17" s="228">
        <f t="shared" si="44"/>
        <v>0</v>
      </c>
      <c r="EH17" s="193">
        <f t="shared" si="45"/>
        <v>0</v>
      </c>
      <c r="EI17" s="194">
        <f t="shared" si="46"/>
        <v>0</v>
      </c>
      <c r="EJ17" s="194"/>
      <c r="EK17" s="228">
        <f t="shared" si="47"/>
        <v>115725000</v>
      </c>
      <c r="EL17" s="228">
        <f t="shared" si="48"/>
        <v>0</v>
      </c>
      <c r="EM17" s="228">
        <f t="shared" si="49"/>
        <v>747.08333333333337</v>
      </c>
      <c r="EN17" s="194">
        <f t="shared" si="50"/>
        <v>2.3240440699935196E-3</v>
      </c>
      <c r="EP17" s="193"/>
    </row>
    <row r="18" spans="1:146" x14ac:dyDescent="0.2">
      <c r="A18" s="225">
        <f t="shared" si="51"/>
        <v>44235</v>
      </c>
      <c r="B18" s="193">
        <v>0</v>
      </c>
      <c r="C18" s="194">
        <v>2.5253300000000001E-3</v>
      </c>
      <c r="D18" s="193">
        <f t="shared" si="0"/>
        <v>0</v>
      </c>
      <c r="G18" s="193">
        <f t="shared" si="1"/>
        <v>0</v>
      </c>
      <c r="J18" s="193">
        <f t="shared" si="2"/>
        <v>0</v>
      </c>
      <c r="M18" s="193">
        <f t="shared" si="3"/>
        <v>0</v>
      </c>
      <c r="P18" s="193">
        <f t="shared" si="4"/>
        <v>0</v>
      </c>
      <c r="S18" s="193">
        <f t="shared" si="5"/>
        <v>0</v>
      </c>
      <c r="V18" s="193">
        <f t="shared" si="6"/>
        <v>0</v>
      </c>
      <c r="Y18" s="193">
        <f t="shared" si="7"/>
        <v>0</v>
      </c>
      <c r="AB18" s="193">
        <f t="shared" si="8"/>
        <v>0</v>
      </c>
      <c r="AE18" s="193">
        <v>0</v>
      </c>
      <c r="AH18" s="193">
        <v>0</v>
      </c>
      <c r="AI18" s="226">
        <v>20000000</v>
      </c>
      <c r="AJ18" s="227">
        <v>2.5000000000000001E-3</v>
      </c>
      <c r="AK18" s="193">
        <f t="shared" si="9"/>
        <v>138.88888888888889</v>
      </c>
      <c r="AL18" s="226">
        <v>55000000</v>
      </c>
      <c r="AM18" s="227">
        <v>2.5000000000000001E-3</v>
      </c>
      <c r="AN18" s="193">
        <f t="shared" si="10"/>
        <v>381.94444444444446</v>
      </c>
      <c r="AO18" s="226">
        <v>34525000</v>
      </c>
      <c r="AP18" s="227">
        <v>1.8E-3</v>
      </c>
      <c r="AQ18" s="193">
        <f t="shared" si="11"/>
        <v>172.625</v>
      </c>
      <c r="AR18" s="226"/>
      <c r="AS18" s="227"/>
      <c r="AT18" s="193">
        <f t="shared" si="12"/>
        <v>0</v>
      </c>
      <c r="AW18" s="193">
        <f t="shared" si="13"/>
        <v>0</v>
      </c>
      <c r="AZ18" s="193">
        <f t="shared" si="14"/>
        <v>0</v>
      </c>
      <c r="BC18" s="193">
        <f t="shared" si="15"/>
        <v>0</v>
      </c>
      <c r="BF18" s="193">
        <f t="shared" si="16"/>
        <v>0</v>
      </c>
      <c r="BI18" s="193">
        <f t="shared" si="17"/>
        <v>0</v>
      </c>
      <c r="BL18" s="193">
        <f t="shared" si="18"/>
        <v>0</v>
      </c>
      <c r="BO18" s="193">
        <f t="shared" si="19"/>
        <v>0</v>
      </c>
      <c r="BR18" s="193">
        <f t="shared" si="20"/>
        <v>0</v>
      </c>
      <c r="BU18" s="193">
        <f t="shared" si="21"/>
        <v>0</v>
      </c>
      <c r="BX18" s="193">
        <f t="shared" si="22"/>
        <v>0</v>
      </c>
      <c r="CA18" s="193">
        <f t="shared" si="23"/>
        <v>0</v>
      </c>
      <c r="CD18" s="193">
        <f t="shared" si="24"/>
        <v>0</v>
      </c>
      <c r="CG18" s="193">
        <f t="shared" si="25"/>
        <v>0</v>
      </c>
      <c r="CJ18" s="193">
        <f t="shared" si="26"/>
        <v>0</v>
      </c>
      <c r="CM18" s="193">
        <f t="shared" si="27"/>
        <v>0</v>
      </c>
      <c r="CP18" s="193">
        <f t="shared" si="28"/>
        <v>0</v>
      </c>
      <c r="CS18" s="193">
        <f t="shared" si="29"/>
        <v>0</v>
      </c>
      <c r="CV18" s="193">
        <f t="shared" si="30"/>
        <v>0</v>
      </c>
      <c r="CY18" s="193">
        <f t="shared" si="31"/>
        <v>0</v>
      </c>
      <c r="DB18" s="193">
        <f t="shared" si="32"/>
        <v>0</v>
      </c>
      <c r="DE18" s="193">
        <f t="shared" si="33"/>
        <v>0</v>
      </c>
      <c r="DH18" s="193">
        <f t="shared" si="34"/>
        <v>0</v>
      </c>
      <c r="DK18" s="193">
        <f t="shared" si="35"/>
        <v>0</v>
      </c>
      <c r="DN18" s="193">
        <f t="shared" si="36"/>
        <v>0</v>
      </c>
      <c r="DQ18" s="193">
        <f t="shared" si="37"/>
        <v>0</v>
      </c>
      <c r="DT18" s="193">
        <f t="shared" si="38"/>
        <v>0</v>
      </c>
      <c r="DW18" s="193">
        <f t="shared" si="39"/>
        <v>0</v>
      </c>
      <c r="DZ18" s="193"/>
      <c r="EA18" s="193"/>
      <c r="EB18" s="228">
        <f t="shared" si="40"/>
        <v>109525000</v>
      </c>
      <c r="EC18" s="228">
        <f t="shared" si="41"/>
        <v>0</v>
      </c>
      <c r="ED18" s="193">
        <f t="shared" si="42"/>
        <v>693.45833333333337</v>
      </c>
      <c r="EE18" s="194">
        <f t="shared" si="43"/>
        <v>2.2793426158411322E-3</v>
      </c>
      <c r="EG18" s="228">
        <f t="shared" si="44"/>
        <v>0</v>
      </c>
      <c r="EH18" s="193">
        <f t="shared" si="45"/>
        <v>0</v>
      </c>
      <c r="EI18" s="194">
        <f t="shared" si="46"/>
        <v>0</v>
      </c>
      <c r="EJ18" s="194"/>
      <c r="EK18" s="228">
        <f t="shared" si="47"/>
        <v>109525000</v>
      </c>
      <c r="EL18" s="228">
        <f t="shared" si="48"/>
        <v>0</v>
      </c>
      <c r="EM18" s="228">
        <f t="shared" si="49"/>
        <v>693.45833333333337</v>
      </c>
      <c r="EN18" s="194">
        <f t="shared" si="50"/>
        <v>2.2793426158411322E-3</v>
      </c>
      <c r="EP18" s="193"/>
    </row>
    <row r="19" spans="1:146" x14ac:dyDescent="0.2">
      <c r="A19" s="225">
        <f t="shared" si="51"/>
        <v>44236</v>
      </c>
      <c r="B19" s="193">
        <v>0</v>
      </c>
      <c r="C19" s="194">
        <v>2.5283299999999996E-3</v>
      </c>
      <c r="D19" s="193">
        <f t="shared" si="0"/>
        <v>0</v>
      </c>
      <c r="G19" s="193">
        <f t="shared" si="1"/>
        <v>0</v>
      </c>
      <c r="J19" s="193">
        <f t="shared" si="2"/>
        <v>0</v>
      </c>
      <c r="M19" s="193">
        <f t="shared" si="3"/>
        <v>0</v>
      </c>
      <c r="P19" s="193">
        <f t="shared" si="4"/>
        <v>0</v>
      </c>
      <c r="S19" s="193">
        <f t="shared" si="5"/>
        <v>0</v>
      </c>
      <c r="V19" s="193">
        <f t="shared" si="6"/>
        <v>0</v>
      </c>
      <c r="Y19" s="193">
        <f t="shared" si="7"/>
        <v>0</v>
      </c>
      <c r="AB19" s="193">
        <f t="shared" si="8"/>
        <v>0</v>
      </c>
      <c r="AE19" s="193">
        <v>0</v>
      </c>
      <c r="AH19" s="193">
        <v>0</v>
      </c>
      <c r="AI19" s="226">
        <v>20000000</v>
      </c>
      <c r="AJ19" s="227">
        <v>2.5000000000000001E-3</v>
      </c>
      <c r="AK19" s="193">
        <f t="shared" si="9"/>
        <v>138.88888888888889</v>
      </c>
      <c r="AL19" s="226">
        <v>55000000</v>
      </c>
      <c r="AM19" s="227">
        <v>2.5000000000000001E-3</v>
      </c>
      <c r="AN19" s="193">
        <f t="shared" si="10"/>
        <v>381.94444444444446</v>
      </c>
      <c r="AO19" s="226">
        <v>27750000</v>
      </c>
      <c r="AP19" s="227">
        <v>1.8E-3</v>
      </c>
      <c r="AQ19" s="193">
        <f t="shared" si="11"/>
        <v>138.75</v>
      </c>
      <c r="AR19" s="226"/>
      <c r="AS19" s="227"/>
      <c r="AT19" s="193">
        <f t="shared" si="12"/>
        <v>0</v>
      </c>
      <c r="AW19" s="193">
        <f t="shared" si="13"/>
        <v>0</v>
      </c>
      <c r="AZ19" s="193">
        <f t="shared" si="14"/>
        <v>0</v>
      </c>
      <c r="BC19" s="193">
        <f t="shared" si="15"/>
        <v>0</v>
      </c>
      <c r="BF19" s="193">
        <f t="shared" si="16"/>
        <v>0</v>
      </c>
      <c r="BI19" s="193">
        <f t="shared" si="17"/>
        <v>0</v>
      </c>
      <c r="BL19" s="193">
        <f t="shared" si="18"/>
        <v>0</v>
      </c>
      <c r="BO19" s="193">
        <f t="shared" si="19"/>
        <v>0</v>
      </c>
      <c r="BR19" s="193">
        <f t="shared" si="20"/>
        <v>0</v>
      </c>
      <c r="BU19" s="193">
        <f t="shared" si="21"/>
        <v>0</v>
      </c>
      <c r="BX19" s="193">
        <f t="shared" si="22"/>
        <v>0</v>
      </c>
      <c r="CA19" s="193">
        <f t="shared" si="23"/>
        <v>0</v>
      </c>
      <c r="CD19" s="193">
        <f t="shared" si="24"/>
        <v>0</v>
      </c>
      <c r="CG19" s="193">
        <f t="shared" si="25"/>
        <v>0</v>
      </c>
      <c r="CJ19" s="193">
        <f t="shared" si="26"/>
        <v>0</v>
      </c>
      <c r="CM19" s="193">
        <f t="shared" si="27"/>
        <v>0</v>
      </c>
      <c r="CP19" s="193">
        <f t="shared" si="28"/>
        <v>0</v>
      </c>
      <c r="CS19" s="193">
        <f t="shared" si="29"/>
        <v>0</v>
      </c>
      <c r="CV19" s="193">
        <f t="shared" si="30"/>
        <v>0</v>
      </c>
      <c r="CY19" s="193">
        <f t="shared" si="31"/>
        <v>0</v>
      </c>
      <c r="DB19" s="193">
        <f t="shared" si="32"/>
        <v>0</v>
      </c>
      <c r="DE19" s="193">
        <f t="shared" si="33"/>
        <v>0</v>
      </c>
      <c r="DH19" s="193">
        <f t="shared" si="34"/>
        <v>0</v>
      </c>
      <c r="DK19" s="193">
        <f t="shared" si="35"/>
        <v>0</v>
      </c>
      <c r="DN19" s="193">
        <f t="shared" si="36"/>
        <v>0</v>
      </c>
      <c r="DQ19" s="193">
        <f t="shared" si="37"/>
        <v>0</v>
      </c>
      <c r="DT19" s="193">
        <f t="shared" si="38"/>
        <v>0</v>
      </c>
      <c r="DW19" s="193">
        <f t="shared" si="39"/>
        <v>0</v>
      </c>
      <c r="DZ19" s="193"/>
      <c r="EA19" s="193"/>
      <c r="EB19" s="228">
        <f t="shared" si="40"/>
        <v>102750000</v>
      </c>
      <c r="EC19" s="228">
        <f t="shared" si="41"/>
        <v>0</v>
      </c>
      <c r="ED19" s="193">
        <f t="shared" si="42"/>
        <v>659.58333333333337</v>
      </c>
      <c r="EE19" s="194">
        <f t="shared" si="43"/>
        <v>2.3109489051094893E-3</v>
      </c>
      <c r="EG19" s="228">
        <f t="shared" si="44"/>
        <v>0</v>
      </c>
      <c r="EH19" s="193">
        <f t="shared" si="45"/>
        <v>0</v>
      </c>
      <c r="EI19" s="194">
        <f t="shared" si="46"/>
        <v>0</v>
      </c>
      <c r="EJ19" s="194"/>
      <c r="EK19" s="228">
        <f t="shared" si="47"/>
        <v>102750000</v>
      </c>
      <c r="EL19" s="228">
        <f t="shared" si="48"/>
        <v>0</v>
      </c>
      <c r="EM19" s="228">
        <f t="shared" si="49"/>
        <v>659.58333333333337</v>
      </c>
      <c r="EN19" s="194">
        <f t="shared" si="50"/>
        <v>2.3109489051094893E-3</v>
      </c>
      <c r="EP19" s="193"/>
    </row>
    <row r="20" spans="1:146" x14ac:dyDescent="0.2">
      <c r="A20" s="225">
        <f t="shared" si="51"/>
        <v>44237</v>
      </c>
      <c r="B20" s="193">
        <v>0</v>
      </c>
      <c r="C20" s="194">
        <v>2.5168400000000002E-3</v>
      </c>
      <c r="D20" s="193">
        <f t="shared" si="0"/>
        <v>0</v>
      </c>
      <c r="G20" s="193">
        <f t="shared" si="1"/>
        <v>0</v>
      </c>
      <c r="J20" s="193">
        <f t="shared" si="2"/>
        <v>0</v>
      </c>
      <c r="M20" s="193">
        <f t="shared" si="3"/>
        <v>0</v>
      </c>
      <c r="P20" s="193">
        <f t="shared" si="4"/>
        <v>0</v>
      </c>
      <c r="S20" s="193">
        <f t="shared" si="5"/>
        <v>0</v>
      </c>
      <c r="V20" s="193">
        <f t="shared" si="6"/>
        <v>0</v>
      </c>
      <c r="Y20" s="193">
        <f t="shared" si="7"/>
        <v>0</v>
      </c>
      <c r="AB20" s="193">
        <f t="shared" si="8"/>
        <v>0</v>
      </c>
      <c r="AE20" s="193">
        <v>0</v>
      </c>
      <c r="AH20" s="193">
        <v>0</v>
      </c>
      <c r="AI20" s="226">
        <v>20000000</v>
      </c>
      <c r="AJ20" s="227">
        <v>2.5000000000000001E-3</v>
      </c>
      <c r="AK20" s="193">
        <f t="shared" si="9"/>
        <v>138.88888888888889</v>
      </c>
      <c r="AL20" s="226">
        <v>55000000</v>
      </c>
      <c r="AM20" s="227">
        <v>2.5000000000000001E-3</v>
      </c>
      <c r="AN20" s="193">
        <f t="shared" si="10"/>
        <v>381.94444444444446</v>
      </c>
      <c r="AO20" s="226">
        <v>23275000</v>
      </c>
      <c r="AP20" s="227">
        <v>1.8E-3</v>
      </c>
      <c r="AQ20" s="193">
        <f t="shared" si="11"/>
        <v>116.375</v>
      </c>
      <c r="AR20" s="226"/>
      <c r="AS20" s="227"/>
      <c r="AT20" s="193">
        <f t="shared" si="12"/>
        <v>0</v>
      </c>
      <c r="AW20" s="193">
        <f t="shared" si="13"/>
        <v>0</v>
      </c>
      <c r="AZ20" s="193">
        <f t="shared" si="14"/>
        <v>0</v>
      </c>
      <c r="BC20" s="193">
        <f t="shared" si="15"/>
        <v>0</v>
      </c>
      <c r="BF20" s="193">
        <f t="shared" si="16"/>
        <v>0</v>
      </c>
      <c r="BI20" s="193">
        <f t="shared" si="17"/>
        <v>0</v>
      </c>
      <c r="BL20" s="193">
        <f t="shared" si="18"/>
        <v>0</v>
      </c>
      <c r="BO20" s="193">
        <f t="shared" si="19"/>
        <v>0</v>
      </c>
      <c r="BR20" s="193">
        <f t="shared" si="20"/>
        <v>0</v>
      </c>
      <c r="BU20" s="193">
        <f t="shared" si="21"/>
        <v>0</v>
      </c>
      <c r="BX20" s="193">
        <f t="shared" si="22"/>
        <v>0</v>
      </c>
      <c r="CA20" s="193">
        <f t="shared" si="23"/>
        <v>0</v>
      </c>
      <c r="CD20" s="193">
        <f t="shared" si="24"/>
        <v>0</v>
      </c>
      <c r="CG20" s="193">
        <f t="shared" si="25"/>
        <v>0</v>
      </c>
      <c r="CJ20" s="193">
        <f t="shared" si="26"/>
        <v>0</v>
      </c>
      <c r="CM20" s="193">
        <f t="shared" si="27"/>
        <v>0</v>
      </c>
      <c r="CP20" s="193">
        <f t="shared" si="28"/>
        <v>0</v>
      </c>
      <c r="CS20" s="193">
        <f t="shared" si="29"/>
        <v>0</v>
      </c>
      <c r="CV20" s="193">
        <f t="shared" si="30"/>
        <v>0</v>
      </c>
      <c r="CY20" s="193">
        <f t="shared" si="31"/>
        <v>0</v>
      </c>
      <c r="DB20" s="193">
        <f t="shared" si="32"/>
        <v>0</v>
      </c>
      <c r="DE20" s="193">
        <f t="shared" si="33"/>
        <v>0</v>
      </c>
      <c r="DH20" s="193">
        <f t="shared" si="34"/>
        <v>0</v>
      </c>
      <c r="DK20" s="193">
        <f t="shared" si="35"/>
        <v>0</v>
      </c>
      <c r="DN20" s="193">
        <f t="shared" si="36"/>
        <v>0</v>
      </c>
      <c r="DQ20" s="193">
        <f t="shared" si="37"/>
        <v>0</v>
      </c>
      <c r="DT20" s="193">
        <f t="shared" si="38"/>
        <v>0</v>
      </c>
      <c r="DW20" s="193">
        <f t="shared" si="39"/>
        <v>0</v>
      </c>
      <c r="DZ20" s="193"/>
      <c r="EA20" s="193"/>
      <c r="EB20" s="228">
        <f t="shared" si="40"/>
        <v>98275000</v>
      </c>
      <c r="EC20" s="228">
        <f t="shared" si="41"/>
        <v>0</v>
      </c>
      <c r="ED20" s="193">
        <f t="shared" si="42"/>
        <v>637.20833333333337</v>
      </c>
      <c r="EE20" s="194">
        <f t="shared" si="43"/>
        <v>2.3342152124141442E-3</v>
      </c>
      <c r="EG20" s="228">
        <f t="shared" si="44"/>
        <v>0</v>
      </c>
      <c r="EH20" s="193">
        <f t="shared" si="45"/>
        <v>0</v>
      </c>
      <c r="EI20" s="194">
        <f t="shared" si="46"/>
        <v>0</v>
      </c>
      <c r="EJ20" s="194"/>
      <c r="EK20" s="228">
        <f t="shared" si="47"/>
        <v>98275000</v>
      </c>
      <c r="EL20" s="228">
        <f t="shared" si="48"/>
        <v>0</v>
      </c>
      <c r="EM20" s="228">
        <f t="shared" si="49"/>
        <v>637.20833333333337</v>
      </c>
      <c r="EN20" s="194">
        <f t="shared" si="50"/>
        <v>2.3342152124141442E-3</v>
      </c>
      <c r="EP20" s="193"/>
    </row>
    <row r="21" spans="1:146" x14ac:dyDescent="0.2">
      <c r="A21" s="225">
        <f t="shared" si="51"/>
        <v>44238</v>
      </c>
      <c r="B21" s="193">
        <v>0</v>
      </c>
      <c r="C21" s="194">
        <v>2.2843899999999999E-3</v>
      </c>
      <c r="D21" s="193">
        <f t="shared" si="0"/>
        <v>0</v>
      </c>
      <c r="G21" s="193">
        <f t="shared" si="1"/>
        <v>0</v>
      </c>
      <c r="J21" s="193">
        <f t="shared" si="2"/>
        <v>0</v>
      </c>
      <c r="M21" s="193">
        <f t="shared" si="3"/>
        <v>0</v>
      </c>
      <c r="P21" s="193">
        <f t="shared" si="4"/>
        <v>0</v>
      </c>
      <c r="S21" s="193">
        <f t="shared" si="5"/>
        <v>0</v>
      </c>
      <c r="V21" s="193">
        <f t="shared" si="6"/>
        <v>0</v>
      </c>
      <c r="Y21" s="193">
        <f t="shared" si="7"/>
        <v>0</v>
      </c>
      <c r="AB21" s="193">
        <f t="shared" si="8"/>
        <v>0</v>
      </c>
      <c r="AE21" s="193">
        <v>0</v>
      </c>
      <c r="AH21" s="193">
        <v>0</v>
      </c>
      <c r="AI21" s="226">
        <v>20000000</v>
      </c>
      <c r="AJ21" s="227">
        <v>2.5000000000000001E-3</v>
      </c>
      <c r="AK21" s="193">
        <f t="shared" si="9"/>
        <v>138.88888888888889</v>
      </c>
      <c r="AL21" s="226">
        <v>55000000</v>
      </c>
      <c r="AM21" s="227">
        <v>2.5000000000000001E-3</v>
      </c>
      <c r="AN21" s="193">
        <f t="shared" si="10"/>
        <v>381.94444444444446</v>
      </c>
      <c r="AO21" s="226"/>
      <c r="AP21" s="227"/>
      <c r="AQ21" s="193">
        <f t="shared" si="11"/>
        <v>0</v>
      </c>
      <c r="AR21" s="226"/>
      <c r="AS21" s="227"/>
      <c r="AT21" s="193">
        <f t="shared" si="12"/>
        <v>0</v>
      </c>
      <c r="AW21" s="193">
        <f t="shared" si="13"/>
        <v>0</v>
      </c>
      <c r="AZ21" s="193">
        <f t="shared" si="14"/>
        <v>0</v>
      </c>
      <c r="BC21" s="193">
        <f t="shared" si="15"/>
        <v>0</v>
      </c>
      <c r="BF21" s="193">
        <f t="shared" si="16"/>
        <v>0</v>
      </c>
      <c r="BI21" s="193">
        <f t="shared" si="17"/>
        <v>0</v>
      </c>
      <c r="BL21" s="193">
        <f t="shared" si="18"/>
        <v>0</v>
      </c>
      <c r="BO21" s="193">
        <f t="shared" si="19"/>
        <v>0</v>
      </c>
      <c r="BR21" s="193">
        <f t="shared" si="20"/>
        <v>0</v>
      </c>
      <c r="BU21" s="193">
        <f t="shared" si="21"/>
        <v>0</v>
      </c>
      <c r="BX21" s="193">
        <f t="shared" si="22"/>
        <v>0</v>
      </c>
      <c r="CA21" s="193">
        <f t="shared" si="23"/>
        <v>0</v>
      </c>
      <c r="CD21" s="193">
        <f t="shared" si="24"/>
        <v>0</v>
      </c>
      <c r="CG21" s="193">
        <f t="shared" si="25"/>
        <v>0</v>
      </c>
      <c r="CJ21" s="193">
        <f t="shared" si="26"/>
        <v>0</v>
      </c>
      <c r="CM21" s="193">
        <f t="shared" si="27"/>
        <v>0</v>
      </c>
      <c r="CP21" s="193">
        <f t="shared" si="28"/>
        <v>0</v>
      </c>
      <c r="CS21" s="193">
        <f t="shared" si="29"/>
        <v>0</v>
      </c>
      <c r="CV21" s="193">
        <f t="shared" si="30"/>
        <v>0</v>
      </c>
      <c r="CY21" s="193">
        <f t="shared" si="31"/>
        <v>0</v>
      </c>
      <c r="DB21" s="193">
        <f t="shared" si="32"/>
        <v>0</v>
      </c>
      <c r="DE21" s="193">
        <f t="shared" si="33"/>
        <v>0</v>
      </c>
      <c r="DH21" s="193">
        <f t="shared" si="34"/>
        <v>0</v>
      </c>
      <c r="DK21" s="193">
        <f t="shared" si="35"/>
        <v>0</v>
      </c>
      <c r="DN21" s="193">
        <f t="shared" si="36"/>
        <v>0</v>
      </c>
      <c r="DQ21" s="193">
        <f t="shared" si="37"/>
        <v>0</v>
      </c>
      <c r="DT21" s="193">
        <f t="shared" si="38"/>
        <v>0</v>
      </c>
      <c r="DW21" s="193">
        <f t="shared" si="39"/>
        <v>0</v>
      </c>
      <c r="DZ21" s="193"/>
      <c r="EA21" s="193"/>
      <c r="EB21" s="228">
        <f t="shared" si="40"/>
        <v>75000000</v>
      </c>
      <c r="EC21" s="228">
        <f t="shared" si="41"/>
        <v>0</v>
      </c>
      <c r="ED21" s="193">
        <f t="shared" si="42"/>
        <v>520.83333333333337</v>
      </c>
      <c r="EE21" s="194">
        <f t="shared" si="43"/>
        <v>2.5000000000000001E-3</v>
      </c>
      <c r="EG21" s="228">
        <f t="shared" si="44"/>
        <v>0</v>
      </c>
      <c r="EH21" s="193">
        <f t="shared" si="45"/>
        <v>0</v>
      </c>
      <c r="EI21" s="194">
        <f t="shared" si="46"/>
        <v>0</v>
      </c>
      <c r="EJ21" s="194"/>
      <c r="EK21" s="228">
        <f t="shared" si="47"/>
        <v>75000000</v>
      </c>
      <c r="EL21" s="228">
        <f t="shared" si="48"/>
        <v>0</v>
      </c>
      <c r="EM21" s="228">
        <f t="shared" si="49"/>
        <v>520.83333333333337</v>
      </c>
      <c r="EN21" s="194">
        <f t="shared" si="50"/>
        <v>2.5000000000000001E-3</v>
      </c>
      <c r="EP21" s="193"/>
    </row>
    <row r="22" spans="1:146" x14ac:dyDescent="0.2">
      <c r="A22" s="225">
        <f t="shared" si="51"/>
        <v>44239</v>
      </c>
      <c r="B22" s="193">
        <v>0</v>
      </c>
      <c r="C22" s="194">
        <v>2.4603300000000002E-3</v>
      </c>
      <c r="D22" s="193">
        <f t="shared" si="0"/>
        <v>0</v>
      </c>
      <c r="G22" s="193">
        <f t="shared" si="1"/>
        <v>0</v>
      </c>
      <c r="J22" s="193">
        <f t="shared" si="2"/>
        <v>0</v>
      </c>
      <c r="M22" s="193">
        <f t="shared" si="3"/>
        <v>0</v>
      </c>
      <c r="P22" s="193">
        <f t="shared" si="4"/>
        <v>0</v>
      </c>
      <c r="S22" s="193">
        <f t="shared" si="5"/>
        <v>0</v>
      </c>
      <c r="V22" s="193">
        <f t="shared" si="6"/>
        <v>0</v>
      </c>
      <c r="Y22" s="193">
        <f t="shared" si="7"/>
        <v>0</v>
      </c>
      <c r="AB22" s="193">
        <f t="shared" si="8"/>
        <v>0</v>
      </c>
      <c r="AE22" s="193">
        <v>0</v>
      </c>
      <c r="AH22" s="193">
        <v>0</v>
      </c>
      <c r="AI22" s="226">
        <v>20000000</v>
      </c>
      <c r="AJ22" s="227">
        <v>2.5000000000000001E-3</v>
      </c>
      <c r="AK22" s="193">
        <f t="shared" si="9"/>
        <v>138.88888888888889</v>
      </c>
      <c r="AL22" s="226">
        <v>55000000</v>
      </c>
      <c r="AM22" s="227">
        <v>2.5000000000000001E-3</v>
      </c>
      <c r="AN22" s="193">
        <f t="shared" si="10"/>
        <v>381.94444444444446</v>
      </c>
      <c r="AO22" s="226"/>
      <c r="AP22" s="227"/>
      <c r="AQ22" s="193">
        <f t="shared" si="11"/>
        <v>0</v>
      </c>
      <c r="AR22" s="226"/>
      <c r="AS22" s="227"/>
      <c r="AT22" s="193">
        <f t="shared" si="12"/>
        <v>0</v>
      </c>
      <c r="AW22" s="193">
        <f t="shared" si="13"/>
        <v>0</v>
      </c>
      <c r="AZ22" s="193">
        <f t="shared" si="14"/>
        <v>0</v>
      </c>
      <c r="BC22" s="193">
        <f t="shared" si="15"/>
        <v>0</v>
      </c>
      <c r="BF22" s="193">
        <f t="shared" si="16"/>
        <v>0</v>
      </c>
      <c r="BI22" s="193">
        <f t="shared" si="17"/>
        <v>0</v>
      </c>
      <c r="BL22" s="193">
        <f t="shared" si="18"/>
        <v>0</v>
      </c>
      <c r="BO22" s="193">
        <f t="shared" si="19"/>
        <v>0</v>
      </c>
      <c r="BR22" s="193">
        <f t="shared" si="20"/>
        <v>0</v>
      </c>
      <c r="BU22" s="193">
        <f t="shared" si="21"/>
        <v>0</v>
      </c>
      <c r="BX22" s="193">
        <f t="shared" si="22"/>
        <v>0</v>
      </c>
      <c r="CA22" s="193">
        <f t="shared" si="23"/>
        <v>0</v>
      </c>
      <c r="CD22" s="193">
        <f t="shared" si="24"/>
        <v>0</v>
      </c>
      <c r="CG22" s="193">
        <f t="shared" si="25"/>
        <v>0</v>
      </c>
      <c r="CJ22" s="193">
        <f t="shared" si="26"/>
        <v>0</v>
      </c>
      <c r="CM22" s="193">
        <f t="shared" si="27"/>
        <v>0</v>
      </c>
      <c r="CP22" s="193">
        <f t="shared" si="28"/>
        <v>0</v>
      </c>
      <c r="CS22" s="193">
        <f t="shared" si="29"/>
        <v>0</v>
      </c>
      <c r="CV22" s="193">
        <f t="shared" si="30"/>
        <v>0</v>
      </c>
      <c r="CY22" s="193">
        <f t="shared" si="31"/>
        <v>0</v>
      </c>
      <c r="DB22" s="193">
        <f t="shared" si="32"/>
        <v>0</v>
      </c>
      <c r="DE22" s="193">
        <f t="shared" si="33"/>
        <v>0</v>
      </c>
      <c r="DH22" s="193">
        <f t="shared" si="34"/>
        <v>0</v>
      </c>
      <c r="DK22" s="193">
        <f t="shared" si="35"/>
        <v>0</v>
      </c>
      <c r="DN22" s="193">
        <f t="shared" si="36"/>
        <v>0</v>
      </c>
      <c r="DQ22" s="193">
        <f t="shared" si="37"/>
        <v>0</v>
      </c>
      <c r="DT22" s="193">
        <f t="shared" si="38"/>
        <v>0</v>
      </c>
      <c r="DW22" s="193">
        <f t="shared" si="39"/>
        <v>0</v>
      </c>
      <c r="DZ22" s="193"/>
      <c r="EA22" s="193"/>
      <c r="EB22" s="228">
        <f t="shared" si="40"/>
        <v>75000000</v>
      </c>
      <c r="EC22" s="228">
        <f t="shared" si="41"/>
        <v>0</v>
      </c>
      <c r="ED22" s="193">
        <f t="shared" si="42"/>
        <v>520.83333333333337</v>
      </c>
      <c r="EE22" s="194">
        <f t="shared" si="43"/>
        <v>2.5000000000000001E-3</v>
      </c>
      <c r="EG22" s="228">
        <f t="shared" si="44"/>
        <v>0</v>
      </c>
      <c r="EH22" s="193">
        <f t="shared" si="45"/>
        <v>0</v>
      </c>
      <c r="EI22" s="194">
        <f t="shared" si="46"/>
        <v>0</v>
      </c>
      <c r="EJ22" s="194"/>
      <c r="EK22" s="228">
        <f t="shared" si="47"/>
        <v>75000000</v>
      </c>
      <c r="EL22" s="228">
        <f t="shared" si="48"/>
        <v>0</v>
      </c>
      <c r="EM22" s="228">
        <f t="shared" si="49"/>
        <v>520.83333333333337</v>
      </c>
      <c r="EN22" s="194">
        <f t="shared" si="50"/>
        <v>2.5000000000000001E-3</v>
      </c>
      <c r="EP22" s="193"/>
    </row>
    <row r="23" spans="1:146" x14ac:dyDescent="0.2">
      <c r="A23" s="225">
        <f t="shared" si="51"/>
        <v>44240</v>
      </c>
      <c r="B23" s="193">
        <v>0</v>
      </c>
      <c r="C23" s="194">
        <v>2.4603300000000002E-3</v>
      </c>
      <c r="D23" s="193">
        <f t="shared" si="0"/>
        <v>0</v>
      </c>
      <c r="G23" s="193">
        <f t="shared" si="1"/>
        <v>0</v>
      </c>
      <c r="J23" s="193">
        <f t="shared" si="2"/>
        <v>0</v>
      </c>
      <c r="M23" s="193">
        <f t="shared" si="3"/>
        <v>0</v>
      </c>
      <c r="P23" s="193">
        <f t="shared" si="4"/>
        <v>0</v>
      </c>
      <c r="S23" s="193">
        <f t="shared" si="5"/>
        <v>0</v>
      </c>
      <c r="V23" s="193">
        <f t="shared" si="6"/>
        <v>0</v>
      </c>
      <c r="Y23" s="193">
        <f t="shared" si="7"/>
        <v>0</v>
      </c>
      <c r="AB23" s="193">
        <f t="shared" si="8"/>
        <v>0</v>
      </c>
      <c r="AE23" s="193">
        <v>0</v>
      </c>
      <c r="AH23" s="193">
        <v>0</v>
      </c>
      <c r="AI23" s="226">
        <v>20000000</v>
      </c>
      <c r="AJ23" s="227">
        <v>2.5000000000000001E-3</v>
      </c>
      <c r="AK23" s="193">
        <f t="shared" si="9"/>
        <v>138.88888888888889</v>
      </c>
      <c r="AL23" s="226">
        <v>55000000</v>
      </c>
      <c r="AM23" s="227">
        <v>2.5000000000000001E-3</v>
      </c>
      <c r="AN23" s="193">
        <f t="shared" si="10"/>
        <v>381.94444444444446</v>
      </c>
      <c r="AO23" s="226"/>
      <c r="AP23" s="227"/>
      <c r="AQ23" s="193">
        <f t="shared" si="11"/>
        <v>0</v>
      </c>
      <c r="AR23" s="226"/>
      <c r="AS23" s="227"/>
      <c r="AT23" s="193">
        <f t="shared" si="12"/>
        <v>0</v>
      </c>
      <c r="AW23" s="193">
        <f t="shared" si="13"/>
        <v>0</v>
      </c>
      <c r="AZ23" s="193">
        <f t="shared" si="14"/>
        <v>0</v>
      </c>
      <c r="BC23" s="193">
        <f t="shared" si="15"/>
        <v>0</v>
      </c>
      <c r="BF23" s="193">
        <f t="shared" si="16"/>
        <v>0</v>
      </c>
      <c r="BI23" s="193">
        <f t="shared" si="17"/>
        <v>0</v>
      </c>
      <c r="BL23" s="193">
        <f t="shared" si="18"/>
        <v>0</v>
      </c>
      <c r="BO23" s="193">
        <f t="shared" si="19"/>
        <v>0</v>
      </c>
      <c r="BR23" s="193">
        <f t="shared" si="20"/>
        <v>0</v>
      </c>
      <c r="BU23" s="193">
        <f t="shared" si="21"/>
        <v>0</v>
      </c>
      <c r="BX23" s="193">
        <f t="shared" si="22"/>
        <v>0</v>
      </c>
      <c r="CA23" s="193">
        <f t="shared" si="23"/>
        <v>0</v>
      </c>
      <c r="CD23" s="193">
        <f t="shared" si="24"/>
        <v>0</v>
      </c>
      <c r="CG23" s="193">
        <f t="shared" si="25"/>
        <v>0</v>
      </c>
      <c r="CJ23" s="193">
        <f t="shared" si="26"/>
        <v>0</v>
      </c>
      <c r="CM23" s="193">
        <f t="shared" si="27"/>
        <v>0</v>
      </c>
      <c r="CP23" s="193">
        <f t="shared" si="28"/>
        <v>0</v>
      </c>
      <c r="CS23" s="193">
        <f t="shared" si="29"/>
        <v>0</v>
      </c>
      <c r="CV23" s="193">
        <f t="shared" si="30"/>
        <v>0</v>
      </c>
      <c r="CY23" s="193">
        <f t="shared" si="31"/>
        <v>0</v>
      </c>
      <c r="DB23" s="193">
        <f t="shared" si="32"/>
        <v>0</v>
      </c>
      <c r="DE23" s="193">
        <f t="shared" si="33"/>
        <v>0</v>
      </c>
      <c r="DH23" s="193">
        <f t="shared" si="34"/>
        <v>0</v>
      </c>
      <c r="DK23" s="193">
        <f t="shared" si="35"/>
        <v>0</v>
      </c>
      <c r="DN23" s="193">
        <f t="shared" si="36"/>
        <v>0</v>
      </c>
      <c r="DQ23" s="193">
        <f t="shared" si="37"/>
        <v>0</v>
      </c>
      <c r="DT23" s="193">
        <f t="shared" si="38"/>
        <v>0</v>
      </c>
      <c r="DW23" s="193">
        <f t="shared" si="39"/>
        <v>0</v>
      </c>
      <c r="DZ23" s="193"/>
      <c r="EA23" s="193"/>
      <c r="EB23" s="228">
        <f t="shared" si="40"/>
        <v>75000000</v>
      </c>
      <c r="EC23" s="228">
        <f t="shared" si="41"/>
        <v>0</v>
      </c>
      <c r="ED23" s="193">
        <f t="shared" si="42"/>
        <v>520.83333333333337</v>
      </c>
      <c r="EE23" s="194">
        <f t="shared" si="43"/>
        <v>2.5000000000000001E-3</v>
      </c>
      <c r="EG23" s="228">
        <f t="shared" si="44"/>
        <v>0</v>
      </c>
      <c r="EH23" s="193">
        <f t="shared" si="45"/>
        <v>0</v>
      </c>
      <c r="EI23" s="194">
        <f t="shared" si="46"/>
        <v>0</v>
      </c>
      <c r="EJ23" s="194"/>
      <c r="EK23" s="228">
        <f t="shared" si="47"/>
        <v>75000000</v>
      </c>
      <c r="EL23" s="228">
        <f t="shared" si="48"/>
        <v>0</v>
      </c>
      <c r="EM23" s="228">
        <f t="shared" si="49"/>
        <v>520.83333333333337</v>
      </c>
      <c r="EN23" s="194">
        <f t="shared" si="50"/>
        <v>2.5000000000000001E-3</v>
      </c>
      <c r="EP23" s="193"/>
    </row>
    <row r="24" spans="1:146" x14ac:dyDescent="0.2">
      <c r="A24" s="225">
        <f t="shared" si="51"/>
        <v>44241</v>
      </c>
      <c r="B24" s="193">
        <v>0</v>
      </c>
      <c r="C24" s="194">
        <v>2.4603300000000002E-3</v>
      </c>
      <c r="D24" s="193">
        <f t="shared" si="0"/>
        <v>0</v>
      </c>
      <c r="G24" s="193">
        <f t="shared" si="1"/>
        <v>0</v>
      </c>
      <c r="J24" s="193">
        <f t="shared" si="2"/>
        <v>0</v>
      </c>
      <c r="M24" s="193">
        <f t="shared" si="3"/>
        <v>0</v>
      </c>
      <c r="P24" s="193">
        <f t="shared" si="4"/>
        <v>0</v>
      </c>
      <c r="S24" s="193">
        <f t="shared" si="5"/>
        <v>0</v>
      </c>
      <c r="V24" s="193">
        <f t="shared" si="6"/>
        <v>0</v>
      </c>
      <c r="Y24" s="193">
        <f t="shared" si="7"/>
        <v>0</v>
      </c>
      <c r="AB24" s="193">
        <f t="shared" si="8"/>
        <v>0</v>
      </c>
      <c r="AE24" s="193">
        <v>0</v>
      </c>
      <c r="AH24" s="193">
        <v>0</v>
      </c>
      <c r="AI24" s="226">
        <v>20000000</v>
      </c>
      <c r="AJ24" s="227">
        <v>2.5000000000000001E-3</v>
      </c>
      <c r="AK24" s="193">
        <f t="shared" si="9"/>
        <v>138.88888888888889</v>
      </c>
      <c r="AL24" s="226">
        <v>55000000</v>
      </c>
      <c r="AM24" s="227">
        <v>2.5000000000000001E-3</v>
      </c>
      <c r="AN24" s="193">
        <f t="shared" si="10"/>
        <v>381.94444444444446</v>
      </c>
      <c r="AO24" s="226"/>
      <c r="AP24" s="227"/>
      <c r="AQ24" s="193">
        <f t="shared" si="11"/>
        <v>0</v>
      </c>
      <c r="AR24" s="226"/>
      <c r="AS24" s="227"/>
      <c r="AT24" s="193">
        <f t="shared" si="12"/>
        <v>0</v>
      </c>
      <c r="AW24" s="193">
        <f t="shared" si="13"/>
        <v>0</v>
      </c>
      <c r="AZ24" s="193">
        <f t="shared" si="14"/>
        <v>0</v>
      </c>
      <c r="BC24" s="193">
        <f t="shared" si="15"/>
        <v>0</v>
      </c>
      <c r="BF24" s="193">
        <f t="shared" si="16"/>
        <v>0</v>
      </c>
      <c r="BI24" s="193">
        <f t="shared" si="17"/>
        <v>0</v>
      </c>
      <c r="BL24" s="193">
        <f t="shared" si="18"/>
        <v>0</v>
      </c>
      <c r="BO24" s="193">
        <f t="shared" si="19"/>
        <v>0</v>
      </c>
      <c r="BR24" s="193">
        <f t="shared" si="20"/>
        <v>0</v>
      </c>
      <c r="BU24" s="193">
        <f t="shared" si="21"/>
        <v>0</v>
      </c>
      <c r="BX24" s="193">
        <f t="shared" si="22"/>
        <v>0</v>
      </c>
      <c r="CA24" s="193">
        <f t="shared" si="23"/>
        <v>0</v>
      </c>
      <c r="CD24" s="193">
        <f t="shared" si="24"/>
        <v>0</v>
      </c>
      <c r="CG24" s="193">
        <f t="shared" si="25"/>
        <v>0</v>
      </c>
      <c r="CJ24" s="193">
        <f t="shared" si="26"/>
        <v>0</v>
      </c>
      <c r="CM24" s="193">
        <f t="shared" si="27"/>
        <v>0</v>
      </c>
      <c r="CP24" s="193">
        <f t="shared" si="28"/>
        <v>0</v>
      </c>
      <c r="CS24" s="193">
        <f t="shared" si="29"/>
        <v>0</v>
      </c>
      <c r="CV24" s="193">
        <f t="shared" si="30"/>
        <v>0</v>
      </c>
      <c r="CY24" s="193">
        <f t="shared" si="31"/>
        <v>0</v>
      </c>
      <c r="DB24" s="193">
        <f t="shared" si="32"/>
        <v>0</v>
      </c>
      <c r="DE24" s="193">
        <f t="shared" si="33"/>
        <v>0</v>
      </c>
      <c r="DH24" s="193">
        <f t="shared" si="34"/>
        <v>0</v>
      </c>
      <c r="DK24" s="193">
        <f t="shared" si="35"/>
        <v>0</v>
      </c>
      <c r="DN24" s="193">
        <f t="shared" si="36"/>
        <v>0</v>
      </c>
      <c r="DQ24" s="193">
        <f t="shared" si="37"/>
        <v>0</v>
      </c>
      <c r="DT24" s="193">
        <f t="shared" si="38"/>
        <v>0</v>
      </c>
      <c r="DW24" s="193">
        <f t="shared" si="39"/>
        <v>0</v>
      </c>
      <c r="DZ24" s="193"/>
      <c r="EA24" s="193"/>
      <c r="EB24" s="228">
        <f t="shared" si="40"/>
        <v>75000000</v>
      </c>
      <c r="EC24" s="228">
        <f t="shared" si="41"/>
        <v>0</v>
      </c>
      <c r="ED24" s="193">
        <f t="shared" si="42"/>
        <v>520.83333333333337</v>
      </c>
      <c r="EE24" s="194">
        <f t="shared" si="43"/>
        <v>2.5000000000000001E-3</v>
      </c>
      <c r="EG24" s="228">
        <f t="shared" si="44"/>
        <v>0</v>
      </c>
      <c r="EH24" s="193">
        <f t="shared" si="45"/>
        <v>0</v>
      </c>
      <c r="EI24" s="194">
        <f t="shared" si="46"/>
        <v>0</v>
      </c>
      <c r="EJ24" s="194"/>
      <c r="EK24" s="228">
        <f t="shared" si="47"/>
        <v>75000000</v>
      </c>
      <c r="EL24" s="228">
        <f t="shared" si="48"/>
        <v>0</v>
      </c>
      <c r="EM24" s="228">
        <f t="shared" si="49"/>
        <v>520.83333333333337</v>
      </c>
      <c r="EN24" s="194">
        <f t="shared" si="50"/>
        <v>2.5000000000000001E-3</v>
      </c>
      <c r="EP24" s="193"/>
    </row>
    <row r="25" spans="1:146" x14ac:dyDescent="0.2">
      <c r="A25" s="225">
        <f t="shared" si="51"/>
        <v>44242</v>
      </c>
      <c r="B25" s="193">
        <v>0</v>
      </c>
      <c r="C25" s="194">
        <v>2.4603300000000002E-3</v>
      </c>
      <c r="D25" s="193">
        <f t="shared" si="0"/>
        <v>0</v>
      </c>
      <c r="G25" s="193">
        <f t="shared" si="1"/>
        <v>0</v>
      </c>
      <c r="J25" s="193">
        <f t="shared" si="2"/>
        <v>0</v>
      </c>
      <c r="M25" s="193">
        <f t="shared" si="3"/>
        <v>0</v>
      </c>
      <c r="P25" s="193">
        <f t="shared" si="4"/>
        <v>0</v>
      </c>
      <c r="S25" s="193">
        <f t="shared" si="5"/>
        <v>0</v>
      </c>
      <c r="V25" s="193">
        <f t="shared" si="6"/>
        <v>0</v>
      </c>
      <c r="Y25" s="193">
        <f t="shared" si="7"/>
        <v>0</v>
      </c>
      <c r="AB25" s="193">
        <f t="shared" si="8"/>
        <v>0</v>
      </c>
      <c r="AE25" s="193">
        <v>0</v>
      </c>
      <c r="AH25" s="193">
        <v>0</v>
      </c>
      <c r="AI25" s="226">
        <v>20000000</v>
      </c>
      <c r="AJ25" s="227">
        <v>2.5000000000000001E-3</v>
      </c>
      <c r="AK25" s="193">
        <f t="shared" si="9"/>
        <v>138.88888888888889</v>
      </c>
      <c r="AL25" s="226">
        <v>55000000</v>
      </c>
      <c r="AM25" s="227">
        <v>2.5000000000000001E-3</v>
      </c>
      <c r="AN25" s="193">
        <f t="shared" si="10"/>
        <v>381.94444444444446</v>
      </c>
      <c r="AO25" s="226"/>
      <c r="AP25" s="227"/>
      <c r="AQ25" s="193">
        <f t="shared" si="11"/>
        <v>0</v>
      </c>
      <c r="AR25" s="226"/>
      <c r="AS25" s="227"/>
      <c r="AT25" s="193">
        <f t="shared" si="12"/>
        <v>0</v>
      </c>
      <c r="AW25" s="193">
        <f t="shared" si="13"/>
        <v>0</v>
      </c>
      <c r="AZ25" s="193">
        <f t="shared" si="14"/>
        <v>0</v>
      </c>
      <c r="BC25" s="193">
        <f t="shared" si="15"/>
        <v>0</v>
      </c>
      <c r="BF25" s="193">
        <f t="shared" si="16"/>
        <v>0</v>
      </c>
      <c r="BI25" s="193">
        <f t="shared" si="17"/>
        <v>0</v>
      </c>
      <c r="BL25" s="193">
        <f t="shared" si="18"/>
        <v>0</v>
      </c>
      <c r="BO25" s="193">
        <f t="shared" si="19"/>
        <v>0</v>
      </c>
      <c r="BR25" s="193">
        <f t="shared" si="20"/>
        <v>0</v>
      </c>
      <c r="BU25" s="193">
        <f t="shared" si="21"/>
        <v>0</v>
      </c>
      <c r="BX25" s="193">
        <f t="shared" si="22"/>
        <v>0</v>
      </c>
      <c r="CA25" s="193">
        <f t="shared" si="23"/>
        <v>0</v>
      </c>
      <c r="CD25" s="193">
        <f t="shared" si="24"/>
        <v>0</v>
      </c>
      <c r="CG25" s="193">
        <f t="shared" si="25"/>
        <v>0</v>
      </c>
      <c r="CJ25" s="193">
        <f t="shared" si="26"/>
        <v>0</v>
      </c>
      <c r="CM25" s="193">
        <f t="shared" si="27"/>
        <v>0</v>
      </c>
      <c r="CP25" s="193">
        <f t="shared" si="28"/>
        <v>0</v>
      </c>
      <c r="CS25" s="193">
        <f t="shared" si="29"/>
        <v>0</v>
      </c>
      <c r="CV25" s="193">
        <f t="shared" si="30"/>
        <v>0</v>
      </c>
      <c r="CY25" s="193">
        <f t="shared" si="31"/>
        <v>0</v>
      </c>
      <c r="DB25" s="193">
        <f t="shared" si="32"/>
        <v>0</v>
      </c>
      <c r="DE25" s="193">
        <f t="shared" si="33"/>
        <v>0</v>
      </c>
      <c r="DH25" s="193">
        <f t="shared" si="34"/>
        <v>0</v>
      </c>
      <c r="DK25" s="193">
        <f t="shared" si="35"/>
        <v>0</v>
      </c>
      <c r="DN25" s="193">
        <f t="shared" si="36"/>
        <v>0</v>
      </c>
      <c r="DQ25" s="193">
        <f t="shared" si="37"/>
        <v>0</v>
      </c>
      <c r="DT25" s="193">
        <f t="shared" si="38"/>
        <v>0</v>
      </c>
      <c r="DW25" s="193">
        <f t="shared" si="39"/>
        <v>0</v>
      </c>
      <c r="DZ25" s="193"/>
      <c r="EA25" s="193"/>
      <c r="EB25" s="228">
        <f t="shared" si="40"/>
        <v>75000000</v>
      </c>
      <c r="EC25" s="228">
        <f t="shared" si="41"/>
        <v>0</v>
      </c>
      <c r="ED25" s="193">
        <f t="shared" si="42"/>
        <v>520.83333333333337</v>
      </c>
      <c r="EE25" s="194">
        <f t="shared" si="43"/>
        <v>2.5000000000000001E-3</v>
      </c>
      <c r="EG25" s="228">
        <f t="shared" si="44"/>
        <v>0</v>
      </c>
      <c r="EH25" s="193">
        <f t="shared" si="45"/>
        <v>0</v>
      </c>
      <c r="EI25" s="194">
        <f t="shared" si="46"/>
        <v>0</v>
      </c>
      <c r="EJ25" s="194"/>
      <c r="EK25" s="228">
        <f t="shared" si="47"/>
        <v>75000000</v>
      </c>
      <c r="EL25" s="228">
        <f t="shared" si="48"/>
        <v>0</v>
      </c>
      <c r="EM25" s="228">
        <f t="shared" si="49"/>
        <v>520.83333333333337</v>
      </c>
      <c r="EN25" s="194">
        <f t="shared" si="50"/>
        <v>2.5000000000000001E-3</v>
      </c>
      <c r="EP25" s="193"/>
    </row>
    <row r="26" spans="1:146" x14ac:dyDescent="0.2">
      <c r="A26" s="225">
        <f t="shared" si="51"/>
        <v>44243</v>
      </c>
      <c r="B26" s="193">
        <v>0</v>
      </c>
      <c r="C26" s="194">
        <v>2.3458000000000003E-3</v>
      </c>
      <c r="D26" s="193">
        <f t="shared" si="0"/>
        <v>0</v>
      </c>
      <c r="G26" s="193">
        <f t="shared" si="1"/>
        <v>0</v>
      </c>
      <c r="J26" s="193">
        <f t="shared" si="2"/>
        <v>0</v>
      </c>
      <c r="M26" s="193">
        <f t="shared" si="3"/>
        <v>0</v>
      </c>
      <c r="P26" s="193">
        <f t="shared" si="4"/>
        <v>0</v>
      </c>
      <c r="S26" s="193">
        <f t="shared" si="5"/>
        <v>0</v>
      </c>
      <c r="V26" s="193">
        <f t="shared" si="6"/>
        <v>0</v>
      </c>
      <c r="Y26" s="193">
        <f t="shared" si="7"/>
        <v>0</v>
      </c>
      <c r="AB26" s="193">
        <f t="shared" si="8"/>
        <v>0</v>
      </c>
      <c r="AE26" s="193">
        <v>0</v>
      </c>
      <c r="AH26" s="193">
        <v>0</v>
      </c>
      <c r="AI26" s="226">
        <v>20000000</v>
      </c>
      <c r="AJ26" s="227">
        <v>2.5000000000000001E-3</v>
      </c>
      <c r="AK26" s="193">
        <f t="shared" si="9"/>
        <v>138.88888888888889</v>
      </c>
      <c r="AL26" s="226">
        <v>55000000</v>
      </c>
      <c r="AM26" s="227">
        <v>2.5000000000000001E-3</v>
      </c>
      <c r="AN26" s="193">
        <f t="shared" si="10"/>
        <v>381.94444444444446</v>
      </c>
      <c r="AO26" s="226"/>
      <c r="AP26" s="227"/>
      <c r="AQ26" s="193">
        <f t="shared" si="11"/>
        <v>0</v>
      </c>
      <c r="AR26" s="226"/>
      <c r="AS26" s="227"/>
      <c r="AT26" s="193">
        <f t="shared" si="12"/>
        <v>0</v>
      </c>
      <c r="AW26" s="193">
        <f t="shared" si="13"/>
        <v>0</v>
      </c>
      <c r="AZ26" s="193">
        <f t="shared" si="14"/>
        <v>0</v>
      </c>
      <c r="BC26" s="193">
        <f t="shared" si="15"/>
        <v>0</v>
      </c>
      <c r="BF26" s="193">
        <f t="shared" si="16"/>
        <v>0</v>
      </c>
      <c r="BI26" s="193">
        <f t="shared" si="17"/>
        <v>0</v>
      </c>
      <c r="BL26" s="193">
        <f t="shared" si="18"/>
        <v>0</v>
      </c>
      <c r="BO26" s="193">
        <f t="shared" si="19"/>
        <v>0</v>
      </c>
      <c r="BR26" s="193">
        <f t="shared" si="20"/>
        <v>0</v>
      </c>
      <c r="BU26" s="193">
        <f t="shared" si="21"/>
        <v>0</v>
      </c>
      <c r="BX26" s="193">
        <f t="shared" si="22"/>
        <v>0</v>
      </c>
      <c r="CA26" s="193">
        <f t="shared" si="23"/>
        <v>0</v>
      </c>
      <c r="CD26" s="193">
        <f t="shared" si="24"/>
        <v>0</v>
      </c>
      <c r="CG26" s="193">
        <f t="shared" si="25"/>
        <v>0</v>
      </c>
      <c r="CJ26" s="193">
        <f t="shared" si="26"/>
        <v>0</v>
      </c>
      <c r="CM26" s="193">
        <f t="shared" si="27"/>
        <v>0</v>
      </c>
      <c r="CP26" s="193">
        <f t="shared" si="28"/>
        <v>0</v>
      </c>
      <c r="CS26" s="193">
        <f t="shared" si="29"/>
        <v>0</v>
      </c>
      <c r="CV26" s="193">
        <f t="shared" si="30"/>
        <v>0</v>
      </c>
      <c r="CY26" s="193">
        <f t="shared" si="31"/>
        <v>0</v>
      </c>
      <c r="DB26" s="193">
        <f t="shared" si="32"/>
        <v>0</v>
      </c>
      <c r="DE26" s="193">
        <f t="shared" si="33"/>
        <v>0</v>
      </c>
      <c r="DH26" s="193">
        <f t="shared" si="34"/>
        <v>0</v>
      </c>
      <c r="DK26" s="193">
        <f t="shared" si="35"/>
        <v>0</v>
      </c>
      <c r="DN26" s="193">
        <f t="shared" si="36"/>
        <v>0</v>
      </c>
      <c r="DQ26" s="193">
        <f t="shared" si="37"/>
        <v>0</v>
      </c>
      <c r="DT26" s="193">
        <f t="shared" si="38"/>
        <v>0</v>
      </c>
      <c r="DW26" s="193">
        <f t="shared" si="39"/>
        <v>0</v>
      </c>
      <c r="DZ26" s="193"/>
      <c r="EA26" s="193"/>
      <c r="EB26" s="228">
        <f t="shared" si="40"/>
        <v>75000000</v>
      </c>
      <c r="EC26" s="228">
        <f t="shared" si="41"/>
        <v>0</v>
      </c>
      <c r="ED26" s="193">
        <f t="shared" si="42"/>
        <v>520.83333333333337</v>
      </c>
      <c r="EE26" s="194">
        <f t="shared" si="43"/>
        <v>2.5000000000000001E-3</v>
      </c>
      <c r="EG26" s="228">
        <f t="shared" si="44"/>
        <v>0</v>
      </c>
      <c r="EH26" s="193">
        <f t="shared" si="45"/>
        <v>0</v>
      </c>
      <c r="EI26" s="194">
        <f t="shared" si="46"/>
        <v>0</v>
      </c>
      <c r="EJ26" s="194"/>
      <c r="EK26" s="228">
        <f t="shared" si="47"/>
        <v>75000000</v>
      </c>
      <c r="EL26" s="228">
        <f t="shared" si="48"/>
        <v>0</v>
      </c>
      <c r="EM26" s="228">
        <f t="shared" si="49"/>
        <v>520.83333333333337</v>
      </c>
      <c r="EN26" s="194">
        <f t="shared" si="50"/>
        <v>2.5000000000000001E-3</v>
      </c>
      <c r="EP26" s="193"/>
    </row>
    <row r="27" spans="1:146" x14ac:dyDescent="0.2">
      <c r="A27" s="225">
        <f t="shared" si="51"/>
        <v>44244</v>
      </c>
      <c r="B27" s="193">
        <v>0</v>
      </c>
      <c r="C27" s="194">
        <v>2.39895E-3</v>
      </c>
      <c r="D27" s="193">
        <f t="shared" si="0"/>
        <v>0</v>
      </c>
      <c r="G27" s="193">
        <f t="shared" si="1"/>
        <v>0</v>
      </c>
      <c r="J27" s="193">
        <f t="shared" si="2"/>
        <v>0</v>
      </c>
      <c r="M27" s="193">
        <f t="shared" si="3"/>
        <v>0</v>
      </c>
      <c r="P27" s="193">
        <f t="shared" si="4"/>
        <v>0</v>
      </c>
      <c r="S27" s="193">
        <f t="shared" si="5"/>
        <v>0</v>
      </c>
      <c r="V27" s="193">
        <f t="shared" si="6"/>
        <v>0</v>
      </c>
      <c r="Y27" s="193">
        <f t="shared" si="7"/>
        <v>0</v>
      </c>
      <c r="AB27" s="193">
        <f t="shared" si="8"/>
        <v>0</v>
      </c>
      <c r="AE27" s="193">
        <v>0</v>
      </c>
      <c r="AH27" s="193">
        <v>0</v>
      </c>
      <c r="AI27" s="226">
        <v>20000000</v>
      </c>
      <c r="AJ27" s="227">
        <v>2.5000000000000001E-3</v>
      </c>
      <c r="AK27" s="193">
        <f t="shared" si="9"/>
        <v>138.88888888888889</v>
      </c>
      <c r="AL27" s="226">
        <v>55000000</v>
      </c>
      <c r="AM27" s="227">
        <v>2.5000000000000001E-3</v>
      </c>
      <c r="AN27" s="193">
        <f t="shared" si="10"/>
        <v>381.94444444444446</v>
      </c>
      <c r="AO27" s="226"/>
      <c r="AP27" s="227"/>
      <c r="AQ27" s="193">
        <f t="shared" si="11"/>
        <v>0</v>
      </c>
      <c r="AR27" s="226"/>
      <c r="AS27" s="227"/>
      <c r="AT27" s="193">
        <f t="shared" si="12"/>
        <v>0</v>
      </c>
      <c r="AW27" s="193">
        <f t="shared" si="13"/>
        <v>0</v>
      </c>
      <c r="AZ27" s="193">
        <f t="shared" si="14"/>
        <v>0</v>
      </c>
      <c r="BC27" s="193">
        <f t="shared" si="15"/>
        <v>0</v>
      </c>
      <c r="BF27" s="193">
        <f t="shared" si="16"/>
        <v>0</v>
      </c>
      <c r="BI27" s="193">
        <f t="shared" si="17"/>
        <v>0</v>
      </c>
      <c r="BL27" s="193">
        <f t="shared" si="18"/>
        <v>0</v>
      </c>
      <c r="BO27" s="193">
        <f t="shared" si="19"/>
        <v>0</v>
      </c>
      <c r="BR27" s="193">
        <f t="shared" si="20"/>
        <v>0</v>
      </c>
      <c r="BU27" s="193">
        <f t="shared" si="21"/>
        <v>0</v>
      </c>
      <c r="BX27" s="193">
        <f t="shared" si="22"/>
        <v>0</v>
      </c>
      <c r="CA27" s="193">
        <f t="shared" si="23"/>
        <v>0</v>
      </c>
      <c r="CD27" s="193">
        <f t="shared" si="24"/>
        <v>0</v>
      </c>
      <c r="CG27" s="193">
        <f t="shared" si="25"/>
        <v>0</v>
      </c>
      <c r="CJ27" s="193">
        <f t="shared" si="26"/>
        <v>0</v>
      </c>
      <c r="CM27" s="193">
        <f t="shared" si="27"/>
        <v>0</v>
      </c>
      <c r="CP27" s="193">
        <f t="shared" si="28"/>
        <v>0</v>
      </c>
      <c r="CS27" s="193">
        <f t="shared" si="29"/>
        <v>0</v>
      </c>
      <c r="CV27" s="193">
        <f t="shared" si="30"/>
        <v>0</v>
      </c>
      <c r="CY27" s="193">
        <f t="shared" si="31"/>
        <v>0</v>
      </c>
      <c r="DB27" s="193">
        <f t="shared" si="32"/>
        <v>0</v>
      </c>
      <c r="DE27" s="193">
        <f t="shared" si="33"/>
        <v>0</v>
      </c>
      <c r="DH27" s="193">
        <f t="shared" si="34"/>
        <v>0</v>
      </c>
      <c r="DK27" s="193">
        <f t="shared" si="35"/>
        <v>0</v>
      </c>
      <c r="DN27" s="193">
        <f t="shared" si="36"/>
        <v>0</v>
      </c>
      <c r="DQ27" s="193">
        <f t="shared" si="37"/>
        <v>0</v>
      </c>
      <c r="DT27" s="193">
        <f t="shared" si="38"/>
        <v>0</v>
      </c>
      <c r="DW27" s="193">
        <f t="shared" si="39"/>
        <v>0</v>
      </c>
      <c r="DZ27" s="193"/>
      <c r="EA27" s="193"/>
      <c r="EB27" s="228">
        <f t="shared" si="40"/>
        <v>75000000</v>
      </c>
      <c r="EC27" s="228">
        <f t="shared" si="41"/>
        <v>0</v>
      </c>
      <c r="ED27" s="193">
        <f t="shared" si="42"/>
        <v>520.83333333333337</v>
      </c>
      <c r="EE27" s="194">
        <f t="shared" si="43"/>
        <v>2.5000000000000001E-3</v>
      </c>
      <c r="EG27" s="228">
        <f t="shared" si="44"/>
        <v>0</v>
      </c>
      <c r="EH27" s="193">
        <f t="shared" si="45"/>
        <v>0</v>
      </c>
      <c r="EI27" s="194">
        <f t="shared" si="46"/>
        <v>0</v>
      </c>
      <c r="EJ27" s="194"/>
      <c r="EK27" s="228">
        <f t="shared" si="47"/>
        <v>75000000</v>
      </c>
      <c r="EL27" s="228">
        <f t="shared" si="48"/>
        <v>0</v>
      </c>
      <c r="EM27" s="228">
        <f t="shared" si="49"/>
        <v>520.83333333333337</v>
      </c>
      <c r="EN27" s="194">
        <f t="shared" si="50"/>
        <v>2.5000000000000001E-3</v>
      </c>
      <c r="EP27" s="193"/>
    </row>
    <row r="28" spans="1:146" x14ac:dyDescent="0.2">
      <c r="A28" s="225">
        <f t="shared" si="51"/>
        <v>44245</v>
      </c>
      <c r="B28" s="193">
        <v>0</v>
      </c>
      <c r="C28" s="194">
        <v>2.4410999999999999E-3</v>
      </c>
      <c r="D28" s="193">
        <f t="shared" si="0"/>
        <v>0</v>
      </c>
      <c r="G28" s="193">
        <f t="shared" si="1"/>
        <v>0</v>
      </c>
      <c r="J28" s="193">
        <f t="shared" si="2"/>
        <v>0</v>
      </c>
      <c r="M28" s="193">
        <f t="shared" si="3"/>
        <v>0</v>
      </c>
      <c r="P28" s="193">
        <f t="shared" si="4"/>
        <v>0</v>
      </c>
      <c r="S28" s="193">
        <f t="shared" si="5"/>
        <v>0</v>
      </c>
      <c r="V28" s="193">
        <f t="shared" si="6"/>
        <v>0</v>
      </c>
      <c r="Y28" s="193">
        <f t="shared" si="7"/>
        <v>0</v>
      </c>
      <c r="AB28" s="193">
        <f t="shared" si="8"/>
        <v>0</v>
      </c>
      <c r="AE28" s="193">
        <v>0</v>
      </c>
      <c r="AH28" s="193">
        <v>0</v>
      </c>
      <c r="AI28" s="226">
        <v>20000000</v>
      </c>
      <c r="AJ28" s="227">
        <v>2.5000000000000001E-3</v>
      </c>
      <c r="AK28" s="193">
        <f t="shared" si="9"/>
        <v>138.88888888888889</v>
      </c>
      <c r="AL28" s="226">
        <v>55000000</v>
      </c>
      <c r="AM28" s="227">
        <v>2.5000000000000001E-3</v>
      </c>
      <c r="AN28" s="193">
        <f t="shared" si="10"/>
        <v>381.94444444444446</v>
      </c>
      <c r="AO28" s="226"/>
      <c r="AP28" s="227"/>
      <c r="AQ28" s="193">
        <f t="shared" si="11"/>
        <v>0</v>
      </c>
      <c r="AR28" s="226"/>
      <c r="AS28" s="227"/>
      <c r="AT28" s="193">
        <f t="shared" si="12"/>
        <v>0</v>
      </c>
      <c r="AW28" s="193">
        <f t="shared" si="13"/>
        <v>0</v>
      </c>
      <c r="AZ28" s="193">
        <f t="shared" si="14"/>
        <v>0</v>
      </c>
      <c r="BC28" s="193">
        <f t="shared" si="15"/>
        <v>0</v>
      </c>
      <c r="BF28" s="193">
        <f t="shared" si="16"/>
        <v>0</v>
      </c>
      <c r="BI28" s="193">
        <f t="shared" si="17"/>
        <v>0</v>
      </c>
      <c r="BL28" s="193">
        <f t="shared" si="18"/>
        <v>0</v>
      </c>
      <c r="BO28" s="193">
        <f t="shared" si="19"/>
        <v>0</v>
      </c>
      <c r="BR28" s="193">
        <f t="shared" si="20"/>
        <v>0</v>
      </c>
      <c r="BU28" s="193">
        <f t="shared" si="21"/>
        <v>0</v>
      </c>
      <c r="BX28" s="193">
        <f t="shared" si="22"/>
        <v>0</v>
      </c>
      <c r="CA28" s="193">
        <f t="shared" si="23"/>
        <v>0</v>
      </c>
      <c r="CD28" s="193">
        <f t="shared" si="24"/>
        <v>0</v>
      </c>
      <c r="CG28" s="193">
        <f t="shared" si="25"/>
        <v>0</v>
      </c>
      <c r="CJ28" s="193">
        <f t="shared" si="26"/>
        <v>0</v>
      </c>
      <c r="CM28" s="193">
        <f t="shared" si="27"/>
        <v>0</v>
      </c>
      <c r="CP28" s="193">
        <f t="shared" si="28"/>
        <v>0</v>
      </c>
      <c r="CS28" s="193">
        <f t="shared" si="29"/>
        <v>0</v>
      </c>
      <c r="CV28" s="193">
        <f t="shared" si="30"/>
        <v>0</v>
      </c>
      <c r="CY28" s="193">
        <f t="shared" si="31"/>
        <v>0</v>
      </c>
      <c r="DB28" s="193">
        <f t="shared" si="32"/>
        <v>0</v>
      </c>
      <c r="DE28" s="193">
        <f t="shared" si="33"/>
        <v>0</v>
      </c>
      <c r="DH28" s="193">
        <f t="shared" si="34"/>
        <v>0</v>
      </c>
      <c r="DK28" s="193">
        <f t="shared" si="35"/>
        <v>0</v>
      </c>
      <c r="DN28" s="193">
        <f t="shared" si="36"/>
        <v>0</v>
      </c>
      <c r="DQ28" s="193">
        <f t="shared" si="37"/>
        <v>0</v>
      </c>
      <c r="DT28" s="193">
        <f t="shared" si="38"/>
        <v>0</v>
      </c>
      <c r="DW28" s="193">
        <f t="shared" si="39"/>
        <v>0</v>
      </c>
      <c r="DZ28" s="193"/>
      <c r="EA28" s="193"/>
      <c r="EB28" s="228">
        <f t="shared" si="40"/>
        <v>75000000</v>
      </c>
      <c r="EC28" s="228">
        <f t="shared" si="41"/>
        <v>0</v>
      </c>
      <c r="ED28" s="193">
        <f t="shared" si="42"/>
        <v>520.83333333333337</v>
      </c>
      <c r="EE28" s="194">
        <f t="shared" si="43"/>
        <v>2.5000000000000001E-3</v>
      </c>
      <c r="EG28" s="228">
        <f t="shared" si="44"/>
        <v>0</v>
      </c>
      <c r="EH28" s="193">
        <f t="shared" si="45"/>
        <v>0</v>
      </c>
      <c r="EI28" s="194">
        <f t="shared" si="46"/>
        <v>0</v>
      </c>
      <c r="EJ28" s="194"/>
      <c r="EK28" s="228">
        <f t="shared" si="47"/>
        <v>75000000</v>
      </c>
      <c r="EL28" s="228">
        <f t="shared" si="48"/>
        <v>0</v>
      </c>
      <c r="EM28" s="228">
        <f t="shared" si="49"/>
        <v>520.83333333333337</v>
      </c>
      <c r="EN28" s="194">
        <f t="shared" si="50"/>
        <v>2.5000000000000001E-3</v>
      </c>
      <c r="EP28" s="193"/>
    </row>
    <row r="29" spans="1:146" x14ac:dyDescent="0.2">
      <c r="A29" s="225">
        <f t="shared" si="51"/>
        <v>44246</v>
      </c>
      <c r="B29" s="193">
        <v>0</v>
      </c>
      <c r="C29" s="194">
        <v>2.3945500000000001E-3</v>
      </c>
      <c r="D29" s="193">
        <f t="shared" si="0"/>
        <v>0</v>
      </c>
      <c r="G29" s="193">
        <f t="shared" si="1"/>
        <v>0</v>
      </c>
      <c r="J29" s="193">
        <f t="shared" si="2"/>
        <v>0</v>
      </c>
      <c r="M29" s="193">
        <f t="shared" si="3"/>
        <v>0</v>
      </c>
      <c r="P29" s="193">
        <f t="shared" si="4"/>
        <v>0</v>
      </c>
      <c r="S29" s="193">
        <f t="shared" si="5"/>
        <v>0</v>
      </c>
      <c r="V29" s="193">
        <f t="shared" si="6"/>
        <v>0</v>
      </c>
      <c r="Y29" s="193">
        <f t="shared" si="7"/>
        <v>0</v>
      </c>
      <c r="AB29" s="193">
        <f t="shared" si="8"/>
        <v>0</v>
      </c>
      <c r="AE29" s="193">
        <v>0</v>
      </c>
      <c r="AH29" s="193">
        <v>0</v>
      </c>
      <c r="AI29" s="226">
        <v>20000000</v>
      </c>
      <c r="AJ29" s="227">
        <v>2.5000000000000001E-3</v>
      </c>
      <c r="AK29" s="193">
        <f t="shared" si="9"/>
        <v>138.88888888888889</v>
      </c>
      <c r="AL29" s="226">
        <v>55000000</v>
      </c>
      <c r="AM29" s="227">
        <v>2.5000000000000001E-3</v>
      </c>
      <c r="AN29" s="193">
        <f t="shared" si="10"/>
        <v>381.94444444444446</v>
      </c>
      <c r="AO29" s="226"/>
      <c r="AP29" s="227"/>
      <c r="AQ29" s="193">
        <f t="shared" si="11"/>
        <v>0</v>
      </c>
      <c r="AR29" s="226"/>
      <c r="AS29" s="227"/>
      <c r="AT29" s="193">
        <f t="shared" si="12"/>
        <v>0</v>
      </c>
      <c r="AW29" s="193">
        <f t="shared" si="13"/>
        <v>0</v>
      </c>
      <c r="AZ29" s="193">
        <f t="shared" si="14"/>
        <v>0</v>
      </c>
      <c r="BC29" s="193">
        <f t="shared" si="15"/>
        <v>0</v>
      </c>
      <c r="BF29" s="193">
        <f t="shared" si="16"/>
        <v>0</v>
      </c>
      <c r="BI29" s="193">
        <f t="shared" si="17"/>
        <v>0</v>
      </c>
      <c r="BL29" s="193">
        <f t="shared" si="18"/>
        <v>0</v>
      </c>
      <c r="BO29" s="193">
        <f t="shared" si="19"/>
        <v>0</v>
      </c>
      <c r="BR29" s="193">
        <f t="shared" si="20"/>
        <v>0</v>
      </c>
      <c r="BU29" s="193">
        <f t="shared" si="21"/>
        <v>0</v>
      </c>
      <c r="BX29" s="193">
        <f t="shared" si="22"/>
        <v>0</v>
      </c>
      <c r="CA29" s="193">
        <f t="shared" si="23"/>
        <v>0</v>
      </c>
      <c r="CD29" s="193">
        <f t="shared" si="24"/>
        <v>0</v>
      </c>
      <c r="CG29" s="193">
        <f t="shared" si="25"/>
        <v>0</v>
      </c>
      <c r="CJ29" s="193">
        <f t="shared" si="26"/>
        <v>0</v>
      </c>
      <c r="CM29" s="193">
        <f t="shared" si="27"/>
        <v>0</v>
      </c>
      <c r="CP29" s="193">
        <f t="shared" si="28"/>
        <v>0</v>
      </c>
      <c r="CS29" s="193">
        <f t="shared" si="29"/>
        <v>0</v>
      </c>
      <c r="CV29" s="193">
        <f t="shared" si="30"/>
        <v>0</v>
      </c>
      <c r="CY29" s="193">
        <f t="shared" si="31"/>
        <v>0</v>
      </c>
      <c r="DB29" s="193">
        <f t="shared" si="32"/>
        <v>0</v>
      </c>
      <c r="DE29" s="193">
        <f t="shared" si="33"/>
        <v>0</v>
      </c>
      <c r="DH29" s="193">
        <f t="shared" si="34"/>
        <v>0</v>
      </c>
      <c r="DK29" s="193">
        <f t="shared" si="35"/>
        <v>0</v>
      </c>
      <c r="DN29" s="193">
        <f t="shared" si="36"/>
        <v>0</v>
      </c>
      <c r="DQ29" s="193">
        <f t="shared" si="37"/>
        <v>0</v>
      </c>
      <c r="DT29" s="193">
        <f t="shared" si="38"/>
        <v>0</v>
      </c>
      <c r="DW29" s="193">
        <f t="shared" si="39"/>
        <v>0</v>
      </c>
      <c r="DZ29" s="193"/>
      <c r="EA29" s="193"/>
      <c r="EB29" s="228">
        <f t="shared" si="40"/>
        <v>75000000</v>
      </c>
      <c r="EC29" s="228">
        <f t="shared" si="41"/>
        <v>0</v>
      </c>
      <c r="ED29" s="193">
        <f t="shared" si="42"/>
        <v>520.83333333333337</v>
      </c>
      <c r="EE29" s="194">
        <f t="shared" si="43"/>
        <v>2.5000000000000001E-3</v>
      </c>
      <c r="EG29" s="228">
        <f t="shared" si="44"/>
        <v>0</v>
      </c>
      <c r="EH29" s="193">
        <f t="shared" si="45"/>
        <v>0</v>
      </c>
      <c r="EI29" s="194">
        <f t="shared" si="46"/>
        <v>0</v>
      </c>
      <c r="EJ29" s="194"/>
      <c r="EK29" s="228">
        <f t="shared" si="47"/>
        <v>75000000</v>
      </c>
      <c r="EL29" s="228">
        <f t="shared" si="48"/>
        <v>0</v>
      </c>
      <c r="EM29" s="228">
        <f t="shared" si="49"/>
        <v>520.83333333333337</v>
      </c>
      <c r="EN29" s="194">
        <f t="shared" si="50"/>
        <v>2.5000000000000001E-3</v>
      </c>
      <c r="EP29" s="193"/>
    </row>
    <row r="30" spans="1:146" x14ac:dyDescent="0.2">
      <c r="A30" s="225">
        <f t="shared" si="51"/>
        <v>44247</v>
      </c>
      <c r="B30" s="193">
        <v>0</v>
      </c>
      <c r="C30" s="194">
        <v>2.3945500000000001E-3</v>
      </c>
      <c r="D30" s="193">
        <f t="shared" si="0"/>
        <v>0</v>
      </c>
      <c r="G30" s="193">
        <f t="shared" si="1"/>
        <v>0</v>
      </c>
      <c r="J30" s="193">
        <f t="shared" si="2"/>
        <v>0</v>
      </c>
      <c r="M30" s="193">
        <f t="shared" si="3"/>
        <v>0</v>
      </c>
      <c r="P30" s="193">
        <f t="shared" si="4"/>
        <v>0</v>
      </c>
      <c r="S30" s="193">
        <f t="shared" si="5"/>
        <v>0</v>
      </c>
      <c r="V30" s="193">
        <f t="shared" si="6"/>
        <v>0</v>
      </c>
      <c r="Y30" s="193">
        <f t="shared" si="7"/>
        <v>0</v>
      </c>
      <c r="AB30" s="193">
        <f t="shared" si="8"/>
        <v>0</v>
      </c>
      <c r="AE30" s="193">
        <v>0</v>
      </c>
      <c r="AH30" s="193">
        <v>0</v>
      </c>
      <c r="AI30" s="226">
        <v>20000000</v>
      </c>
      <c r="AJ30" s="227">
        <v>2.5000000000000001E-3</v>
      </c>
      <c r="AK30" s="193">
        <f t="shared" si="9"/>
        <v>138.88888888888889</v>
      </c>
      <c r="AL30" s="226">
        <v>55000000</v>
      </c>
      <c r="AM30" s="227">
        <v>2.5000000000000001E-3</v>
      </c>
      <c r="AN30" s="193">
        <f t="shared" si="10"/>
        <v>381.94444444444446</v>
      </c>
      <c r="AO30" s="226"/>
      <c r="AP30" s="227"/>
      <c r="AQ30" s="193">
        <f t="shared" si="11"/>
        <v>0</v>
      </c>
      <c r="AR30" s="226"/>
      <c r="AS30" s="227"/>
      <c r="AT30" s="193">
        <f t="shared" si="12"/>
        <v>0</v>
      </c>
      <c r="AW30" s="193">
        <f t="shared" si="13"/>
        <v>0</v>
      </c>
      <c r="AZ30" s="193">
        <f t="shared" si="14"/>
        <v>0</v>
      </c>
      <c r="BC30" s="193">
        <f t="shared" si="15"/>
        <v>0</v>
      </c>
      <c r="BF30" s="193">
        <f t="shared" si="16"/>
        <v>0</v>
      </c>
      <c r="BI30" s="193">
        <f t="shared" si="17"/>
        <v>0</v>
      </c>
      <c r="BL30" s="193">
        <f t="shared" si="18"/>
        <v>0</v>
      </c>
      <c r="BO30" s="193">
        <f t="shared" si="19"/>
        <v>0</v>
      </c>
      <c r="BR30" s="193">
        <f t="shared" si="20"/>
        <v>0</v>
      </c>
      <c r="BU30" s="193">
        <f t="shared" si="21"/>
        <v>0</v>
      </c>
      <c r="BX30" s="193">
        <f t="shared" si="22"/>
        <v>0</v>
      </c>
      <c r="CA30" s="193">
        <f t="shared" si="23"/>
        <v>0</v>
      </c>
      <c r="CD30" s="193">
        <f t="shared" si="24"/>
        <v>0</v>
      </c>
      <c r="CG30" s="193">
        <f t="shared" si="25"/>
        <v>0</v>
      </c>
      <c r="CJ30" s="193">
        <f t="shared" si="26"/>
        <v>0</v>
      </c>
      <c r="CM30" s="193">
        <f t="shared" si="27"/>
        <v>0</v>
      </c>
      <c r="CP30" s="193">
        <f t="shared" si="28"/>
        <v>0</v>
      </c>
      <c r="CS30" s="193">
        <f t="shared" si="29"/>
        <v>0</v>
      </c>
      <c r="CV30" s="193">
        <f t="shared" si="30"/>
        <v>0</v>
      </c>
      <c r="CY30" s="193">
        <f t="shared" si="31"/>
        <v>0</v>
      </c>
      <c r="DB30" s="193">
        <f t="shared" si="32"/>
        <v>0</v>
      </c>
      <c r="DE30" s="193">
        <f t="shared" si="33"/>
        <v>0</v>
      </c>
      <c r="DH30" s="193">
        <f t="shared" si="34"/>
        <v>0</v>
      </c>
      <c r="DK30" s="193">
        <f t="shared" si="35"/>
        <v>0</v>
      </c>
      <c r="DN30" s="193">
        <f t="shared" si="36"/>
        <v>0</v>
      </c>
      <c r="DQ30" s="193">
        <f t="shared" si="37"/>
        <v>0</v>
      </c>
      <c r="DT30" s="193">
        <f t="shared" si="38"/>
        <v>0</v>
      </c>
      <c r="DW30" s="193">
        <f t="shared" si="39"/>
        <v>0</v>
      </c>
      <c r="DZ30" s="193"/>
      <c r="EA30" s="193"/>
      <c r="EB30" s="228">
        <f t="shared" si="40"/>
        <v>75000000</v>
      </c>
      <c r="EC30" s="228">
        <f t="shared" si="41"/>
        <v>0</v>
      </c>
      <c r="ED30" s="193">
        <f t="shared" si="42"/>
        <v>520.83333333333337</v>
      </c>
      <c r="EE30" s="194">
        <f t="shared" si="43"/>
        <v>2.5000000000000001E-3</v>
      </c>
      <c r="EG30" s="228">
        <f t="shared" si="44"/>
        <v>0</v>
      </c>
      <c r="EH30" s="193">
        <f t="shared" si="45"/>
        <v>0</v>
      </c>
      <c r="EI30" s="194">
        <f t="shared" si="46"/>
        <v>0</v>
      </c>
      <c r="EJ30" s="194"/>
      <c r="EK30" s="228">
        <f t="shared" si="47"/>
        <v>75000000</v>
      </c>
      <c r="EL30" s="228">
        <f t="shared" si="48"/>
        <v>0</v>
      </c>
      <c r="EM30" s="228">
        <f t="shared" si="49"/>
        <v>520.83333333333337</v>
      </c>
      <c r="EN30" s="194">
        <f t="shared" si="50"/>
        <v>2.5000000000000001E-3</v>
      </c>
      <c r="EP30" s="193"/>
    </row>
    <row r="31" spans="1:146" x14ac:dyDescent="0.2">
      <c r="A31" s="225">
        <f t="shared" si="51"/>
        <v>44248</v>
      </c>
      <c r="B31" s="193">
        <v>0</v>
      </c>
      <c r="C31" s="194">
        <v>2.3945500000000001E-3</v>
      </c>
      <c r="D31" s="193">
        <f t="shared" si="0"/>
        <v>0</v>
      </c>
      <c r="G31" s="193">
        <f t="shared" si="1"/>
        <v>0</v>
      </c>
      <c r="J31" s="193">
        <f t="shared" si="2"/>
        <v>0</v>
      </c>
      <c r="M31" s="193">
        <f t="shared" si="3"/>
        <v>0</v>
      </c>
      <c r="P31" s="193">
        <f t="shared" si="4"/>
        <v>0</v>
      </c>
      <c r="S31" s="193">
        <f t="shared" si="5"/>
        <v>0</v>
      </c>
      <c r="V31" s="193">
        <f t="shared" si="6"/>
        <v>0</v>
      </c>
      <c r="Y31" s="193">
        <f t="shared" si="7"/>
        <v>0</v>
      </c>
      <c r="AB31" s="193">
        <f t="shared" si="8"/>
        <v>0</v>
      </c>
      <c r="AE31" s="193">
        <v>0</v>
      </c>
      <c r="AH31" s="193">
        <v>0</v>
      </c>
      <c r="AI31" s="226">
        <v>20000000</v>
      </c>
      <c r="AJ31" s="227">
        <v>2.5000000000000001E-3</v>
      </c>
      <c r="AK31" s="193">
        <f t="shared" si="9"/>
        <v>138.88888888888889</v>
      </c>
      <c r="AL31" s="226">
        <v>55000000</v>
      </c>
      <c r="AM31" s="227">
        <v>2.5000000000000001E-3</v>
      </c>
      <c r="AN31" s="193">
        <f t="shared" si="10"/>
        <v>381.94444444444446</v>
      </c>
      <c r="AO31" s="226"/>
      <c r="AP31" s="227"/>
      <c r="AQ31" s="193">
        <f t="shared" si="11"/>
        <v>0</v>
      </c>
      <c r="AR31" s="226"/>
      <c r="AS31" s="227"/>
      <c r="AT31" s="193">
        <f t="shared" si="12"/>
        <v>0</v>
      </c>
      <c r="AW31" s="193">
        <f t="shared" si="13"/>
        <v>0</v>
      </c>
      <c r="AZ31" s="193">
        <f t="shared" si="14"/>
        <v>0</v>
      </c>
      <c r="BC31" s="193">
        <f t="shared" si="15"/>
        <v>0</v>
      </c>
      <c r="BF31" s="193">
        <f t="shared" si="16"/>
        <v>0</v>
      </c>
      <c r="BI31" s="193">
        <f t="shared" si="17"/>
        <v>0</v>
      </c>
      <c r="BL31" s="193">
        <f t="shared" si="18"/>
        <v>0</v>
      </c>
      <c r="BO31" s="193">
        <f t="shared" si="19"/>
        <v>0</v>
      </c>
      <c r="BR31" s="193">
        <f t="shared" si="20"/>
        <v>0</v>
      </c>
      <c r="BU31" s="193">
        <f t="shared" si="21"/>
        <v>0</v>
      </c>
      <c r="BX31" s="193">
        <f t="shared" si="22"/>
        <v>0</v>
      </c>
      <c r="CA31" s="193">
        <f t="shared" si="23"/>
        <v>0</v>
      </c>
      <c r="CD31" s="193">
        <f t="shared" si="24"/>
        <v>0</v>
      </c>
      <c r="CG31" s="193">
        <f t="shared" si="25"/>
        <v>0</v>
      </c>
      <c r="CJ31" s="193">
        <f t="shared" si="26"/>
        <v>0</v>
      </c>
      <c r="CM31" s="193">
        <f t="shared" si="27"/>
        <v>0</v>
      </c>
      <c r="CP31" s="193">
        <f t="shared" si="28"/>
        <v>0</v>
      </c>
      <c r="CS31" s="193">
        <f t="shared" si="29"/>
        <v>0</v>
      </c>
      <c r="CV31" s="193">
        <f t="shared" si="30"/>
        <v>0</v>
      </c>
      <c r="CY31" s="193">
        <f t="shared" si="31"/>
        <v>0</v>
      </c>
      <c r="DB31" s="193">
        <f t="shared" si="32"/>
        <v>0</v>
      </c>
      <c r="DE31" s="193">
        <f t="shared" si="33"/>
        <v>0</v>
      </c>
      <c r="DH31" s="193">
        <f t="shared" si="34"/>
        <v>0</v>
      </c>
      <c r="DK31" s="193">
        <f t="shared" si="35"/>
        <v>0</v>
      </c>
      <c r="DN31" s="193">
        <f t="shared" si="36"/>
        <v>0</v>
      </c>
      <c r="DQ31" s="193">
        <f t="shared" si="37"/>
        <v>0</v>
      </c>
      <c r="DT31" s="193">
        <f t="shared" si="38"/>
        <v>0</v>
      </c>
      <c r="DW31" s="193">
        <f t="shared" si="39"/>
        <v>0</v>
      </c>
      <c r="DZ31" s="193"/>
      <c r="EA31" s="193"/>
      <c r="EB31" s="228">
        <f t="shared" si="40"/>
        <v>75000000</v>
      </c>
      <c r="EC31" s="228">
        <f t="shared" si="41"/>
        <v>0</v>
      </c>
      <c r="ED31" s="193">
        <f t="shared" si="42"/>
        <v>520.83333333333337</v>
      </c>
      <c r="EE31" s="194">
        <f t="shared" si="43"/>
        <v>2.5000000000000001E-3</v>
      </c>
      <c r="EG31" s="228">
        <f t="shared" si="44"/>
        <v>0</v>
      </c>
      <c r="EH31" s="193">
        <f t="shared" si="45"/>
        <v>0</v>
      </c>
      <c r="EI31" s="194">
        <f t="shared" si="46"/>
        <v>0</v>
      </c>
      <c r="EJ31" s="194"/>
      <c r="EK31" s="228">
        <f t="shared" si="47"/>
        <v>75000000</v>
      </c>
      <c r="EL31" s="228">
        <f t="shared" si="48"/>
        <v>0</v>
      </c>
      <c r="EM31" s="228">
        <f t="shared" si="49"/>
        <v>520.83333333333337</v>
      </c>
      <c r="EN31" s="194">
        <f t="shared" si="50"/>
        <v>2.5000000000000001E-3</v>
      </c>
      <c r="EP31" s="193"/>
    </row>
    <row r="32" spans="1:146" x14ac:dyDescent="0.2">
      <c r="A32" s="225">
        <f t="shared" si="51"/>
        <v>44249</v>
      </c>
      <c r="B32" s="193">
        <v>0</v>
      </c>
      <c r="C32" s="194">
        <v>2.2690699999999998E-3</v>
      </c>
      <c r="D32" s="193">
        <f t="shared" si="0"/>
        <v>0</v>
      </c>
      <c r="G32" s="193">
        <f t="shared" si="1"/>
        <v>0</v>
      </c>
      <c r="J32" s="193">
        <f t="shared" si="2"/>
        <v>0</v>
      </c>
      <c r="M32" s="193">
        <f t="shared" si="3"/>
        <v>0</v>
      </c>
      <c r="P32" s="193">
        <f t="shared" si="4"/>
        <v>0</v>
      </c>
      <c r="S32" s="193">
        <f t="shared" si="5"/>
        <v>0</v>
      </c>
      <c r="V32" s="193">
        <f t="shared" si="6"/>
        <v>0</v>
      </c>
      <c r="Y32" s="193">
        <f t="shared" si="7"/>
        <v>0</v>
      </c>
      <c r="AB32" s="193">
        <f t="shared" si="8"/>
        <v>0</v>
      </c>
      <c r="AE32" s="193">
        <v>0</v>
      </c>
      <c r="AH32" s="193">
        <v>0</v>
      </c>
      <c r="AI32" s="226">
        <v>20000000</v>
      </c>
      <c r="AJ32" s="227">
        <v>2.5000000000000001E-3</v>
      </c>
      <c r="AK32" s="193">
        <f t="shared" si="9"/>
        <v>138.88888888888889</v>
      </c>
      <c r="AL32" s="226">
        <v>55000000</v>
      </c>
      <c r="AM32" s="227">
        <v>2.5000000000000001E-3</v>
      </c>
      <c r="AN32" s="193">
        <f t="shared" si="10"/>
        <v>381.94444444444446</v>
      </c>
      <c r="AO32" s="226"/>
      <c r="AP32" s="227"/>
      <c r="AQ32" s="193">
        <f t="shared" si="11"/>
        <v>0</v>
      </c>
      <c r="AR32" s="226"/>
      <c r="AS32" s="227"/>
      <c r="AT32" s="193">
        <f t="shared" si="12"/>
        <v>0</v>
      </c>
      <c r="AW32" s="193">
        <f t="shared" si="13"/>
        <v>0</v>
      </c>
      <c r="AZ32" s="193">
        <f t="shared" si="14"/>
        <v>0</v>
      </c>
      <c r="BC32" s="193">
        <f t="shared" si="15"/>
        <v>0</v>
      </c>
      <c r="BF32" s="193">
        <f t="shared" si="16"/>
        <v>0</v>
      </c>
      <c r="BI32" s="193">
        <f t="shared" si="17"/>
        <v>0</v>
      </c>
      <c r="BL32" s="193">
        <f t="shared" si="18"/>
        <v>0</v>
      </c>
      <c r="BO32" s="193">
        <f t="shared" si="19"/>
        <v>0</v>
      </c>
      <c r="BR32" s="193">
        <f t="shared" si="20"/>
        <v>0</v>
      </c>
      <c r="BU32" s="193">
        <f t="shared" si="21"/>
        <v>0</v>
      </c>
      <c r="BX32" s="193">
        <f t="shared" si="22"/>
        <v>0</v>
      </c>
      <c r="CA32" s="193">
        <f t="shared" si="23"/>
        <v>0</v>
      </c>
      <c r="CD32" s="193">
        <f t="shared" si="24"/>
        <v>0</v>
      </c>
      <c r="CG32" s="193">
        <f t="shared" si="25"/>
        <v>0</v>
      </c>
      <c r="CJ32" s="193">
        <f t="shared" si="26"/>
        <v>0</v>
      </c>
      <c r="CM32" s="193">
        <f t="shared" si="27"/>
        <v>0</v>
      </c>
      <c r="CP32" s="193">
        <f t="shared" si="28"/>
        <v>0</v>
      </c>
      <c r="CS32" s="193">
        <f t="shared" si="29"/>
        <v>0</v>
      </c>
      <c r="CV32" s="193">
        <f t="shared" si="30"/>
        <v>0</v>
      </c>
      <c r="CY32" s="193">
        <f t="shared" si="31"/>
        <v>0</v>
      </c>
      <c r="DB32" s="193">
        <f t="shared" si="32"/>
        <v>0</v>
      </c>
      <c r="DE32" s="193">
        <f t="shared" si="33"/>
        <v>0</v>
      </c>
      <c r="DH32" s="193">
        <f t="shared" si="34"/>
        <v>0</v>
      </c>
      <c r="DK32" s="193">
        <f t="shared" si="35"/>
        <v>0</v>
      </c>
      <c r="DN32" s="193">
        <f t="shared" si="36"/>
        <v>0</v>
      </c>
      <c r="DQ32" s="193">
        <f t="shared" si="37"/>
        <v>0</v>
      </c>
      <c r="DT32" s="193">
        <f t="shared" si="38"/>
        <v>0</v>
      </c>
      <c r="DW32" s="193">
        <f t="shared" si="39"/>
        <v>0</v>
      </c>
      <c r="DZ32" s="193"/>
      <c r="EA32" s="193"/>
      <c r="EB32" s="228">
        <f t="shared" si="40"/>
        <v>75000000</v>
      </c>
      <c r="EC32" s="228">
        <f t="shared" si="41"/>
        <v>0</v>
      </c>
      <c r="ED32" s="193">
        <f t="shared" si="42"/>
        <v>520.83333333333337</v>
      </c>
      <c r="EE32" s="194">
        <f t="shared" si="43"/>
        <v>2.5000000000000001E-3</v>
      </c>
      <c r="EG32" s="228">
        <f t="shared" si="44"/>
        <v>0</v>
      </c>
      <c r="EH32" s="193">
        <f t="shared" si="45"/>
        <v>0</v>
      </c>
      <c r="EI32" s="194">
        <f t="shared" si="46"/>
        <v>0</v>
      </c>
      <c r="EJ32" s="194"/>
      <c r="EK32" s="228">
        <f t="shared" si="47"/>
        <v>75000000</v>
      </c>
      <c r="EL32" s="228">
        <f t="shared" si="48"/>
        <v>0</v>
      </c>
      <c r="EM32" s="228">
        <f t="shared" si="49"/>
        <v>520.83333333333337</v>
      </c>
      <c r="EN32" s="194">
        <f t="shared" si="50"/>
        <v>2.5000000000000001E-3</v>
      </c>
      <c r="EP32" s="193"/>
    </row>
    <row r="33" spans="1:146" x14ac:dyDescent="0.2">
      <c r="A33" s="225">
        <f t="shared" si="51"/>
        <v>44250</v>
      </c>
      <c r="B33" s="193">
        <v>0</v>
      </c>
      <c r="C33" s="194">
        <v>2.12978E-3</v>
      </c>
      <c r="D33" s="193">
        <f t="shared" si="0"/>
        <v>0</v>
      </c>
      <c r="G33" s="193">
        <f t="shared" si="1"/>
        <v>0</v>
      </c>
      <c r="J33" s="193">
        <f t="shared" si="2"/>
        <v>0</v>
      </c>
      <c r="M33" s="193">
        <f t="shared" si="3"/>
        <v>0</v>
      </c>
      <c r="P33" s="193">
        <f t="shared" si="4"/>
        <v>0</v>
      </c>
      <c r="S33" s="193">
        <f t="shared" si="5"/>
        <v>0</v>
      </c>
      <c r="V33" s="193">
        <f t="shared" si="6"/>
        <v>0</v>
      </c>
      <c r="Y33" s="193">
        <f t="shared" si="7"/>
        <v>0</v>
      </c>
      <c r="AB33" s="193">
        <f t="shared" si="8"/>
        <v>0</v>
      </c>
      <c r="AE33" s="193">
        <v>0</v>
      </c>
      <c r="AH33" s="193">
        <v>0</v>
      </c>
      <c r="AI33" s="226">
        <v>20000000</v>
      </c>
      <c r="AJ33" s="227">
        <v>2.5000000000000001E-3</v>
      </c>
      <c r="AK33" s="193">
        <f t="shared" si="9"/>
        <v>138.88888888888889</v>
      </c>
      <c r="AL33" s="226">
        <v>55000000</v>
      </c>
      <c r="AM33" s="227">
        <v>2.5000000000000001E-3</v>
      </c>
      <c r="AN33" s="193">
        <f t="shared" si="10"/>
        <v>381.94444444444446</v>
      </c>
      <c r="AO33" s="226">
        <v>5000000</v>
      </c>
      <c r="AP33" s="227">
        <v>1.8E-3</v>
      </c>
      <c r="AQ33" s="193">
        <f t="shared" si="11"/>
        <v>25</v>
      </c>
      <c r="AR33" s="226"/>
      <c r="AS33" s="227"/>
      <c r="AT33" s="193">
        <f t="shared" si="12"/>
        <v>0</v>
      </c>
      <c r="AW33" s="193">
        <f t="shared" si="13"/>
        <v>0</v>
      </c>
      <c r="AZ33" s="193">
        <f t="shared" si="14"/>
        <v>0</v>
      </c>
      <c r="BC33" s="193">
        <f t="shared" si="15"/>
        <v>0</v>
      </c>
      <c r="BF33" s="193">
        <f t="shared" si="16"/>
        <v>0</v>
      </c>
      <c r="BI33" s="193">
        <f t="shared" si="17"/>
        <v>0</v>
      </c>
      <c r="BL33" s="193">
        <f t="shared" si="18"/>
        <v>0</v>
      </c>
      <c r="BO33" s="193">
        <f t="shared" si="19"/>
        <v>0</v>
      </c>
      <c r="BR33" s="193">
        <f t="shared" si="20"/>
        <v>0</v>
      </c>
      <c r="BU33" s="193">
        <f t="shared" si="21"/>
        <v>0</v>
      </c>
      <c r="BX33" s="193">
        <f t="shared" si="22"/>
        <v>0</v>
      </c>
      <c r="CA33" s="193">
        <f t="shared" si="23"/>
        <v>0</v>
      </c>
      <c r="CD33" s="193">
        <f t="shared" si="24"/>
        <v>0</v>
      </c>
      <c r="CG33" s="193">
        <f t="shared" si="25"/>
        <v>0</v>
      </c>
      <c r="CJ33" s="193">
        <f t="shared" si="26"/>
        <v>0</v>
      </c>
      <c r="CM33" s="193">
        <f t="shared" si="27"/>
        <v>0</v>
      </c>
      <c r="CP33" s="193">
        <f t="shared" si="28"/>
        <v>0</v>
      </c>
      <c r="CS33" s="193">
        <f t="shared" si="29"/>
        <v>0</v>
      </c>
      <c r="CV33" s="193">
        <f t="shared" si="30"/>
        <v>0</v>
      </c>
      <c r="CY33" s="193">
        <f t="shared" si="31"/>
        <v>0</v>
      </c>
      <c r="DB33" s="193">
        <f t="shared" si="32"/>
        <v>0</v>
      </c>
      <c r="DE33" s="193">
        <f t="shared" si="33"/>
        <v>0</v>
      </c>
      <c r="DH33" s="193">
        <f t="shared" si="34"/>
        <v>0</v>
      </c>
      <c r="DK33" s="193">
        <f t="shared" si="35"/>
        <v>0</v>
      </c>
      <c r="DN33" s="193">
        <f t="shared" si="36"/>
        <v>0</v>
      </c>
      <c r="DQ33" s="193">
        <f t="shared" si="37"/>
        <v>0</v>
      </c>
      <c r="DT33" s="193">
        <f t="shared" si="38"/>
        <v>0</v>
      </c>
      <c r="DW33" s="193">
        <f t="shared" si="39"/>
        <v>0</v>
      </c>
      <c r="DZ33" s="193"/>
      <c r="EA33" s="193"/>
      <c r="EB33" s="228">
        <f t="shared" si="40"/>
        <v>80000000</v>
      </c>
      <c r="EC33" s="228">
        <f t="shared" si="41"/>
        <v>0</v>
      </c>
      <c r="ED33" s="193">
        <f t="shared" si="42"/>
        <v>545.83333333333337</v>
      </c>
      <c r="EE33" s="194">
        <f t="shared" si="43"/>
        <v>2.4562500000000001E-3</v>
      </c>
      <c r="EG33" s="228">
        <f t="shared" si="44"/>
        <v>0</v>
      </c>
      <c r="EH33" s="193">
        <f t="shared" si="45"/>
        <v>0</v>
      </c>
      <c r="EI33" s="194">
        <f t="shared" si="46"/>
        <v>0</v>
      </c>
      <c r="EJ33" s="194"/>
      <c r="EK33" s="228">
        <f t="shared" si="47"/>
        <v>80000000</v>
      </c>
      <c r="EL33" s="228">
        <f t="shared" si="48"/>
        <v>0</v>
      </c>
      <c r="EM33" s="228">
        <f t="shared" si="49"/>
        <v>545.83333333333337</v>
      </c>
      <c r="EN33" s="194">
        <f t="shared" si="50"/>
        <v>2.4562500000000001E-3</v>
      </c>
      <c r="EP33" s="193"/>
    </row>
    <row r="34" spans="1:146" x14ac:dyDescent="0.2">
      <c r="A34" s="225">
        <f t="shared" si="51"/>
        <v>44251</v>
      </c>
      <c r="B34" s="193">
        <v>0</v>
      </c>
      <c r="C34" s="194">
        <v>2.0731999999999999E-3</v>
      </c>
      <c r="D34" s="193">
        <f t="shared" si="0"/>
        <v>0</v>
      </c>
      <c r="G34" s="193">
        <f t="shared" si="1"/>
        <v>0</v>
      </c>
      <c r="J34" s="193">
        <f t="shared" si="2"/>
        <v>0</v>
      </c>
      <c r="M34" s="193">
        <f t="shared" si="3"/>
        <v>0</v>
      </c>
      <c r="P34" s="193">
        <f t="shared" si="4"/>
        <v>0</v>
      </c>
      <c r="S34" s="193">
        <f t="shared" si="5"/>
        <v>0</v>
      </c>
      <c r="V34" s="193">
        <f t="shared" si="6"/>
        <v>0</v>
      </c>
      <c r="Y34" s="193">
        <f t="shared" si="7"/>
        <v>0</v>
      </c>
      <c r="AB34" s="193">
        <f t="shared" si="8"/>
        <v>0</v>
      </c>
      <c r="AE34" s="193">
        <v>0</v>
      </c>
      <c r="AH34" s="193">
        <v>0</v>
      </c>
      <c r="AI34" s="226">
        <v>20000000</v>
      </c>
      <c r="AJ34" s="227">
        <v>2.5000000000000001E-3</v>
      </c>
      <c r="AK34" s="193">
        <f t="shared" si="9"/>
        <v>138.88888888888889</v>
      </c>
      <c r="AL34" s="226">
        <v>55000000</v>
      </c>
      <c r="AM34" s="227">
        <v>2.5000000000000001E-3</v>
      </c>
      <c r="AN34" s="193">
        <f t="shared" si="10"/>
        <v>381.94444444444446</v>
      </c>
      <c r="AO34" s="226">
        <v>28125000</v>
      </c>
      <c r="AP34" s="227">
        <v>1.8E-3</v>
      </c>
      <c r="AQ34" s="193">
        <f t="shared" si="11"/>
        <v>140.625</v>
      </c>
      <c r="AR34" s="226"/>
      <c r="AS34" s="227"/>
      <c r="AT34" s="193">
        <f t="shared" si="12"/>
        <v>0</v>
      </c>
      <c r="AW34" s="193">
        <f t="shared" si="13"/>
        <v>0</v>
      </c>
      <c r="AZ34" s="193">
        <f t="shared" si="14"/>
        <v>0</v>
      </c>
      <c r="BC34" s="193">
        <f t="shared" si="15"/>
        <v>0</v>
      </c>
      <c r="BF34" s="193">
        <f t="shared" si="16"/>
        <v>0</v>
      </c>
      <c r="BI34" s="193">
        <f t="shared" si="17"/>
        <v>0</v>
      </c>
      <c r="BL34" s="193">
        <f t="shared" si="18"/>
        <v>0</v>
      </c>
      <c r="BO34" s="193">
        <f t="shared" si="19"/>
        <v>0</v>
      </c>
      <c r="BR34" s="193">
        <f t="shared" si="20"/>
        <v>0</v>
      </c>
      <c r="BU34" s="193">
        <f t="shared" si="21"/>
        <v>0</v>
      </c>
      <c r="BX34" s="193">
        <f t="shared" si="22"/>
        <v>0</v>
      </c>
      <c r="CA34" s="193">
        <f t="shared" si="23"/>
        <v>0</v>
      </c>
      <c r="CD34" s="193">
        <f t="shared" si="24"/>
        <v>0</v>
      </c>
      <c r="CG34" s="193">
        <f t="shared" si="25"/>
        <v>0</v>
      </c>
      <c r="CJ34" s="193">
        <f t="shared" si="26"/>
        <v>0</v>
      </c>
      <c r="CM34" s="193">
        <f t="shared" si="27"/>
        <v>0</v>
      </c>
      <c r="CP34" s="193">
        <f t="shared" si="28"/>
        <v>0</v>
      </c>
      <c r="CS34" s="193">
        <f t="shared" si="29"/>
        <v>0</v>
      </c>
      <c r="CV34" s="193">
        <f t="shared" si="30"/>
        <v>0</v>
      </c>
      <c r="CY34" s="193">
        <f t="shared" si="31"/>
        <v>0</v>
      </c>
      <c r="DB34" s="193">
        <f t="shared" si="32"/>
        <v>0</v>
      </c>
      <c r="DE34" s="193">
        <f t="shared" si="33"/>
        <v>0</v>
      </c>
      <c r="DH34" s="193">
        <f t="shared" si="34"/>
        <v>0</v>
      </c>
      <c r="DK34" s="193">
        <f t="shared" si="35"/>
        <v>0</v>
      </c>
      <c r="DN34" s="193">
        <f t="shared" si="36"/>
        <v>0</v>
      </c>
      <c r="DQ34" s="193">
        <f t="shared" si="37"/>
        <v>0</v>
      </c>
      <c r="DT34" s="193">
        <f t="shared" si="38"/>
        <v>0</v>
      </c>
      <c r="DW34" s="193">
        <f t="shared" si="39"/>
        <v>0</v>
      </c>
      <c r="DZ34" s="193"/>
      <c r="EA34" s="193"/>
      <c r="EB34" s="228">
        <f t="shared" si="40"/>
        <v>103125000</v>
      </c>
      <c r="EC34" s="228">
        <f t="shared" si="41"/>
        <v>0</v>
      </c>
      <c r="ED34" s="193">
        <f t="shared" si="42"/>
        <v>661.45833333333337</v>
      </c>
      <c r="EE34" s="194">
        <f t="shared" si="43"/>
        <v>2.3090909090909091E-3</v>
      </c>
      <c r="EG34" s="228">
        <f t="shared" si="44"/>
        <v>0</v>
      </c>
      <c r="EH34" s="193">
        <f t="shared" si="45"/>
        <v>0</v>
      </c>
      <c r="EI34" s="194">
        <f t="shared" si="46"/>
        <v>0</v>
      </c>
      <c r="EJ34" s="194"/>
      <c r="EK34" s="228">
        <f t="shared" si="47"/>
        <v>103125000</v>
      </c>
      <c r="EL34" s="228">
        <f t="shared" si="48"/>
        <v>0</v>
      </c>
      <c r="EM34" s="228">
        <f t="shared" si="49"/>
        <v>661.45833333333337</v>
      </c>
      <c r="EN34" s="194">
        <f t="shared" si="50"/>
        <v>2.3090909090909091E-3</v>
      </c>
      <c r="EP34" s="193"/>
    </row>
    <row r="35" spans="1:146" x14ac:dyDescent="0.2">
      <c r="A35" s="225">
        <f t="shared" si="51"/>
        <v>44252</v>
      </c>
      <c r="B35" s="193">
        <v>0</v>
      </c>
      <c r="C35" s="194">
        <v>2.07376E-3</v>
      </c>
      <c r="D35" s="193">
        <f t="shared" si="0"/>
        <v>0</v>
      </c>
      <c r="G35" s="193">
        <f t="shared" si="1"/>
        <v>0</v>
      </c>
      <c r="J35" s="193">
        <f t="shared" si="2"/>
        <v>0</v>
      </c>
      <c r="M35" s="193">
        <f t="shared" si="3"/>
        <v>0</v>
      </c>
      <c r="P35" s="193">
        <f t="shared" si="4"/>
        <v>0</v>
      </c>
      <c r="S35" s="193">
        <f t="shared" si="5"/>
        <v>0</v>
      </c>
      <c r="V35" s="193">
        <f t="shared" si="6"/>
        <v>0</v>
      </c>
      <c r="Y35" s="193">
        <f t="shared" si="7"/>
        <v>0</v>
      </c>
      <c r="AB35" s="193">
        <f t="shared" si="8"/>
        <v>0</v>
      </c>
      <c r="AE35" s="193">
        <v>0</v>
      </c>
      <c r="AH35" s="193">
        <v>0</v>
      </c>
      <c r="AI35" s="226">
        <v>20000000</v>
      </c>
      <c r="AJ35" s="227">
        <v>2.5000000000000001E-3</v>
      </c>
      <c r="AK35" s="193">
        <f t="shared" si="9"/>
        <v>138.88888888888889</v>
      </c>
      <c r="AL35" s="226">
        <v>20000000</v>
      </c>
      <c r="AM35" s="227">
        <v>2.5000000000000001E-3</v>
      </c>
      <c r="AN35" s="193">
        <f t="shared" si="10"/>
        <v>138.88888888888889</v>
      </c>
      <c r="AO35" s="226">
        <v>58675000</v>
      </c>
      <c r="AP35" s="227">
        <v>1.8E-3</v>
      </c>
      <c r="AQ35" s="193">
        <f t="shared" si="11"/>
        <v>293.375</v>
      </c>
      <c r="AR35" s="226"/>
      <c r="AS35" s="227"/>
      <c r="AT35" s="193">
        <f t="shared" si="12"/>
        <v>0</v>
      </c>
      <c r="AW35" s="193">
        <f t="shared" si="13"/>
        <v>0</v>
      </c>
      <c r="AZ35" s="193">
        <f t="shared" si="14"/>
        <v>0</v>
      </c>
      <c r="BC35" s="193">
        <f t="shared" si="15"/>
        <v>0</v>
      </c>
      <c r="BF35" s="193">
        <f t="shared" si="16"/>
        <v>0</v>
      </c>
      <c r="BI35" s="193">
        <f t="shared" si="17"/>
        <v>0</v>
      </c>
      <c r="BL35" s="193">
        <f t="shared" si="18"/>
        <v>0</v>
      </c>
      <c r="BO35" s="193">
        <f t="shared" si="19"/>
        <v>0</v>
      </c>
      <c r="BR35" s="193">
        <f t="shared" si="20"/>
        <v>0</v>
      </c>
      <c r="BU35" s="193">
        <f t="shared" si="21"/>
        <v>0</v>
      </c>
      <c r="BX35" s="193">
        <f t="shared" si="22"/>
        <v>0</v>
      </c>
      <c r="CA35" s="193">
        <f t="shared" si="23"/>
        <v>0</v>
      </c>
      <c r="CD35" s="193">
        <f t="shared" si="24"/>
        <v>0</v>
      </c>
      <c r="CG35" s="193">
        <f t="shared" si="25"/>
        <v>0</v>
      </c>
      <c r="CJ35" s="193">
        <f t="shared" si="26"/>
        <v>0</v>
      </c>
      <c r="CM35" s="193">
        <f t="shared" si="27"/>
        <v>0</v>
      </c>
      <c r="CP35" s="193">
        <f t="shared" si="28"/>
        <v>0</v>
      </c>
      <c r="CS35" s="193">
        <f t="shared" si="29"/>
        <v>0</v>
      </c>
      <c r="CV35" s="193">
        <f t="shared" si="30"/>
        <v>0</v>
      </c>
      <c r="CY35" s="193">
        <f t="shared" si="31"/>
        <v>0</v>
      </c>
      <c r="DB35" s="193">
        <f t="shared" si="32"/>
        <v>0</v>
      </c>
      <c r="DE35" s="193">
        <f t="shared" si="33"/>
        <v>0</v>
      </c>
      <c r="DH35" s="193">
        <f t="shared" si="34"/>
        <v>0</v>
      </c>
      <c r="DK35" s="193">
        <f t="shared" si="35"/>
        <v>0</v>
      </c>
      <c r="DN35" s="193">
        <f t="shared" si="36"/>
        <v>0</v>
      </c>
      <c r="DQ35" s="193">
        <f t="shared" si="37"/>
        <v>0</v>
      </c>
      <c r="DT35" s="193">
        <f t="shared" si="38"/>
        <v>0</v>
      </c>
      <c r="DW35" s="193">
        <f t="shared" si="39"/>
        <v>0</v>
      </c>
      <c r="DZ35" s="193"/>
      <c r="EA35" s="193"/>
      <c r="EB35" s="228">
        <f t="shared" si="40"/>
        <v>98675000</v>
      </c>
      <c r="EC35" s="228">
        <f t="shared" si="41"/>
        <v>0</v>
      </c>
      <c r="ED35" s="193">
        <f t="shared" si="42"/>
        <v>571.15277777777783</v>
      </c>
      <c r="EE35" s="194">
        <f t="shared" si="43"/>
        <v>2.0837598175829745E-3</v>
      </c>
      <c r="EG35" s="228">
        <f t="shared" si="44"/>
        <v>0</v>
      </c>
      <c r="EH35" s="193">
        <f t="shared" si="45"/>
        <v>0</v>
      </c>
      <c r="EI35" s="194">
        <f t="shared" si="46"/>
        <v>0</v>
      </c>
      <c r="EJ35" s="194"/>
      <c r="EK35" s="228">
        <f t="shared" si="47"/>
        <v>98675000</v>
      </c>
      <c r="EL35" s="228">
        <f t="shared" si="48"/>
        <v>0</v>
      </c>
      <c r="EM35" s="228">
        <f t="shared" si="49"/>
        <v>571.15277777777783</v>
      </c>
      <c r="EN35" s="194">
        <f t="shared" si="50"/>
        <v>2.0837598175829745E-3</v>
      </c>
      <c r="EP35" s="193"/>
    </row>
    <row r="36" spans="1:146" x14ac:dyDescent="0.2">
      <c r="A36" s="225">
        <f t="shared" si="51"/>
        <v>44253</v>
      </c>
      <c r="B36" s="193">
        <v>0</v>
      </c>
      <c r="C36" s="194">
        <v>2.1511899999999999E-3</v>
      </c>
      <c r="D36" s="193">
        <f t="shared" si="0"/>
        <v>0</v>
      </c>
      <c r="G36" s="193">
        <f t="shared" si="1"/>
        <v>0</v>
      </c>
      <c r="J36" s="193">
        <f t="shared" si="2"/>
        <v>0</v>
      </c>
      <c r="M36" s="193">
        <f t="shared" si="3"/>
        <v>0</v>
      </c>
      <c r="P36" s="193">
        <f t="shared" si="4"/>
        <v>0</v>
      </c>
      <c r="S36" s="193">
        <f t="shared" si="5"/>
        <v>0</v>
      </c>
      <c r="V36" s="193">
        <f t="shared" si="6"/>
        <v>0</v>
      </c>
      <c r="Y36" s="193">
        <f t="shared" si="7"/>
        <v>0</v>
      </c>
      <c r="AB36" s="193">
        <f t="shared" si="8"/>
        <v>0</v>
      </c>
      <c r="AE36" s="193">
        <v>0</v>
      </c>
      <c r="AH36" s="193">
        <v>0</v>
      </c>
      <c r="AI36" s="226">
        <v>20000000</v>
      </c>
      <c r="AJ36" s="227">
        <v>2.5000000000000001E-3</v>
      </c>
      <c r="AK36" s="193">
        <f t="shared" si="9"/>
        <v>138.88888888888889</v>
      </c>
      <c r="AL36" s="226">
        <v>20000000</v>
      </c>
      <c r="AM36" s="227">
        <v>2.5000000000000001E-3</v>
      </c>
      <c r="AN36" s="193">
        <f t="shared" si="10"/>
        <v>138.88888888888889</v>
      </c>
      <c r="AO36" s="226">
        <v>103425000</v>
      </c>
      <c r="AP36" s="227">
        <v>1.8E-3</v>
      </c>
      <c r="AQ36" s="193">
        <f t="shared" si="11"/>
        <v>517.125</v>
      </c>
      <c r="AR36" s="226"/>
      <c r="AS36" s="227"/>
      <c r="AT36" s="193">
        <f t="shared" si="12"/>
        <v>0</v>
      </c>
      <c r="AW36" s="193">
        <f t="shared" si="13"/>
        <v>0</v>
      </c>
      <c r="AZ36" s="193">
        <f t="shared" si="14"/>
        <v>0</v>
      </c>
      <c r="BC36" s="193">
        <f t="shared" si="15"/>
        <v>0</v>
      </c>
      <c r="BF36" s="193">
        <f t="shared" si="16"/>
        <v>0</v>
      </c>
      <c r="BI36" s="193">
        <f t="shared" si="17"/>
        <v>0</v>
      </c>
      <c r="BL36" s="193">
        <f t="shared" si="18"/>
        <v>0</v>
      </c>
      <c r="BO36" s="193">
        <f t="shared" si="19"/>
        <v>0</v>
      </c>
      <c r="BR36" s="193">
        <f t="shared" si="20"/>
        <v>0</v>
      </c>
      <c r="BU36" s="193">
        <f t="shared" si="21"/>
        <v>0</v>
      </c>
      <c r="BX36" s="193">
        <f t="shared" si="22"/>
        <v>0</v>
      </c>
      <c r="CA36" s="193">
        <f t="shared" si="23"/>
        <v>0</v>
      </c>
      <c r="CD36" s="193">
        <f t="shared" si="24"/>
        <v>0</v>
      </c>
      <c r="CG36" s="193">
        <f t="shared" si="25"/>
        <v>0</v>
      </c>
      <c r="CJ36" s="193">
        <f t="shared" si="26"/>
        <v>0</v>
      </c>
      <c r="CM36" s="193">
        <f t="shared" si="27"/>
        <v>0</v>
      </c>
      <c r="CP36" s="193">
        <f t="shared" si="28"/>
        <v>0</v>
      </c>
      <c r="CS36" s="193">
        <f t="shared" si="29"/>
        <v>0</v>
      </c>
      <c r="CV36" s="193">
        <f t="shared" si="30"/>
        <v>0</v>
      </c>
      <c r="CY36" s="193">
        <f t="shared" si="31"/>
        <v>0</v>
      </c>
      <c r="DB36" s="193">
        <f t="shared" si="32"/>
        <v>0</v>
      </c>
      <c r="DE36" s="193">
        <f t="shared" si="33"/>
        <v>0</v>
      </c>
      <c r="DH36" s="193">
        <f t="shared" si="34"/>
        <v>0</v>
      </c>
      <c r="DK36" s="193">
        <f t="shared" si="35"/>
        <v>0</v>
      </c>
      <c r="DN36" s="193">
        <f t="shared" si="36"/>
        <v>0</v>
      </c>
      <c r="DQ36" s="193">
        <f t="shared" si="37"/>
        <v>0</v>
      </c>
      <c r="DT36" s="193">
        <f t="shared" si="38"/>
        <v>0</v>
      </c>
      <c r="DW36" s="193">
        <f t="shared" si="39"/>
        <v>0</v>
      </c>
      <c r="DZ36" s="193"/>
      <c r="EA36" s="193"/>
      <c r="EB36" s="228">
        <f t="shared" si="40"/>
        <v>143425000</v>
      </c>
      <c r="EC36" s="228">
        <f t="shared" si="41"/>
        <v>0</v>
      </c>
      <c r="ED36" s="193">
        <f t="shared" si="42"/>
        <v>794.90277777777783</v>
      </c>
      <c r="EE36" s="194">
        <f t="shared" si="43"/>
        <v>1.9952239846609725E-3</v>
      </c>
      <c r="EG36" s="228">
        <f t="shared" si="44"/>
        <v>0</v>
      </c>
      <c r="EH36" s="193">
        <f t="shared" si="45"/>
        <v>0</v>
      </c>
      <c r="EI36" s="194">
        <f t="shared" si="46"/>
        <v>0</v>
      </c>
      <c r="EJ36" s="194"/>
      <c r="EK36" s="228">
        <f t="shared" si="47"/>
        <v>143425000</v>
      </c>
      <c r="EL36" s="228">
        <f t="shared" si="48"/>
        <v>0</v>
      </c>
      <c r="EM36" s="228">
        <f t="shared" si="49"/>
        <v>794.90277777777783</v>
      </c>
      <c r="EN36" s="194">
        <f t="shared" si="50"/>
        <v>1.9952239846609725E-3</v>
      </c>
      <c r="EP36" s="193"/>
    </row>
    <row r="37" spans="1:146" x14ac:dyDescent="0.2">
      <c r="A37" s="225">
        <f t="shared" si="51"/>
        <v>44254</v>
      </c>
      <c r="B37" s="193">
        <v>0</v>
      </c>
      <c r="C37" s="194">
        <v>2.1511899999999999E-3</v>
      </c>
      <c r="D37" s="193">
        <f t="shared" si="0"/>
        <v>0</v>
      </c>
      <c r="G37" s="193">
        <f t="shared" si="1"/>
        <v>0</v>
      </c>
      <c r="J37" s="193">
        <f t="shared" si="2"/>
        <v>0</v>
      </c>
      <c r="M37" s="193">
        <f t="shared" si="3"/>
        <v>0</v>
      </c>
      <c r="P37" s="193">
        <f t="shared" si="4"/>
        <v>0</v>
      </c>
      <c r="S37" s="193">
        <f t="shared" si="5"/>
        <v>0</v>
      </c>
      <c r="V37" s="193">
        <f t="shared" si="6"/>
        <v>0</v>
      </c>
      <c r="Y37" s="193">
        <f t="shared" si="7"/>
        <v>0</v>
      </c>
      <c r="AB37" s="193">
        <f t="shared" si="8"/>
        <v>0</v>
      </c>
      <c r="AE37" s="193">
        <v>0</v>
      </c>
      <c r="AH37" s="193">
        <v>0</v>
      </c>
      <c r="AI37" s="226">
        <v>20000000</v>
      </c>
      <c r="AJ37" s="227">
        <v>2.5000000000000001E-3</v>
      </c>
      <c r="AK37" s="193">
        <f t="shared" si="9"/>
        <v>138.88888888888889</v>
      </c>
      <c r="AL37" s="226">
        <v>20000000</v>
      </c>
      <c r="AM37" s="227">
        <v>2.5000000000000001E-3</v>
      </c>
      <c r="AN37" s="193">
        <f t="shared" si="10"/>
        <v>138.88888888888889</v>
      </c>
      <c r="AO37" s="226">
        <v>103425000</v>
      </c>
      <c r="AP37" s="227">
        <v>1.8E-3</v>
      </c>
      <c r="AQ37" s="193">
        <f t="shared" si="11"/>
        <v>517.125</v>
      </c>
      <c r="AR37" s="226"/>
      <c r="AS37" s="227"/>
      <c r="AT37" s="193">
        <f t="shared" si="12"/>
        <v>0</v>
      </c>
      <c r="AW37" s="193">
        <f t="shared" si="13"/>
        <v>0</v>
      </c>
      <c r="AZ37" s="193">
        <f t="shared" si="14"/>
        <v>0</v>
      </c>
      <c r="BC37" s="193">
        <f t="shared" si="15"/>
        <v>0</v>
      </c>
      <c r="BF37" s="193">
        <f t="shared" si="16"/>
        <v>0</v>
      </c>
      <c r="BI37" s="193">
        <f t="shared" si="17"/>
        <v>0</v>
      </c>
      <c r="BL37" s="193">
        <f t="shared" si="18"/>
        <v>0</v>
      </c>
      <c r="BO37" s="193">
        <f t="shared" si="19"/>
        <v>0</v>
      </c>
      <c r="BR37" s="193">
        <f t="shared" si="20"/>
        <v>0</v>
      </c>
      <c r="BU37" s="193">
        <f t="shared" si="21"/>
        <v>0</v>
      </c>
      <c r="BX37" s="193">
        <f t="shared" si="22"/>
        <v>0</v>
      </c>
      <c r="CA37" s="193">
        <f t="shared" si="23"/>
        <v>0</v>
      </c>
      <c r="CD37" s="193">
        <f t="shared" si="24"/>
        <v>0</v>
      </c>
      <c r="CG37" s="193">
        <f t="shared" si="25"/>
        <v>0</v>
      </c>
      <c r="CJ37" s="193">
        <f t="shared" si="26"/>
        <v>0</v>
      </c>
      <c r="CM37" s="193">
        <f t="shared" si="27"/>
        <v>0</v>
      </c>
      <c r="CP37" s="193">
        <f t="shared" si="28"/>
        <v>0</v>
      </c>
      <c r="CS37" s="193">
        <f t="shared" si="29"/>
        <v>0</v>
      </c>
      <c r="CV37" s="193">
        <f t="shared" si="30"/>
        <v>0</v>
      </c>
      <c r="CY37" s="193">
        <f t="shared" si="31"/>
        <v>0</v>
      </c>
      <c r="DB37" s="193">
        <f t="shared" si="32"/>
        <v>0</v>
      </c>
      <c r="DE37" s="193">
        <f t="shared" si="33"/>
        <v>0</v>
      </c>
      <c r="DH37" s="193">
        <f t="shared" si="34"/>
        <v>0</v>
      </c>
      <c r="DK37" s="193">
        <f t="shared" si="35"/>
        <v>0</v>
      </c>
      <c r="DN37" s="193">
        <f t="shared" si="36"/>
        <v>0</v>
      </c>
      <c r="DQ37" s="193">
        <f t="shared" si="37"/>
        <v>0</v>
      </c>
      <c r="DT37" s="193">
        <f t="shared" si="38"/>
        <v>0</v>
      </c>
      <c r="DW37" s="193">
        <f t="shared" si="39"/>
        <v>0</v>
      </c>
      <c r="DZ37" s="193"/>
      <c r="EA37" s="193"/>
      <c r="EB37" s="228">
        <f t="shared" si="40"/>
        <v>143425000</v>
      </c>
      <c r="EC37" s="228">
        <f t="shared" si="41"/>
        <v>0</v>
      </c>
      <c r="ED37" s="193">
        <f t="shared" si="42"/>
        <v>794.90277777777783</v>
      </c>
      <c r="EE37" s="194">
        <f t="shared" si="43"/>
        <v>1.9952239846609725E-3</v>
      </c>
      <c r="EG37" s="228">
        <f t="shared" si="44"/>
        <v>0</v>
      </c>
      <c r="EH37" s="193">
        <f t="shared" si="45"/>
        <v>0</v>
      </c>
      <c r="EI37" s="194">
        <f t="shared" si="46"/>
        <v>0</v>
      </c>
      <c r="EJ37" s="194"/>
      <c r="EK37" s="228">
        <f t="shared" si="47"/>
        <v>143425000</v>
      </c>
      <c r="EL37" s="228">
        <f t="shared" si="48"/>
        <v>0</v>
      </c>
      <c r="EM37" s="228">
        <f t="shared" si="49"/>
        <v>794.90277777777783</v>
      </c>
      <c r="EN37" s="194">
        <f t="shared" si="50"/>
        <v>1.9952239846609725E-3</v>
      </c>
      <c r="EP37" s="193"/>
    </row>
    <row r="38" spans="1:146" x14ac:dyDescent="0.2">
      <c r="A38" s="225">
        <f t="shared" si="51"/>
        <v>44255</v>
      </c>
      <c r="B38" s="193">
        <v>0</v>
      </c>
      <c r="C38" s="194">
        <v>2.1511899999999999E-3</v>
      </c>
      <c r="D38" s="193">
        <f t="shared" si="0"/>
        <v>0</v>
      </c>
      <c r="G38" s="193">
        <f t="shared" si="1"/>
        <v>0</v>
      </c>
      <c r="J38" s="193">
        <f t="shared" si="2"/>
        <v>0</v>
      </c>
      <c r="M38" s="193">
        <f t="shared" si="3"/>
        <v>0</v>
      </c>
      <c r="P38" s="193">
        <f t="shared" si="4"/>
        <v>0</v>
      </c>
      <c r="S38" s="193">
        <f t="shared" si="5"/>
        <v>0</v>
      </c>
      <c r="V38" s="193">
        <f t="shared" si="6"/>
        <v>0</v>
      </c>
      <c r="Y38" s="193">
        <f t="shared" si="7"/>
        <v>0</v>
      </c>
      <c r="AB38" s="193">
        <f t="shared" si="8"/>
        <v>0</v>
      </c>
      <c r="AE38" s="193">
        <v>0</v>
      </c>
      <c r="AH38" s="193">
        <v>0</v>
      </c>
      <c r="AI38" s="226">
        <v>20000000</v>
      </c>
      <c r="AJ38" s="227">
        <v>2.5000000000000001E-3</v>
      </c>
      <c r="AK38" s="193">
        <f t="shared" si="9"/>
        <v>138.88888888888889</v>
      </c>
      <c r="AL38" s="226">
        <v>20000000</v>
      </c>
      <c r="AM38" s="227">
        <v>2.5000000000000001E-3</v>
      </c>
      <c r="AN38" s="193">
        <f t="shared" si="10"/>
        <v>138.88888888888889</v>
      </c>
      <c r="AO38" s="226">
        <v>103425000</v>
      </c>
      <c r="AP38" s="227">
        <v>1.8E-3</v>
      </c>
      <c r="AQ38" s="193">
        <f t="shared" si="11"/>
        <v>517.125</v>
      </c>
      <c r="AR38" s="226"/>
      <c r="AS38" s="227"/>
      <c r="AT38" s="193">
        <f t="shared" si="12"/>
        <v>0</v>
      </c>
      <c r="AW38" s="193">
        <f t="shared" si="13"/>
        <v>0</v>
      </c>
      <c r="AZ38" s="193">
        <f t="shared" si="14"/>
        <v>0</v>
      </c>
      <c r="BC38" s="193">
        <f t="shared" si="15"/>
        <v>0</v>
      </c>
      <c r="BF38" s="193">
        <f t="shared" si="16"/>
        <v>0</v>
      </c>
      <c r="BI38" s="193">
        <f t="shared" si="17"/>
        <v>0</v>
      </c>
      <c r="BL38" s="193">
        <f t="shared" si="18"/>
        <v>0</v>
      </c>
      <c r="BO38" s="193">
        <f t="shared" si="19"/>
        <v>0</v>
      </c>
      <c r="BR38" s="193">
        <f t="shared" si="20"/>
        <v>0</v>
      </c>
      <c r="BU38" s="193">
        <f t="shared" si="21"/>
        <v>0</v>
      </c>
      <c r="BX38" s="193">
        <f t="shared" si="22"/>
        <v>0</v>
      </c>
      <c r="CA38" s="193">
        <f t="shared" si="23"/>
        <v>0</v>
      </c>
      <c r="CD38" s="193">
        <f t="shared" si="24"/>
        <v>0</v>
      </c>
      <c r="CG38" s="193">
        <f t="shared" si="25"/>
        <v>0</v>
      </c>
      <c r="CJ38" s="193">
        <f t="shared" si="26"/>
        <v>0</v>
      </c>
      <c r="CM38" s="193">
        <f t="shared" si="27"/>
        <v>0</v>
      </c>
      <c r="CP38" s="193">
        <f t="shared" si="28"/>
        <v>0</v>
      </c>
      <c r="CS38" s="193">
        <f t="shared" si="29"/>
        <v>0</v>
      </c>
      <c r="CV38" s="193">
        <f t="shared" si="30"/>
        <v>0</v>
      </c>
      <c r="CY38" s="193">
        <f t="shared" si="31"/>
        <v>0</v>
      </c>
      <c r="DB38" s="193">
        <f t="shared" si="32"/>
        <v>0</v>
      </c>
      <c r="DE38" s="193">
        <f t="shared" si="33"/>
        <v>0</v>
      </c>
      <c r="DH38" s="193">
        <f t="shared" si="34"/>
        <v>0</v>
      </c>
      <c r="DK38" s="193">
        <f t="shared" si="35"/>
        <v>0</v>
      </c>
      <c r="DN38" s="193">
        <f t="shared" si="36"/>
        <v>0</v>
      </c>
      <c r="DQ38" s="193">
        <f t="shared" si="37"/>
        <v>0</v>
      </c>
      <c r="DT38" s="193">
        <f t="shared" si="38"/>
        <v>0</v>
      </c>
      <c r="DW38" s="193">
        <f t="shared" si="39"/>
        <v>0</v>
      </c>
      <c r="DZ38" s="193"/>
      <c r="EA38" s="193"/>
      <c r="EB38" s="228">
        <f t="shared" si="40"/>
        <v>143425000</v>
      </c>
      <c r="EC38" s="228">
        <f t="shared" si="41"/>
        <v>0</v>
      </c>
      <c r="ED38" s="193">
        <f t="shared" si="42"/>
        <v>794.90277777777783</v>
      </c>
      <c r="EE38" s="194">
        <f t="shared" si="43"/>
        <v>1.9952239846609725E-3</v>
      </c>
      <c r="EG38" s="228">
        <f t="shared" si="44"/>
        <v>0</v>
      </c>
      <c r="EH38" s="193">
        <f t="shared" si="45"/>
        <v>0</v>
      </c>
      <c r="EI38" s="194">
        <f t="shared" si="46"/>
        <v>0</v>
      </c>
      <c r="EJ38" s="194"/>
      <c r="EK38" s="228">
        <f t="shared" si="47"/>
        <v>143425000</v>
      </c>
      <c r="EL38" s="228">
        <f t="shared" si="48"/>
        <v>0</v>
      </c>
      <c r="EM38" s="228">
        <f t="shared" si="49"/>
        <v>794.90277777777783</v>
      </c>
      <c r="EN38" s="194">
        <f t="shared" si="50"/>
        <v>1.9952239846609725E-3</v>
      </c>
      <c r="EP38" s="193"/>
    </row>
    <row r="39" spans="1:146" x14ac:dyDescent="0.2">
      <c r="A39" s="229" t="s">
        <v>76</v>
      </c>
      <c r="D39" s="230">
        <f>SUM(D11:D38)</f>
        <v>0</v>
      </c>
      <c r="G39" s="230">
        <f>SUM(G11:G38)</f>
        <v>0</v>
      </c>
      <c r="J39" s="230">
        <f>SUM(J11:J38)</f>
        <v>0</v>
      </c>
      <c r="M39" s="230">
        <f>SUM(M11:M38)</f>
        <v>0</v>
      </c>
      <c r="P39" s="230">
        <f>SUM(P11:P38)</f>
        <v>0</v>
      </c>
      <c r="S39" s="230">
        <f>SUM(S11:S38)</f>
        <v>0</v>
      </c>
      <c r="V39" s="230">
        <f>SUM(V11:V38)</f>
        <v>0</v>
      </c>
      <c r="Y39" s="230">
        <f>SUM(Y11:Y38)</f>
        <v>0</v>
      </c>
      <c r="AB39" s="230">
        <f>SUM(AB11:AB38)</f>
        <v>0</v>
      </c>
      <c r="AE39" s="230">
        <f>SUM(AE11:AE38)</f>
        <v>0</v>
      </c>
      <c r="AH39" s="230">
        <f>SUM(AH11:AH38)</f>
        <v>0</v>
      </c>
      <c r="AK39" s="230">
        <f>SUM(AK11:AK38)</f>
        <v>3888.8888888888864</v>
      </c>
      <c r="AN39" s="230">
        <f>SUM(AN11:AN38)</f>
        <v>9722.2222222222226</v>
      </c>
      <c r="AQ39" s="230">
        <f>SUM(AQ11:AQ38)</f>
        <v>4057.8472222222222</v>
      </c>
      <c r="AT39" s="230">
        <f>SUM(AT11:AT38)</f>
        <v>0</v>
      </c>
      <c r="AW39" s="230">
        <f>SUM(AW11:AW38)</f>
        <v>0</v>
      </c>
      <c r="AZ39" s="230">
        <f>SUM(AZ11:AZ38)</f>
        <v>0</v>
      </c>
      <c r="BC39" s="230">
        <f>SUM(BC11:BC38)</f>
        <v>0</v>
      </c>
      <c r="BF39" s="230">
        <f>SUM(BF11:BF38)</f>
        <v>0</v>
      </c>
      <c r="BI39" s="230">
        <f>SUM(BI11:BI38)</f>
        <v>0</v>
      </c>
      <c r="BL39" s="230">
        <f>SUM(BL11:BL38)</f>
        <v>0</v>
      </c>
      <c r="BO39" s="230">
        <f>SUM(BO11:BO38)</f>
        <v>0</v>
      </c>
      <c r="BR39" s="230">
        <f>SUM(BR11:BR38)</f>
        <v>0</v>
      </c>
      <c r="BU39" s="230">
        <f>SUM(BU11:BU38)</f>
        <v>0</v>
      </c>
      <c r="BX39" s="230">
        <f>SUM(BX11:BX38)</f>
        <v>0</v>
      </c>
      <c r="CA39" s="230">
        <f>SUM(CA11:CA38)</f>
        <v>0</v>
      </c>
      <c r="CD39" s="230">
        <f>SUM(CD11:CD38)</f>
        <v>0</v>
      </c>
      <c r="CG39" s="230">
        <f>SUM(CG11:CG38)</f>
        <v>0</v>
      </c>
      <c r="CJ39" s="230">
        <f>SUM(CJ11:CJ38)</f>
        <v>0</v>
      </c>
      <c r="CM39" s="230">
        <f>SUM(CM11:CM38)</f>
        <v>0</v>
      </c>
      <c r="CP39" s="230">
        <f>SUM(CP11:CP38)</f>
        <v>0</v>
      </c>
      <c r="CS39" s="230">
        <f>SUM(CS11:CS38)</f>
        <v>0</v>
      </c>
      <c r="CV39" s="230">
        <f>SUM(CV11:CV38)</f>
        <v>0</v>
      </c>
      <c r="CY39" s="230">
        <f>SUM(CY11:CY38)</f>
        <v>0</v>
      </c>
      <c r="DB39" s="230">
        <f>SUM(DB11:DB38)</f>
        <v>0</v>
      </c>
      <c r="DE39" s="230">
        <f>SUM(DE11:DE38)</f>
        <v>0</v>
      </c>
      <c r="DH39" s="230">
        <f>SUM(DH11:DH38)</f>
        <v>0</v>
      </c>
      <c r="DK39" s="230">
        <f>SUM(DK11:DK38)</f>
        <v>0</v>
      </c>
      <c r="DN39" s="230">
        <f>SUM(DN11:DN38)</f>
        <v>0</v>
      </c>
      <c r="DQ39" s="230">
        <f>SUM(DQ11:DQ38)</f>
        <v>0</v>
      </c>
      <c r="DT39" s="230">
        <f>SUM(DT11:DT38)</f>
        <v>0</v>
      </c>
      <c r="DW39" s="230">
        <f>SUM(DW11:DW38)</f>
        <v>0</v>
      </c>
      <c r="DZ39" s="191"/>
      <c r="EA39" s="191"/>
      <c r="EB39" s="193"/>
      <c r="EC39" s="193"/>
      <c r="ED39" s="230">
        <f>SUM(ED11:ED38)</f>
        <v>17668.958333333339</v>
      </c>
      <c r="EE39" s="194"/>
      <c r="EG39" s="193"/>
      <c r="EH39" s="230">
        <f>SUM(EH11:EH38)</f>
        <v>0</v>
      </c>
      <c r="EI39" s="194"/>
      <c r="EJ39" s="194"/>
      <c r="EK39" s="193"/>
      <c r="EL39" s="193"/>
      <c r="EM39" s="230">
        <f>SUM(EM11:EM38)</f>
        <v>17668.958333333339</v>
      </c>
      <c r="EN39" s="194"/>
    </row>
    <row r="41" spans="1:146" x14ac:dyDescent="0.2">
      <c r="EM41" s="231"/>
    </row>
    <row r="43" spans="1:146" x14ac:dyDescent="0.2">
      <c r="EM43" s="193"/>
    </row>
    <row r="45" spans="1:146" x14ac:dyDescent="0.2">
      <c r="EM45" s="19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selection activeCell="A6" sqref="A6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204225000</v>
      </c>
      <c r="EI2" s="85">
        <f>EG40</f>
        <v>0</v>
      </c>
      <c r="EM2" s="85"/>
      <c r="EN2" s="85">
        <f>EK41</f>
        <v>204225000</v>
      </c>
      <c r="EO2" s="78">
        <v>-20627.78</v>
      </c>
      <c r="EP2" s="78">
        <f>EN2+EO2</f>
        <v>204204372.22</v>
      </c>
      <c r="EQ2" s="78">
        <f>EE2+EO2</f>
        <v>204204372.22</v>
      </c>
    </row>
    <row r="3" spans="1:147" ht="16.5" thickTop="1" x14ac:dyDescent="0.25">
      <c r="A3" s="86" t="s">
        <v>197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157717741.93548387</v>
      </c>
      <c r="EI3" s="85">
        <f>AVERAGE(EG11:EG40)</f>
        <v>0</v>
      </c>
      <c r="EM3" s="85"/>
      <c r="EN3" s="85">
        <f>AVERAGE(EK11:EK41)</f>
        <v>157717741.93548387</v>
      </c>
    </row>
    <row r="4" spans="1:147" x14ac:dyDescent="0.25">
      <c r="D4" s="33"/>
      <c r="E4" s="95" t="s">
        <v>102</v>
      </c>
      <c r="F4" s="85"/>
      <c r="G4" s="96">
        <f>EQ2</f>
        <v>204204372.22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2.1367387636140522E-3</v>
      </c>
      <c r="EI4" s="93">
        <f>IF(EI3=0,0,360*(AVERAGE(EH11:EH40)/EI3))</f>
        <v>0</v>
      </c>
      <c r="EM4" s="93"/>
      <c r="EN4" s="93">
        <f>IF(EN3=0,0,360*(AVERAGE(EM11:EM41)/EN3))</f>
        <v>2.1367387636140522E-3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157717741.93548387</v>
      </c>
      <c r="AI5" s="100" t="s">
        <v>97</v>
      </c>
      <c r="EB5" s="101" t="s">
        <v>109</v>
      </c>
      <c r="EC5" s="101"/>
      <c r="ED5" s="85"/>
      <c r="EE5" s="85">
        <f>MAX(EB11:EB41)</f>
        <v>206250000</v>
      </c>
      <c r="EI5" s="85">
        <f>MAX(EG11:EG40)</f>
        <v>0</v>
      </c>
      <c r="EM5" s="85"/>
      <c r="EN5" s="85">
        <f>MAX(EK11:EK41)</f>
        <v>206250000</v>
      </c>
    </row>
    <row r="6" spans="1:147" x14ac:dyDescent="0.25">
      <c r="D6" s="33"/>
      <c r="E6" s="95" t="s">
        <v>107</v>
      </c>
      <c r="F6" s="85"/>
      <c r="G6" s="102">
        <f>EE4</f>
        <v>2.1367387636140522E-3</v>
      </c>
    </row>
    <row r="7" spans="1:147" ht="16.5" thickBot="1" x14ac:dyDescent="0.3">
      <c r="D7" s="33"/>
      <c r="E7" s="103" t="s">
        <v>109</v>
      </c>
      <c r="F7" s="104"/>
      <c r="G7" s="105">
        <f>EE5</f>
        <v>206250000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44256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113225000</f>
        <v>113225000</v>
      </c>
      <c r="AJ11" s="121">
        <v>1.8E-3</v>
      </c>
      <c r="AK11" s="87">
        <f>(AI11*AJ11)/360</f>
        <v>566.125</v>
      </c>
      <c r="AL11" s="120">
        <f>20000000+14000000+6000000</f>
        <v>40000000</v>
      </c>
      <c r="AM11" s="121">
        <v>2.5000000000000001E-3</v>
      </c>
      <c r="AN11" s="87">
        <f>(AL11*AM11)/360</f>
        <v>277.77777777777777</v>
      </c>
      <c r="AO11" s="120"/>
      <c r="AP11" s="121"/>
      <c r="AQ11" s="87">
        <f>(AO11*AP11)/360</f>
        <v>0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153225000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843.90277777777783</v>
      </c>
      <c r="EE11" s="88">
        <f>IF(EB11&lt;&gt;0,((ED11/EB11)*360),0)</f>
        <v>1.9827378038831784E-3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153225000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843.90277777777783</v>
      </c>
      <c r="EN11" s="88">
        <f>IF(EK11&lt;&gt;0,((EM11/EK11)*360),0)</f>
        <v>1.9827378038831784E-3</v>
      </c>
      <c r="EP11" s="87"/>
    </row>
    <row r="12" spans="1:147" x14ac:dyDescent="0.25">
      <c r="A12" s="35">
        <f>1+A11</f>
        <v>44257</v>
      </c>
      <c r="B12" s="87">
        <v>0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>
        <f>112500000</f>
        <v>112500000</v>
      </c>
      <c r="AJ12" s="121">
        <v>1.8E-3</v>
      </c>
      <c r="AK12" s="87">
        <f t="shared" ref="AK12:AK41" si="9">(AI12*AJ12)/360</f>
        <v>562.5</v>
      </c>
      <c r="AL12" s="120">
        <f>20000000+14000000+6000000</f>
        <v>40000000</v>
      </c>
      <c r="AM12" s="121">
        <v>2.5000000000000001E-3</v>
      </c>
      <c r="AN12" s="87">
        <f t="shared" ref="AN12:AN41" si="10">(AL12*AM12)/360</f>
        <v>277.77777777777777</v>
      </c>
      <c r="AO12" s="120"/>
      <c r="AP12" s="121"/>
      <c r="AQ12" s="87">
        <f t="shared" ref="AQ12:AQ41" si="11">(AO12*AP12)/360</f>
        <v>0</v>
      </c>
      <c r="AR12" s="120"/>
      <c r="AS12" s="121"/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152500000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840.27777777777783</v>
      </c>
      <c r="EE12" s="88">
        <f t="shared" ref="EE12:EE41" si="43">IF(EB12&lt;&gt;0,((ED12/EB12)*360),0)</f>
        <v>1.9836065573770492E-3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152500000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840.27777777777783</v>
      </c>
      <c r="EN12" s="88">
        <f t="shared" ref="EN12:EN41" si="50">IF(EK12&lt;&gt;0,((EM12/EK12)*360),0)</f>
        <v>1.9836065573770492E-3</v>
      </c>
      <c r="EP12" s="87"/>
    </row>
    <row r="13" spans="1:147" x14ac:dyDescent="0.25">
      <c r="A13" s="35">
        <f t="shared" ref="A13:A41" si="51">1+A12</f>
        <v>44258</v>
      </c>
      <c r="B13" s="87">
        <v>0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93942000+12083000</f>
        <v>106025000</v>
      </c>
      <c r="AJ13" s="121">
        <v>1.8E-3</v>
      </c>
      <c r="AK13" s="87">
        <f t="shared" si="9"/>
        <v>530.125</v>
      </c>
      <c r="AL13" s="120">
        <f>20000000+14000000+6000000</f>
        <v>40000000</v>
      </c>
      <c r="AM13" s="121">
        <v>2.5000000000000001E-3</v>
      </c>
      <c r="AN13" s="87">
        <f t="shared" si="10"/>
        <v>277.77777777777777</v>
      </c>
      <c r="AO13" s="120"/>
      <c r="AP13" s="121"/>
      <c r="AQ13" s="87">
        <f t="shared" si="11"/>
        <v>0</v>
      </c>
      <c r="AR13" s="120"/>
      <c r="AS13" s="121"/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146025000</v>
      </c>
      <c r="EC13" s="122">
        <f t="shared" si="41"/>
        <v>0</v>
      </c>
      <c r="ED13" s="87">
        <f t="shared" si="42"/>
        <v>807.90277777777783</v>
      </c>
      <c r="EE13" s="88">
        <f t="shared" si="43"/>
        <v>1.9917479883581582E-3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146025000</v>
      </c>
      <c r="EL13" s="122">
        <f t="shared" si="48"/>
        <v>0</v>
      </c>
      <c r="EM13" s="122">
        <f t="shared" si="49"/>
        <v>807.90277777777783</v>
      </c>
      <c r="EN13" s="88">
        <f t="shared" si="50"/>
        <v>1.9917479883581582E-3</v>
      </c>
      <c r="EP13" s="87"/>
    </row>
    <row r="14" spans="1:147" x14ac:dyDescent="0.25">
      <c r="A14" s="35">
        <f t="shared" si="51"/>
        <v>44259</v>
      </c>
      <c r="B14" s="87">
        <v>0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99350000</f>
        <v>99350000</v>
      </c>
      <c r="AJ14" s="121">
        <v>1.8E-3</v>
      </c>
      <c r="AK14" s="87">
        <f t="shared" si="9"/>
        <v>496.75</v>
      </c>
      <c r="AL14" s="120">
        <f>14000000+6000000</f>
        <v>20000000</v>
      </c>
      <c r="AM14" s="121">
        <v>2.5000000000000001E-3</v>
      </c>
      <c r="AN14" s="87">
        <f t="shared" si="10"/>
        <v>138.88888888888889</v>
      </c>
      <c r="AO14" s="120">
        <f t="shared" ref="AO14:AO41" si="52">20000000</f>
        <v>20000000</v>
      </c>
      <c r="AP14" s="121">
        <v>2.2000000000000001E-3</v>
      </c>
      <c r="AQ14" s="87">
        <f t="shared" si="11"/>
        <v>122.22222222222223</v>
      </c>
      <c r="AR14" s="120"/>
      <c r="AS14" s="121"/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139350000</v>
      </c>
      <c r="EC14" s="122">
        <f t="shared" si="41"/>
        <v>0</v>
      </c>
      <c r="ED14" s="87">
        <f t="shared" si="42"/>
        <v>757.86111111111109</v>
      </c>
      <c r="EE14" s="88">
        <f t="shared" si="43"/>
        <v>1.9578758521707931E-3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139350000</v>
      </c>
      <c r="EL14" s="122">
        <f t="shared" si="48"/>
        <v>0</v>
      </c>
      <c r="EM14" s="122">
        <f t="shared" si="49"/>
        <v>757.86111111111109</v>
      </c>
      <c r="EN14" s="88">
        <f t="shared" si="50"/>
        <v>1.9578758521707931E-3</v>
      </c>
      <c r="EP14" s="87"/>
    </row>
    <row r="15" spans="1:147" x14ac:dyDescent="0.25">
      <c r="A15" s="35">
        <f t="shared" si="51"/>
        <v>44260</v>
      </c>
      <c r="B15" s="87">
        <v>0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100075000</f>
        <v>100075000</v>
      </c>
      <c r="AJ15" s="121">
        <v>1.8E-3</v>
      </c>
      <c r="AK15" s="87">
        <f t="shared" si="9"/>
        <v>500.375</v>
      </c>
      <c r="AL15" s="120">
        <f>14000000+6000000</f>
        <v>20000000</v>
      </c>
      <c r="AM15" s="121">
        <v>2.5000000000000001E-3</v>
      </c>
      <c r="AN15" s="87">
        <f t="shared" si="10"/>
        <v>138.88888888888889</v>
      </c>
      <c r="AO15" s="120">
        <f t="shared" si="52"/>
        <v>20000000</v>
      </c>
      <c r="AP15" s="121">
        <v>2.2000000000000001E-3</v>
      </c>
      <c r="AQ15" s="87">
        <f t="shared" si="11"/>
        <v>122.22222222222223</v>
      </c>
      <c r="AR15" s="120"/>
      <c r="AS15" s="121"/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140075000</v>
      </c>
      <c r="EC15" s="122">
        <f t="shared" si="41"/>
        <v>0</v>
      </c>
      <c r="ED15" s="87">
        <f t="shared" si="42"/>
        <v>761.48611111111109</v>
      </c>
      <c r="EE15" s="88">
        <f t="shared" si="43"/>
        <v>1.9570587185436372E-3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140075000</v>
      </c>
      <c r="EL15" s="122">
        <f t="shared" si="48"/>
        <v>0</v>
      </c>
      <c r="EM15" s="122">
        <f t="shared" si="49"/>
        <v>761.48611111111109</v>
      </c>
      <c r="EN15" s="88">
        <f t="shared" si="50"/>
        <v>1.9570587185436372E-3</v>
      </c>
      <c r="EP15" s="87"/>
    </row>
    <row r="16" spans="1:147" x14ac:dyDescent="0.25">
      <c r="A16" s="35">
        <f t="shared" si="51"/>
        <v>44261</v>
      </c>
      <c r="B16" s="87">
        <v>0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>
        <f>100075000</f>
        <v>100075000</v>
      </c>
      <c r="AJ16" s="121">
        <v>1.8E-3</v>
      </c>
      <c r="AK16" s="87">
        <f t="shared" si="9"/>
        <v>500.375</v>
      </c>
      <c r="AL16" s="120">
        <f>14000000+6000000</f>
        <v>20000000</v>
      </c>
      <c r="AM16" s="121">
        <v>2.5000000000000001E-3</v>
      </c>
      <c r="AN16" s="87">
        <f t="shared" si="10"/>
        <v>138.88888888888889</v>
      </c>
      <c r="AO16" s="120">
        <f t="shared" si="52"/>
        <v>20000000</v>
      </c>
      <c r="AP16" s="121">
        <v>2.2000000000000001E-3</v>
      </c>
      <c r="AQ16" s="87">
        <f t="shared" si="11"/>
        <v>122.22222222222223</v>
      </c>
      <c r="AR16" s="120"/>
      <c r="AS16" s="121"/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140075000</v>
      </c>
      <c r="EC16" s="122">
        <f t="shared" si="41"/>
        <v>0</v>
      </c>
      <c r="ED16" s="87">
        <f t="shared" si="42"/>
        <v>761.48611111111109</v>
      </c>
      <c r="EE16" s="88">
        <f t="shared" si="43"/>
        <v>1.9570587185436372E-3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140075000</v>
      </c>
      <c r="EL16" s="122">
        <f t="shared" si="48"/>
        <v>0</v>
      </c>
      <c r="EM16" s="122">
        <f t="shared" si="49"/>
        <v>761.48611111111109</v>
      </c>
      <c r="EN16" s="88">
        <f t="shared" si="50"/>
        <v>1.9570587185436372E-3</v>
      </c>
      <c r="EP16" s="87"/>
    </row>
    <row r="17" spans="1:146" x14ac:dyDescent="0.25">
      <c r="A17" s="35">
        <f t="shared" si="51"/>
        <v>44262</v>
      </c>
      <c r="B17" s="87">
        <v>0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>
        <f>100075000</f>
        <v>100075000</v>
      </c>
      <c r="AJ17" s="121">
        <v>1.8E-3</v>
      </c>
      <c r="AK17" s="87">
        <f t="shared" si="9"/>
        <v>500.375</v>
      </c>
      <c r="AL17" s="120">
        <f>14000000+6000000</f>
        <v>20000000</v>
      </c>
      <c r="AM17" s="121">
        <v>2.5000000000000001E-3</v>
      </c>
      <c r="AN17" s="87">
        <f t="shared" si="10"/>
        <v>138.88888888888889</v>
      </c>
      <c r="AO17" s="120">
        <f t="shared" si="52"/>
        <v>20000000</v>
      </c>
      <c r="AP17" s="121">
        <v>2.2000000000000001E-3</v>
      </c>
      <c r="AQ17" s="87">
        <f t="shared" si="11"/>
        <v>122.22222222222223</v>
      </c>
      <c r="AR17" s="120"/>
      <c r="AS17" s="121"/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140075000</v>
      </c>
      <c r="EC17" s="122">
        <f t="shared" si="41"/>
        <v>0</v>
      </c>
      <c r="ED17" s="87">
        <f t="shared" si="42"/>
        <v>761.48611111111109</v>
      </c>
      <c r="EE17" s="88">
        <f t="shared" si="43"/>
        <v>1.9570587185436372E-3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140075000</v>
      </c>
      <c r="EL17" s="122">
        <f t="shared" si="48"/>
        <v>0</v>
      </c>
      <c r="EM17" s="122">
        <f t="shared" si="49"/>
        <v>761.48611111111109</v>
      </c>
      <c r="EN17" s="88">
        <f t="shared" si="50"/>
        <v>1.9570587185436372E-3</v>
      </c>
      <c r="EP17" s="87"/>
    </row>
    <row r="18" spans="1:146" x14ac:dyDescent="0.25">
      <c r="A18" s="35">
        <f t="shared" si="51"/>
        <v>44263</v>
      </c>
      <c r="B18" s="87">
        <v>0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>
        <f>50000000+33900000</f>
        <v>83900000</v>
      </c>
      <c r="AJ18" s="121">
        <v>1.8E-3</v>
      </c>
      <c r="AK18" s="87">
        <f t="shared" si="9"/>
        <v>419.5</v>
      </c>
      <c r="AL18" s="120">
        <f>6000000</f>
        <v>6000000</v>
      </c>
      <c r="AM18" s="121">
        <v>2.5000000000000001E-3</v>
      </c>
      <c r="AN18" s="87">
        <f t="shared" si="10"/>
        <v>41.666666666666664</v>
      </c>
      <c r="AO18" s="120">
        <f t="shared" si="52"/>
        <v>20000000</v>
      </c>
      <c r="AP18" s="121">
        <v>2.2000000000000001E-3</v>
      </c>
      <c r="AQ18" s="87">
        <f t="shared" si="11"/>
        <v>122.22222222222223</v>
      </c>
      <c r="AR18" s="120"/>
      <c r="AS18" s="121"/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109900000</v>
      </c>
      <c r="EC18" s="122">
        <f t="shared" si="41"/>
        <v>0</v>
      </c>
      <c r="ED18" s="87">
        <f t="shared" si="42"/>
        <v>583.38888888888891</v>
      </c>
      <c r="EE18" s="88">
        <f t="shared" si="43"/>
        <v>1.9110100090991811E-3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109900000</v>
      </c>
      <c r="EL18" s="122">
        <f t="shared" si="48"/>
        <v>0</v>
      </c>
      <c r="EM18" s="122">
        <f t="shared" si="49"/>
        <v>583.38888888888891</v>
      </c>
      <c r="EN18" s="88">
        <f t="shared" si="50"/>
        <v>1.9110100090991811E-3</v>
      </c>
      <c r="EP18" s="87"/>
    </row>
    <row r="19" spans="1:146" x14ac:dyDescent="0.25">
      <c r="A19" s="35">
        <f t="shared" si="51"/>
        <v>44264</v>
      </c>
      <c r="B19" s="87">
        <v>0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>
        <f>50000000+50600000</f>
        <v>100600000</v>
      </c>
      <c r="AJ19" s="121">
        <v>1.8E-3</v>
      </c>
      <c r="AK19" s="87">
        <f t="shared" si="9"/>
        <v>503</v>
      </c>
      <c r="AL19" s="120">
        <f>6000000</f>
        <v>6000000</v>
      </c>
      <c r="AM19" s="121">
        <v>2.5000000000000001E-3</v>
      </c>
      <c r="AN19" s="87">
        <f t="shared" si="10"/>
        <v>41.666666666666664</v>
      </c>
      <c r="AO19" s="120">
        <f t="shared" si="52"/>
        <v>20000000</v>
      </c>
      <c r="AP19" s="121">
        <v>2.2000000000000001E-3</v>
      </c>
      <c r="AQ19" s="87">
        <f t="shared" si="11"/>
        <v>122.22222222222223</v>
      </c>
      <c r="AR19" s="120"/>
      <c r="AS19" s="121"/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126600000</v>
      </c>
      <c r="EC19" s="122">
        <f t="shared" si="41"/>
        <v>0</v>
      </c>
      <c r="ED19" s="87">
        <f t="shared" si="42"/>
        <v>666.88888888888891</v>
      </c>
      <c r="EE19" s="88">
        <f t="shared" si="43"/>
        <v>1.8963665086887836E-3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126600000</v>
      </c>
      <c r="EL19" s="122">
        <f t="shared" si="48"/>
        <v>0</v>
      </c>
      <c r="EM19" s="122">
        <f t="shared" si="49"/>
        <v>666.88888888888891</v>
      </c>
      <c r="EN19" s="88">
        <f t="shared" si="50"/>
        <v>1.8963665086887836E-3</v>
      </c>
      <c r="EP19" s="87"/>
    </row>
    <row r="20" spans="1:146" x14ac:dyDescent="0.25">
      <c r="A20" s="35">
        <f t="shared" si="51"/>
        <v>44265</v>
      </c>
      <c r="B20" s="87">
        <v>0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>
        <f>55000000+42950000</f>
        <v>97950000</v>
      </c>
      <c r="AJ20" s="121">
        <v>1.8E-3</v>
      </c>
      <c r="AK20" s="87">
        <f t="shared" si="9"/>
        <v>489.75</v>
      </c>
      <c r="AL20" s="120"/>
      <c r="AM20" s="121"/>
      <c r="AN20" s="87">
        <f t="shared" si="10"/>
        <v>0</v>
      </c>
      <c r="AO20" s="120">
        <f t="shared" si="52"/>
        <v>20000000</v>
      </c>
      <c r="AP20" s="121">
        <v>2.2000000000000001E-3</v>
      </c>
      <c r="AQ20" s="87">
        <f t="shared" si="11"/>
        <v>122.22222222222223</v>
      </c>
      <c r="AR20" s="120"/>
      <c r="AS20" s="121"/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117950000</v>
      </c>
      <c r="EC20" s="122">
        <f t="shared" si="41"/>
        <v>0</v>
      </c>
      <c r="ED20" s="87">
        <f t="shared" si="42"/>
        <v>611.97222222222217</v>
      </c>
      <c r="EE20" s="88">
        <f t="shared" si="43"/>
        <v>1.8678253497244595E-3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117950000</v>
      </c>
      <c r="EL20" s="122">
        <f t="shared" si="48"/>
        <v>0</v>
      </c>
      <c r="EM20" s="122">
        <f t="shared" si="49"/>
        <v>611.97222222222217</v>
      </c>
      <c r="EN20" s="88">
        <f t="shared" si="50"/>
        <v>1.8678253497244595E-3</v>
      </c>
      <c r="EP20" s="87"/>
    </row>
    <row r="21" spans="1:146" x14ac:dyDescent="0.25">
      <c r="A21" s="35">
        <f t="shared" si="51"/>
        <v>44266</v>
      </c>
      <c r="B21" s="87">
        <v>0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>
        <f>25000000+28050000</f>
        <v>53050000</v>
      </c>
      <c r="AJ21" s="121">
        <v>1.8E-3</v>
      </c>
      <c r="AK21" s="87">
        <f t="shared" si="9"/>
        <v>265.25</v>
      </c>
      <c r="AL21" s="120"/>
      <c r="AM21" s="121"/>
      <c r="AN21" s="87">
        <f t="shared" si="10"/>
        <v>0</v>
      </c>
      <c r="AO21" s="120">
        <f t="shared" si="52"/>
        <v>20000000</v>
      </c>
      <c r="AP21" s="121">
        <v>2.2000000000000001E-3</v>
      </c>
      <c r="AQ21" s="87">
        <f t="shared" si="11"/>
        <v>122.22222222222223</v>
      </c>
      <c r="AR21" s="120"/>
      <c r="AS21" s="121"/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73050000</v>
      </c>
      <c r="EC21" s="122">
        <f t="shared" si="41"/>
        <v>0</v>
      </c>
      <c r="ED21" s="87">
        <f t="shared" si="42"/>
        <v>387.47222222222223</v>
      </c>
      <c r="EE21" s="88">
        <f t="shared" si="43"/>
        <v>1.909514031485284E-3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73050000</v>
      </c>
      <c r="EL21" s="122">
        <f t="shared" si="48"/>
        <v>0</v>
      </c>
      <c r="EM21" s="122">
        <f t="shared" si="49"/>
        <v>387.47222222222223</v>
      </c>
      <c r="EN21" s="88">
        <f t="shared" si="50"/>
        <v>1.909514031485284E-3</v>
      </c>
      <c r="EP21" s="87"/>
    </row>
    <row r="22" spans="1:146" x14ac:dyDescent="0.25">
      <c r="A22" s="35">
        <f t="shared" si="51"/>
        <v>44267</v>
      </c>
      <c r="B22" s="87">
        <v>0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>
        <f>30000000+62300000</f>
        <v>92300000</v>
      </c>
      <c r="AJ22" s="121">
        <v>1.8E-3</v>
      </c>
      <c r="AK22" s="87">
        <f t="shared" si="9"/>
        <v>461.5</v>
      </c>
      <c r="AL22" s="120"/>
      <c r="AM22" s="121"/>
      <c r="AN22" s="87">
        <f t="shared" si="10"/>
        <v>0</v>
      </c>
      <c r="AO22" s="120">
        <f t="shared" si="52"/>
        <v>20000000</v>
      </c>
      <c r="AP22" s="121">
        <v>2.2000000000000001E-3</v>
      </c>
      <c r="AQ22" s="87">
        <f t="shared" si="11"/>
        <v>122.22222222222223</v>
      </c>
      <c r="AR22" s="120"/>
      <c r="AS22" s="121"/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112300000</v>
      </c>
      <c r="EC22" s="122">
        <f t="shared" si="41"/>
        <v>0</v>
      </c>
      <c r="ED22" s="87">
        <f t="shared" si="42"/>
        <v>583.72222222222217</v>
      </c>
      <c r="EE22" s="88">
        <f t="shared" si="43"/>
        <v>1.8712377560106855E-3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112300000</v>
      </c>
      <c r="EL22" s="122">
        <f t="shared" si="48"/>
        <v>0</v>
      </c>
      <c r="EM22" s="122">
        <f t="shared" si="49"/>
        <v>583.72222222222217</v>
      </c>
      <c r="EN22" s="88">
        <f t="shared" si="50"/>
        <v>1.8712377560106855E-3</v>
      </c>
      <c r="EP22" s="87"/>
    </row>
    <row r="23" spans="1:146" x14ac:dyDescent="0.25">
      <c r="A23" s="35">
        <f t="shared" si="51"/>
        <v>44268</v>
      </c>
      <c r="B23" s="87">
        <v>0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>
        <f>30000000+62300000</f>
        <v>92300000</v>
      </c>
      <c r="AJ23" s="121">
        <v>1.8E-3</v>
      </c>
      <c r="AK23" s="87">
        <f t="shared" si="9"/>
        <v>461.5</v>
      </c>
      <c r="AL23" s="120"/>
      <c r="AM23" s="121"/>
      <c r="AN23" s="87">
        <f t="shared" si="10"/>
        <v>0</v>
      </c>
      <c r="AO23" s="120">
        <f t="shared" si="52"/>
        <v>20000000</v>
      </c>
      <c r="AP23" s="121">
        <v>2.2000000000000001E-3</v>
      </c>
      <c r="AQ23" s="87">
        <f t="shared" si="11"/>
        <v>122.22222222222223</v>
      </c>
      <c r="AR23" s="120"/>
      <c r="AS23" s="121"/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112300000</v>
      </c>
      <c r="EC23" s="122">
        <f t="shared" si="41"/>
        <v>0</v>
      </c>
      <c r="ED23" s="87">
        <f t="shared" si="42"/>
        <v>583.72222222222217</v>
      </c>
      <c r="EE23" s="88">
        <f t="shared" si="43"/>
        <v>1.8712377560106855E-3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112300000</v>
      </c>
      <c r="EL23" s="122">
        <f t="shared" si="48"/>
        <v>0</v>
      </c>
      <c r="EM23" s="122">
        <f t="shared" si="49"/>
        <v>583.72222222222217</v>
      </c>
      <c r="EN23" s="88">
        <f t="shared" si="50"/>
        <v>1.8712377560106855E-3</v>
      </c>
      <c r="EP23" s="87"/>
    </row>
    <row r="24" spans="1:146" x14ac:dyDescent="0.25">
      <c r="A24" s="35">
        <f t="shared" si="51"/>
        <v>44269</v>
      </c>
      <c r="B24" s="87">
        <v>0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>
        <f>30000000+62300000</f>
        <v>92300000</v>
      </c>
      <c r="AJ24" s="121">
        <v>1.8E-3</v>
      </c>
      <c r="AK24" s="87">
        <f t="shared" si="9"/>
        <v>461.5</v>
      </c>
      <c r="AL24" s="120"/>
      <c r="AM24" s="121"/>
      <c r="AN24" s="87">
        <f t="shared" si="10"/>
        <v>0</v>
      </c>
      <c r="AO24" s="120">
        <f t="shared" si="52"/>
        <v>20000000</v>
      </c>
      <c r="AP24" s="121">
        <v>2.2000000000000001E-3</v>
      </c>
      <c r="AQ24" s="87">
        <f t="shared" si="11"/>
        <v>122.22222222222223</v>
      </c>
      <c r="AR24" s="120"/>
      <c r="AS24" s="121"/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112300000</v>
      </c>
      <c r="EC24" s="122">
        <f t="shared" si="41"/>
        <v>0</v>
      </c>
      <c r="ED24" s="87">
        <f t="shared" si="42"/>
        <v>583.72222222222217</v>
      </c>
      <c r="EE24" s="88">
        <f t="shared" si="43"/>
        <v>1.8712377560106855E-3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112300000</v>
      </c>
      <c r="EL24" s="122">
        <f t="shared" si="48"/>
        <v>0</v>
      </c>
      <c r="EM24" s="122">
        <f t="shared" si="49"/>
        <v>583.72222222222217</v>
      </c>
      <c r="EN24" s="88">
        <f t="shared" si="50"/>
        <v>1.8712377560106855E-3</v>
      </c>
      <c r="EP24" s="87"/>
    </row>
    <row r="25" spans="1:146" x14ac:dyDescent="0.25">
      <c r="A25" s="35">
        <f t="shared" si="51"/>
        <v>44270</v>
      </c>
      <c r="B25" s="87">
        <v>0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>
        <f>73725000+100000</f>
        <v>73825000</v>
      </c>
      <c r="AJ25" s="121">
        <v>1.8E-3</v>
      </c>
      <c r="AK25" s="87">
        <f t="shared" si="9"/>
        <v>369.125</v>
      </c>
      <c r="AL25" s="120">
        <f t="shared" ref="AL25:AL41" si="53">100000000</f>
        <v>100000000</v>
      </c>
      <c r="AM25" s="121">
        <v>2.5000000000000001E-3</v>
      </c>
      <c r="AN25" s="87">
        <f t="shared" si="10"/>
        <v>694.44444444444446</v>
      </c>
      <c r="AO25" s="120">
        <f t="shared" si="52"/>
        <v>20000000</v>
      </c>
      <c r="AP25" s="121">
        <v>2.2000000000000001E-3</v>
      </c>
      <c r="AQ25" s="87">
        <f t="shared" si="11"/>
        <v>122.22222222222223</v>
      </c>
      <c r="AR25" s="120"/>
      <c r="AS25" s="121"/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193825000</v>
      </c>
      <c r="EC25" s="122">
        <f t="shared" si="41"/>
        <v>0</v>
      </c>
      <c r="ED25" s="87">
        <f t="shared" si="42"/>
        <v>1185.7916666666665</v>
      </c>
      <c r="EE25" s="88">
        <f t="shared" si="43"/>
        <v>2.2024248677931118E-3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193825000</v>
      </c>
      <c r="EL25" s="122">
        <f t="shared" si="48"/>
        <v>0</v>
      </c>
      <c r="EM25" s="122">
        <f t="shared" si="49"/>
        <v>1185.7916666666667</v>
      </c>
      <c r="EN25" s="88">
        <f t="shared" si="50"/>
        <v>2.2024248677931127E-3</v>
      </c>
      <c r="EP25" s="87"/>
    </row>
    <row r="26" spans="1:146" x14ac:dyDescent="0.25">
      <c r="A26" s="35">
        <f t="shared" si="51"/>
        <v>44271</v>
      </c>
      <c r="B26" s="87">
        <v>0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>
        <f>58325000</f>
        <v>58325000</v>
      </c>
      <c r="AJ26" s="121">
        <v>1.8E-3</v>
      </c>
      <c r="AK26" s="87">
        <f t="shared" si="9"/>
        <v>291.625</v>
      </c>
      <c r="AL26" s="120">
        <f t="shared" si="53"/>
        <v>100000000</v>
      </c>
      <c r="AM26" s="121">
        <v>2.5000000000000001E-3</v>
      </c>
      <c r="AN26" s="87">
        <f t="shared" si="10"/>
        <v>694.44444444444446</v>
      </c>
      <c r="AO26" s="120">
        <f t="shared" si="52"/>
        <v>20000000</v>
      </c>
      <c r="AP26" s="121">
        <v>2.2000000000000001E-3</v>
      </c>
      <c r="AQ26" s="87">
        <f t="shared" si="11"/>
        <v>122.22222222222223</v>
      </c>
      <c r="AR26" s="120"/>
      <c r="AS26" s="121"/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178325000</v>
      </c>
      <c r="EC26" s="122">
        <f t="shared" si="41"/>
        <v>0</v>
      </c>
      <c r="ED26" s="87">
        <f t="shared" si="42"/>
        <v>1108.2916666666667</v>
      </c>
      <c r="EE26" s="88">
        <f t="shared" si="43"/>
        <v>2.2374036169914486E-3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178325000</v>
      </c>
      <c r="EL26" s="122">
        <f t="shared" si="48"/>
        <v>0</v>
      </c>
      <c r="EM26" s="122">
        <f t="shared" si="49"/>
        <v>1108.2916666666667</v>
      </c>
      <c r="EN26" s="88">
        <f t="shared" si="50"/>
        <v>2.2374036169914486E-3</v>
      </c>
      <c r="EP26" s="87"/>
    </row>
    <row r="27" spans="1:146" x14ac:dyDescent="0.25">
      <c r="A27" s="35">
        <f t="shared" si="51"/>
        <v>44272</v>
      </c>
      <c r="B27" s="87">
        <v>0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>
        <v>46700000</v>
      </c>
      <c r="AJ27" s="121">
        <v>1.8E-3</v>
      </c>
      <c r="AK27" s="87">
        <f t="shared" si="9"/>
        <v>233.5</v>
      </c>
      <c r="AL27" s="120">
        <f t="shared" si="53"/>
        <v>100000000</v>
      </c>
      <c r="AM27" s="121">
        <v>2.5000000000000001E-3</v>
      </c>
      <c r="AN27" s="87">
        <f t="shared" si="10"/>
        <v>694.44444444444446</v>
      </c>
      <c r="AO27" s="120">
        <f t="shared" si="52"/>
        <v>20000000</v>
      </c>
      <c r="AP27" s="121">
        <v>2.2000000000000001E-3</v>
      </c>
      <c r="AQ27" s="87">
        <f t="shared" si="11"/>
        <v>122.22222222222223</v>
      </c>
      <c r="AR27" s="120"/>
      <c r="AS27" s="121"/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166700000</v>
      </c>
      <c r="EC27" s="122">
        <f t="shared" si="41"/>
        <v>0</v>
      </c>
      <c r="ED27" s="87">
        <f t="shared" si="42"/>
        <v>1050.1666666666667</v>
      </c>
      <c r="EE27" s="88">
        <f t="shared" si="43"/>
        <v>2.2679064187162571E-3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166700000</v>
      </c>
      <c r="EL27" s="122">
        <f t="shared" si="48"/>
        <v>0</v>
      </c>
      <c r="EM27" s="122">
        <f t="shared" si="49"/>
        <v>1050.1666666666667</v>
      </c>
      <c r="EN27" s="88">
        <f t="shared" si="50"/>
        <v>2.2679064187162571E-3</v>
      </c>
      <c r="EP27" s="87"/>
    </row>
    <row r="28" spans="1:146" x14ac:dyDescent="0.25">
      <c r="A28" s="35">
        <f t="shared" si="51"/>
        <v>44273</v>
      </c>
      <c r="B28" s="87">
        <v>0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>
        <f>36100000</f>
        <v>36100000</v>
      </c>
      <c r="AJ28" s="121">
        <v>1.8E-3</v>
      </c>
      <c r="AK28" s="87">
        <f t="shared" si="9"/>
        <v>180.5</v>
      </c>
      <c r="AL28" s="120">
        <f t="shared" si="53"/>
        <v>100000000</v>
      </c>
      <c r="AM28" s="121">
        <v>2.5000000000000001E-3</v>
      </c>
      <c r="AN28" s="87">
        <f t="shared" si="10"/>
        <v>694.44444444444446</v>
      </c>
      <c r="AO28" s="120">
        <f t="shared" si="52"/>
        <v>20000000</v>
      </c>
      <c r="AP28" s="121">
        <v>2.2000000000000001E-3</v>
      </c>
      <c r="AQ28" s="87">
        <f t="shared" si="11"/>
        <v>122.22222222222223</v>
      </c>
      <c r="AR28" s="120"/>
      <c r="AS28" s="121"/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156100000</v>
      </c>
      <c r="EC28" s="122">
        <f t="shared" si="41"/>
        <v>0</v>
      </c>
      <c r="ED28" s="87">
        <f t="shared" si="42"/>
        <v>997.16666666666674</v>
      </c>
      <c r="EE28" s="88">
        <f t="shared" si="43"/>
        <v>2.2996796925048046E-3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156100000</v>
      </c>
      <c r="EL28" s="122">
        <f t="shared" si="48"/>
        <v>0</v>
      </c>
      <c r="EM28" s="122">
        <f t="shared" si="49"/>
        <v>997.16666666666674</v>
      </c>
      <c r="EN28" s="88">
        <f t="shared" si="50"/>
        <v>2.2996796925048046E-3</v>
      </c>
      <c r="EP28" s="87"/>
    </row>
    <row r="29" spans="1:146" x14ac:dyDescent="0.25">
      <c r="A29" s="35">
        <f t="shared" si="51"/>
        <v>44274</v>
      </c>
      <c r="B29" s="87">
        <v>0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47925000</f>
        <v>47925000</v>
      </c>
      <c r="AJ29" s="121">
        <v>1.8E-3</v>
      </c>
      <c r="AK29" s="87">
        <f t="shared" si="9"/>
        <v>239.625</v>
      </c>
      <c r="AL29" s="120">
        <f t="shared" si="53"/>
        <v>100000000</v>
      </c>
      <c r="AM29" s="121">
        <v>2.5000000000000001E-3</v>
      </c>
      <c r="AN29" s="87">
        <f t="shared" si="10"/>
        <v>694.44444444444446</v>
      </c>
      <c r="AO29" s="120">
        <f t="shared" si="52"/>
        <v>20000000</v>
      </c>
      <c r="AP29" s="121">
        <v>2.2000000000000001E-3</v>
      </c>
      <c r="AQ29" s="87">
        <f t="shared" si="11"/>
        <v>122.22222222222223</v>
      </c>
      <c r="AR29" s="120"/>
      <c r="AS29" s="121"/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167925000</v>
      </c>
      <c r="EC29" s="122">
        <f t="shared" si="41"/>
        <v>0</v>
      </c>
      <c r="ED29" s="87">
        <f t="shared" si="42"/>
        <v>1056.2916666666667</v>
      </c>
      <c r="EE29" s="88">
        <f t="shared" si="43"/>
        <v>2.2644930772666373E-3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167925000</v>
      </c>
      <c r="EL29" s="122">
        <f t="shared" si="48"/>
        <v>0</v>
      </c>
      <c r="EM29" s="122">
        <f t="shared" si="49"/>
        <v>1056.2916666666667</v>
      </c>
      <c r="EN29" s="88">
        <f t="shared" si="50"/>
        <v>2.2644930772666373E-3</v>
      </c>
      <c r="EP29" s="87"/>
    </row>
    <row r="30" spans="1:146" x14ac:dyDescent="0.25">
      <c r="A30" s="35">
        <f t="shared" si="51"/>
        <v>44275</v>
      </c>
      <c r="B30" s="87">
        <v>0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47925000</f>
        <v>47925000</v>
      </c>
      <c r="AJ30" s="121">
        <v>1.8E-3</v>
      </c>
      <c r="AK30" s="87">
        <f t="shared" si="9"/>
        <v>239.625</v>
      </c>
      <c r="AL30" s="120">
        <f t="shared" si="53"/>
        <v>100000000</v>
      </c>
      <c r="AM30" s="121">
        <v>2.5000000000000001E-3</v>
      </c>
      <c r="AN30" s="87">
        <f t="shared" si="10"/>
        <v>694.44444444444446</v>
      </c>
      <c r="AO30" s="120">
        <f t="shared" si="52"/>
        <v>20000000</v>
      </c>
      <c r="AP30" s="121">
        <v>2.2000000000000001E-3</v>
      </c>
      <c r="AQ30" s="87">
        <f t="shared" si="11"/>
        <v>122.22222222222223</v>
      </c>
      <c r="AR30" s="120"/>
      <c r="AS30" s="121"/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167925000</v>
      </c>
      <c r="EC30" s="122">
        <f t="shared" si="41"/>
        <v>0</v>
      </c>
      <c r="ED30" s="87">
        <f t="shared" si="42"/>
        <v>1056.2916666666667</v>
      </c>
      <c r="EE30" s="88">
        <f t="shared" si="43"/>
        <v>2.2644930772666373E-3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167925000</v>
      </c>
      <c r="EL30" s="122">
        <f t="shared" si="48"/>
        <v>0</v>
      </c>
      <c r="EM30" s="122">
        <f t="shared" si="49"/>
        <v>1056.2916666666667</v>
      </c>
      <c r="EN30" s="88">
        <f t="shared" si="50"/>
        <v>2.2644930772666373E-3</v>
      </c>
      <c r="EP30" s="87"/>
    </row>
    <row r="31" spans="1:146" x14ac:dyDescent="0.25">
      <c r="A31" s="35">
        <f t="shared" si="51"/>
        <v>44276</v>
      </c>
      <c r="B31" s="87">
        <v>0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>
        <f>47925000</f>
        <v>47925000</v>
      </c>
      <c r="AJ31" s="121">
        <v>1.8E-3</v>
      </c>
      <c r="AK31" s="87">
        <f t="shared" si="9"/>
        <v>239.625</v>
      </c>
      <c r="AL31" s="120">
        <f t="shared" si="53"/>
        <v>100000000</v>
      </c>
      <c r="AM31" s="121">
        <v>2.5000000000000001E-3</v>
      </c>
      <c r="AN31" s="87">
        <f t="shared" si="10"/>
        <v>694.44444444444446</v>
      </c>
      <c r="AO31" s="120">
        <f t="shared" si="52"/>
        <v>20000000</v>
      </c>
      <c r="AP31" s="121">
        <v>2.2000000000000001E-3</v>
      </c>
      <c r="AQ31" s="87">
        <f t="shared" si="11"/>
        <v>122.22222222222223</v>
      </c>
      <c r="AR31" s="120"/>
      <c r="AS31" s="121"/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167925000</v>
      </c>
      <c r="EC31" s="122">
        <f t="shared" si="41"/>
        <v>0</v>
      </c>
      <c r="ED31" s="87">
        <f t="shared" si="42"/>
        <v>1056.2916666666667</v>
      </c>
      <c r="EE31" s="88">
        <f t="shared" si="43"/>
        <v>2.2644930772666373E-3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167925000</v>
      </c>
      <c r="EL31" s="122">
        <f t="shared" si="48"/>
        <v>0</v>
      </c>
      <c r="EM31" s="122">
        <f t="shared" si="49"/>
        <v>1056.2916666666667</v>
      </c>
      <c r="EN31" s="88">
        <f t="shared" si="50"/>
        <v>2.2644930772666373E-3</v>
      </c>
      <c r="EP31" s="87"/>
    </row>
    <row r="32" spans="1:146" x14ac:dyDescent="0.25">
      <c r="A32" s="35">
        <f t="shared" si="51"/>
        <v>44277</v>
      </c>
      <c r="B32" s="87">
        <v>0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f>54625000</f>
        <v>54625000</v>
      </c>
      <c r="AJ32" s="121">
        <v>1.8E-3</v>
      </c>
      <c r="AK32" s="87">
        <f t="shared" si="9"/>
        <v>273.125</v>
      </c>
      <c r="AL32" s="120">
        <f t="shared" si="53"/>
        <v>100000000</v>
      </c>
      <c r="AM32" s="121">
        <v>2.5000000000000001E-3</v>
      </c>
      <c r="AN32" s="87">
        <f t="shared" si="10"/>
        <v>694.44444444444446</v>
      </c>
      <c r="AO32" s="120">
        <f t="shared" si="52"/>
        <v>20000000</v>
      </c>
      <c r="AP32" s="121">
        <v>2.2000000000000001E-3</v>
      </c>
      <c r="AQ32" s="87">
        <f t="shared" si="11"/>
        <v>122.22222222222223</v>
      </c>
      <c r="AR32" s="120"/>
      <c r="AS32" s="121"/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174625000</v>
      </c>
      <c r="EC32" s="122">
        <f t="shared" si="41"/>
        <v>0</v>
      </c>
      <c r="ED32" s="87">
        <f t="shared" si="42"/>
        <v>1089.7916666666667</v>
      </c>
      <c r="EE32" s="88">
        <f t="shared" si="43"/>
        <v>2.2466714387974233E-3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174625000</v>
      </c>
      <c r="EL32" s="122">
        <f t="shared" si="48"/>
        <v>0</v>
      </c>
      <c r="EM32" s="122">
        <f t="shared" si="49"/>
        <v>1089.7916666666667</v>
      </c>
      <c r="EN32" s="88">
        <f t="shared" si="50"/>
        <v>2.2466714387974233E-3</v>
      </c>
      <c r="EP32" s="87"/>
    </row>
    <row r="33" spans="1:146" x14ac:dyDescent="0.25">
      <c r="A33" s="35">
        <f t="shared" si="51"/>
        <v>44278</v>
      </c>
      <c r="B33" s="87">
        <v>0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42400000</f>
        <v>42400000</v>
      </c>
      <c r="AJ33" s="121">
        <v>1.8E-3</v>
      </c>
      <c r="AK33" s="87">
        <f t="shared" si="9"/>
        <v>212</v>
      </c>
      <c r="AL33" s="120">
        <f t="shared" si="53"/>
        <v>100000000</v>
      </c>
      <c r="AM33" s="121">
        <v>2.5000000000000001E-3</v>
      </c>
      <c r="AN33" s="87">
        <f t="shared" si="10"/>
        <v>694.44444444444446</v>
      </c>
      <c r="AO33" s="120">
        <f t="shared" si="52"/>
        <v>20000000</v>
      </c>
      <c r="AP33" s="121">
        <v>2.2000000000000001E-3</v>
      </c>
      <c r="AQ33" s="87">
        <f t="shared" si="11"/>
        <v>122.22222222222223</v>
      </c>
      <c r="AR33" s="120"/>
      <c r="AS33" s="121"/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162400000</v>
      </c>
      <c r="EC33" s="122">
        <f t="shared" si="41"/>
        <v>0</v>
      </c>
      <c r="ED33" s="87">
        <f t="shared" si="42"/>
        <v>1028.6666666666667</v>
      </c>
      <c r="EE33" s="88">
        <f t="shared" si="43"/>
        <v>2.2802955665024629E-3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162400000</v>
      </c>
      <c r="EL33" s="122">
        <f t="shared" si="48"/>
        <v>0</v>
      </c>
      <c r="EM33" s="122">
        <f t="shared" si="49"/>
        <v>1028.6666666666667</v>
      </c>
      <c r="EN33" s="88">
        <f t="shared" si="50"/>
        <v>2.2802955665024629E-3</v>
      </c>
      <c r="EP33" s="87"/>
    </row>
    <row r="34" spans="1:146" x14ac:dyDescent="0.25">
      <c r="A34" s="35">
        <f t="shared" si="51"/>
        <v>44279</v>
      </c>
      <c r="B34" s="87">
        <v>0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33100000</f>
        <v>33100000</v>
      </c>
      <c r="AJ34" s="121">
        <v>1.8E-3</v>
      </c>
      <c r="AK34" s="87">
        <f t="shared" si="9"/>
        <v>165.5</v>
      </c>
      <c r="AL34" s="120">
        <f t="shared" si="53"/>
        <v>100000000</v>
      </c>
      <c r="AM34" s="121">
        <v>2.5000000000000001E-3</v>
      </c>
      <c r="AN34" s="87">
        <f t="shared" si="10"/>
        <v>694.44444444444446</v>
      </c>
      <c r="AO34" s="120">
        <f t="shared" si="52"/>
        <v>20000000</v>
      </c>
      <c r="AP34" s="121">
        <v>2.2000000000000001E-3</v>
      </c>
      <c r="AQ34" s="87">
        <f t="shared" si="11"/>
        <v>122.22222222222223</v>
      </c>
      <c r="AR34" s="120"/>
      <c r="AS34" s="121"/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153100000</v>
      </c>
      <c r="EC34" s="122">
        <f t="shared" si="41"/>
        <v>0</v>
      </c>
      <c r="ED34" s="87">
        <f t="shared" si="42"/>
        <v>982.16666666666674</v>
      </c>
      <c r="EE34" s="88">
        <f t="shared" si="43"/>
        <v>2.3094709340300457E-3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153100000</v>
      </c>
      <c r="EL34" s="122">
        <f t="shared" si="48"/>
        <v>0</v>
      </c>
      <c r="EM34" s="122">
        <f t="shared" si="49"/>
        <v>982.16666666666674</v>
      </c>
      <c r="EN34" s="88">
        <f t="shared" si="50"/>
        <v>2.3094709340300457E-3</v>
      </c>
      <c r="EP34" s="87"/>
    </row>
    <row r="35" spans="1:146" x14ac:dyDescent="0.25">
      <c r="A35" s="35">
        <f t="shared" si="51"/>
        <v>44280</v>
      </c>
      <c r="B35" s="87">
        <v>0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73150000</f>
        <v>73150000</v>
      </c>
      <c r="AJ35" s="121">
        <v>1.8E-3</v>
      </c>
      <c r="AK35" s="87">
        <f t="shared" si="9"/>
        <v>365.75</v>
      </c>
      <c r="AL35" s="120">
        <f t="shared" si="53"/>
        <v>100000000</v>
      </c>
      <c r="AM35" s="121">
        <v>2.5000000000000001E-3</v>
      </c>
      <c r="AN35" s="87">
        <f t="shared" si="10"/>
        <v>694.44444444444446</v>
      </c>
      <c r="AO35" s="120">
        <f t="shared" si="52"/>
        <v>20000000</v>
      </c>
      <c r="AP35" s="121">
        <v>2.2000000000000001E-3</v>
      </c>
      <c r="AQ35" s="87">
        <f t="shared" si="11"/>
        <v>122.22222222222223</v>
      </c>
      <c r="AR35" s="120"/>
      <c r="AS35" s="121"/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193150000</v>
      </c>
      <c r="EC35" s="122">
        <f t="shared" si="41"/>
        <v>0</v>
      </c>
      <c r="ED35" s="87">
        <f t="shared" si="42"/>
        <v>1182.4166666666665</v>
      </c>
      <c r="EE35" s="88">
        <f t="shared" si="43"/>
        <v>2.2038312192596424E-3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193150000</v>
      </c>
      <c r="EL35" s="122">
        <f t="shared" si="48"/>
        <v>0</v>
      </c>
      <c r="EM35" s="122">
        <f t="shared" si="49"/>
        <v>1182.4166666666667</v>
      </c>
      <c r="EN35" s="88">
        <f t="shared" si="50"/>
        <v>2.2038312192596428E-3</v>
      </c>
      <c r="EP35" s="87"/>
    </row>
    <row r="36" spans="1:146" x14ac:dyDescent="0.25">
      <c r="A36" s="35">
        <f t="shared" si="51"/>
        <v>44281</v>
      </c>
      <c r="B36" s="87">
        <v>0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86250000</f>
        <v>86250000</v>
      </c>
      <c r="AJ36" s="121">
        <v>1.8E-3</v>
      </c>
      <c r="AK36" s="87">
        <f t="shared" si="9"/>
        <v>431.25</v>
      </c>
      <c r="AL36" s="120">
        <f t="shared" si="53"/>
        <v>100000000</v>
      </c>
      <c r="AM36" s="121">
        <v>2.5000000000000001E-3</v>
      </c>
      <c r="AN36" s="87">
        <f t="shared" si="10"/>
        <v>694.44444444444446</v>
      </c>
      <c r="AO36" s="120">
        <f t="shared" si="52"/>
        <v>20000000</v>
      </c>
      <c r="AP36" s="121">
        <v>2.2000000000000001E-3</v>
      </c>
      <c r="AQ36" s="87">
        <f t="shared" si="11"/>
        <v>122.22222222222223</v>
      </c>
      <c r="AR36" s="120"/>
      <c r="AS36" s="121"/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206250000</v>
      </c>
      <c r="EC36" s="122">
        <f t="shared" si="41"/>
        <v>0</v>
      </c>
      <c r="ED36" s="87">
        <f t="shared" si="42"/>
        <v>1247.9166666666665</v>
      </c>
      <c r="EE36" s="88">
        <f t="shared" si="43"/>
        <v>2.1781818181818178E-3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206250000</v>
      </c>
      <c r="EL36" s="122">
        <f t="shared" si="48"/>
        <v>0</v>
      </c>
      <c r="EM36" s="122">
        <f t="shared" si="49"/>
        <v>1247.9166666666667</v>
      </c>
      <c r="EN36" s="88">
        <f t="shared" si="50"/>
        <v>2.1781818181818183E-3</v>
      </c>
      <c r="EP36" s="87"/>
    </row>
    <row r="37" spans="1:146" x14ac:dyDescent="0.25">
      <c r="A37" s="35">
        <f t="shared" si="51"/>
        <v>44282</v>
      </c>
      <c r="B37" s="87">
        <v>0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86250000</f>
        <v>86250000</v>
      </c>
      <c r="AJ37" s="121">
        <v>1.8E-3</v>
      </c>
      <c r="AK37" s="87">
        <f t="shared" si="9"/>
        <v>431.25</v>
      </c>
      <c r="AL37" s="120">
        <f t="shared" si="53"/>
        <v>100000000</v>
      </c>
      <c r="AM37" s="121">
        <v>2.5000000000000001E-3</v>
      </c>
      <c r="AN37" s="87">
        <f t="shared" si="10"/>
        <v>694.44444444444446</v>
      </c>
      <c r="AO37" s="120">
        <f t="shared" si="52"/>
        <v>20000000</v>
      </c>
      <c r="AP37" s="121">
        <v>2.2000000000000001E-3</v>
      </c>
      <c r="AQ37" s="87">
        <f t="shared" si="11"/>
        <v>122.22222222222223</v>
      </c>
      <c r="AR37" s="120"/>
      <c r="AS37" s="121"/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206250000</v>
      </c>
      <c r="EC37" s="122">
        <f t="shared" si="41"/>
        <v>0</v>
      </c>
      <c r="ED37" s="87">
        <f t="shared" si="42"/>
        <v>1247.9166666666665</v>
      </c>
      <c r="EE37" s="88">
        <f t="shared" si="43"/>
        <v>2.1781818181818178E-3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206250000</v>
      </c>
      <c r="EL37" s="122">
        <f t="shared" si="48"/>
        <v>0</v>
      </c>
      <c r="EM37" s="122">
        <f t="shared" si="49"/>
        <v>1247.9166666666667</v>
      </c>
      <c r="EN37" s="88">
        <f t="shared" si="50"/>
        <v>2.1781818181818183E-3</v>
      </c>
      <c r="EP37" s="87"/>
    </row>
    <row r="38" spans="1:146" x14ac:dyDescent="0.25">
      <c r="A38" s="35">
        <f t="shared" si="51"/>
        <v>44283</v>
      </c>
      <c r="B38" s="87">
        <v>0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f>86250000</f>
        <v>86250000</v>
      </c>
      <c r="AJ38" s="121">
        <v>1.8E-3</v>
      </c>
      <c r="AK38" s="87">
        <f t="shared" si="9"/>
        <v>431.25</v>
      </c>
      <c r="AL38" s="120">
        <f t="shared" si="53"/>
        <v>100000000</v>
      </c>
      <c r="AM38" s="121">
        <v>2.5000000000000001E-3</v>
      </c>
      <c r="AN38" s="87">
        <f t="shared" si="10"/>
        <v>694.44444444444446</v>
      </c>
      <c r="AO38" s="120">
        <f t="shared" si="52"/>
        <v>20000000</v>
      </c>
      <c r="AP38" s="121">
        <v>2.2000000000000001E-3</v>
      </c>
      <c r="AQ38" s="87">
        <f t="shared" si="11"/>
        <v>122.22222222222223</v>
      </c>
      <c r="AR38" s="120"/>
      <c r="AS38" s="121"/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206250000</v>
      </c>
      <c r="EC38" s="122">
        <f t="shared" si="41"/>
        <v>0</v>
      </c>
      <c r="ED38" s="87">
        <f t="shared" si="42"/>
        <v>1247.9166666666665</v>
      </c>
      <c r="EE38" s="88">
        <f t="shared" si="43"/>
        <v>2.1781818181818178E-3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206250000</v>
      </c>
      <c r="EL38" s="122">
        <f t="shared" si="48"/>
        <v>0</v>
      </c>
      <c r="EM38" s="122">
        <f t="shared" si="49"/>
        <v>1247.9166666666667</v>
      </c>
      <c r="EN38" s="88">
        <f t="shared" si="50"/>
        <v>2.1781818181818183E-3</v>
      </c>
      <c r="EP38" s="87"/>
    </row>
    <row r="39" spans="1:146" x14ac:dyDescent="0.25">
      <c r="A39" s="35">
        <f t="shared" si="51"/>
        <v>44284</v>
      </c>
      <c r="B39" s="87">
        <v>0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>
        <f>44150000</f>
        <v>44150000</v>
      </c>
      <c r="AJ39" s="121">
        <v>1.8E-3</v>
      </c>
      <c r="AK39" s="87">
        <f t="shared" si="9"/>
        <v>220.75</v>
      </c>
      <c r="AL39" s="120">
        <f t="shared" si="53"/>
        <v>100000000</v>
      </c>
      <c r="AM39" s="121">
        <v>2.5000000000000001E-3</v>
      </c>
      <c r="AN39" s="87">
        <f t="shared" si="10"/>
        <v>694.44444444444446</v>
      </c>
      <c r="AO39" s="120">
        <f t="shared" si="52"/>
        <v>20000000</v>
      </c>
      <c r="AP39" s="121">
        <v>2.2000000000000001E-3</v>
      </c>
      <c r="AQ39" s="87">
        <f t="shared" si="11"/>
        <v>122.22222222222223</v>
      </c>
      <c r="AR39" s="120">
        <f>40000000</f>
        <v>40000000</v>
      </c>
      <c r="AS39" s="121">
        <v>2.5000000000000001E-3</v>
      </c>
      <c r="AT39" s="87">
        <f t="shared" si="12"/>
        <v>277.77777777777777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204150000</v>
      </c>
      <c r="EC39" s="122">
        <f t="shared" si="41"/>
        <v>0</v>
      </c>
      <c r="ED39" s="87">
        <f t="shared" si="42"/>
        <v>1315.1944444444446</v>
      </c>
      <c r="EE39" s="88">
        <f t="shared" si="43"/>
        <v>2.319226059270145E-3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204150000</v>
      </c>
      <c r="EL39" s="122">
        <f t="shared" si="48"/>
        <v>0</v>
      </c>
      <c r="EM39" s="122">
        <f t="shared" si="49"/>
        <v>1315.1944444444443</v>
      </c>
      <c r="EN39" s="88">
        <f t="shared" si="50"/>
        <v>2.3192260592701441E-3</v>
      </c>
      <c r="EP39" s="87"/>
    </row>
    <row r="40" spans="1:146" x14ac:dyDescent="0.25">
      <c r="A40" s="35">
        <f t="shared" si="51"/>
        <v>44285</v>
      </c>
      <c r="B40" s="87">
        <v>0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>
        <f>44400000</f>
        <v>44400000</v>
      </c>
      <c r="AJ40" s="121">
        <v>1.8E-3</v>
      </c>
      <c r="AK40" s="87">
        <f t="shared" si="9"/>
        <v>222</v>
      </c>
      <c r="AL40" s="120">
        <f t="shared" si="53"/>
        <v>100000000</v>
      </c>
      <c r="AM40" s="121">
        <v>2.5000000000000001E-3</v>
      </c>
      <c r="AN40" s="87">
        <f t="shared" si="10"/>
        <v>694.44444444444446</v>
      </c>
      <c r="AO40" s="120">
        <f t="shared" si="52"/>
        <v>20000000</v>
      </c>
      <c r="AP40" s="121">
        <v>2.2000000000000001E-3</v>
      </c>
      <c r="AQ40" s="87">
        <f t="shared" si="11"/>
        <v>122.22222222222223</v>
      </c>
      <c r="AR40" s="120">
        <f>40000000</f>
        <v>40000000</v>
      </c>
      <c r="AS40" s="121">
        <v>2.5000000000000001E-3</v>
      </c>
      <c r="AT40" s="87">
        <f t="shared" si="12"/>
        <v>277.77777777777777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204400000</v>
      </c>
      <c r="EC40" s="122">
        <f t="shared" si="41"/>
        <v>0</v>
      </c>
      <c r="ED40" s="87">
        <f t="shared" si="42"/>
        <v>1316.4444444444446</v>
      </c>
      <c r="EE40" s="88">
        <f t="shared" si="43"/>
        <v>2.3185909980430533E-3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204400000</v>
      </c>
      <c r="EL40" s="122">
        <f t="shared" si="48"/>
        <v>0</v>
      </c>
      <c r="EM40" s="122">
        <f t="shared" si="49"/>
        <v>1316.4444444444443</v>
      </c>
      <c r="EN40" s="88">
        <f t="shared" si="50"/>
        <v>2.3185909980430524E-3</v>
      </c>
      <c r="EP40" s="87"/>
    </row>
    <row r="41" spans="1:146" x14ac:dyDescent="0.25">
      <c r="A41" s="35">
        <f t="shared" si="51"/>
        <v>44286</v>
      </c>
      <c r="B41" s="87">
        <v>0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>
        <f>44225000</f>
        <v>44225000</v>
      </c>
      <c r="AJ41" s="121">
        <v>1.8E-3</v>
      </c>
      <c r="AK41" s="87">
        <f t="shared" si="9"/>
        <v>221.125</v>
      </c>
      <c r="AL41" s="120">
        <f t="shared" si="53"/>
        <v>100000000</v>
      </c>
      <c r="AM41" s="121">
        <v>2.5000000000000001E-3</v>
      </c>
      <c r="AN41" s="87">
        <f t="shared" si="10"/>
        <v>694.44444444444446</v>
      </c>
      <c r="AO41" s="120">
        <f t="shared" si="52"/>
        <v>20000000</v>
      </c>
      <c r="AP41" s="121">
        <v>2.2000000000000001E-3</v>
      </c>
      <c r="AQ41" s="87">
        <f t="shared" si="11"/>
        <v>122.22222222222223</v>
      </c>
      <c r="AR41" s="120">
        <f>40000000</f>
        <v>40000000</v>
      </c>
      <c r="AS41" s="121">
        <v>2.5000000000000001E-3</v>
      </c>
      <c r="AT41" s="87">
        <f t="shared" si="12"/>
        <v>277.77777777777777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204225000</v>
      </c>
      <c r="EC41" s="122">
        <f t="shared" si="41"/>
        <v>0</v>
      </c>
      <c r="ED41" s="87">
        <f t="shared" si="42"/>
        <v>1315.5694444444446</v>
      </c>
      <c r="EE41" s="88">
        <f t="shared" si="43"/>
        <v>2.3190353776472031E-3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204225000</v>
      </c>
      <c r="EL41" s="122">
        <f t="shared" si="48"/>
        <v>0</v>
      </c>
      <c r="EM41" s="122">
        <f t="shared" si="49"/>
        <v>1315.5694444444443</v>
      </c>
      <c r="EN41" s="88">
        <f t="shared" si="50"/>
        <v>2.3190353776472027E-3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11486.25</v>
      </c>
      <c r="AN42" s="124">
        <f>SUM(AN11:AN41)</f>
        <v>13277.777777777783</v>
      </c>
      <c r="AQ42" s="124">
        <f>SUM(AQ11:AQ41)</f>
        <v>3422.2222222222213</v>
      </c>
      <c r="AT42" s="124">
        <f>SUM(AT11:AT41)</f>
        <v>833.33333333333326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29019.583333333343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29019.583333333343</v>
      </c>
      <c r="EN42" s="88"/>
    </row>
    <row r="44" spans="1:146" x14ac:dyDescent="0.25">
      <c r="EM44" s="125"/>
    </row>
    <row r="45" spans="1:146" x14ac:dyDescent="0.25">
      <c r="EM45" s="125"/>
    </row>
    <row r="46" spans="1:146" x14ac:dyDescent="0.25">
      <c r="EM46" s="87"/>
    </row>
    <row r="47" spans="1:146" x14ac:dyDescent="0.25">
      <c r="EM47" s="87"/>
    </row>
    <row r="48" spans="1:146" x14ac:dyDescent="0.25">
      <c r="EM48" s="8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48"/>
  <sheetViews>
    <sheetView workbookViewId="0"/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EB40</f>
        <v>263875000</v>
      </c>
      <c r="EI2" s="85">
        <f>EG40</f>
        <v>0</v>
      </c>
      <c r="EM2" s="85"/>
      <c r="EN2" s="85">
        <f>EK40</f>
        <v>263875000</v>
      </c>
      <c r="EO2" s="78">
        <v>-14057.25</v>
      </c>
      <c r="EP2" s="78">
        <f>EN2+EO2</f>
        <v>263860942.75</v>
      </c>
      <c r="EQ2" s="78">
        <f>EE2+EO2</f>
        <v>263860942.75</v>
      </c>
    </row>
    <row r="3" spans="1:147" ht="16.5" thickTop="1" x14ac:dyDescent="0.25">
      <c r="A3" s="86" t="s">
        <v>198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AVERAGE(EB11:EB40)</f>
        <v>218080000</v>
      </c>
      <c r="EI3" s="85">
        <f>AVERAGE(EG11:EG40)</f>
        <v>0</v>
      </c>
      <c r="EM3" s="85"/>
      <c r="EN3" s="85">
        <f>AVERAGE(EK11:EK40)</f>
        <v>217245000</v>
      </c>
    </row>
    <row r="4" spans="1:147" x14ac:dyDescent="0.25">
      <c r="D4" s="33"/>
      <c r="E4" s="95" t="s">
        <v>102</v>
      </c>
      <c r="F4" s="85"/>
      <c r="G4" s="96">
        <f>EQ2</f>
        <v>263860942.75</v>
      </c>
      <c r="AI4" s="97" t="s">
        <v>106</v>
      </c>
      <c r="EB4" s="33" t="s">
        <v>107</v>
      </c>
      <c r="EC4" s="33"/>
      <c r="ED4" s="93"/>
      <c r="EE4" s="93">
        <f>IF(EE3=0,0,360*(AVERAGE(ED11:ED40)/EE3))</f>
        <v>2.2512288487405224E-3</v>
      </c>
      <c r="EI4" s="93">
        <f>IF(EI3=0,0,360*(AVERAGE(EH11:EH40)/EI3))</f>
        <v>0</v>
      </c>
      <c r="EM4" s="93"/>
      <c r="EN4" s="93">
        <f>IF(EN3=0,0,360*(AVERAGE(EM11:EM40)/EN3))</f>
        <v>2.2506862451763367E-3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218080000</v>
      </c>
      <c r="AI5" s="100" t="s">
        <v>97</v>
      </c>
      <c r="EB5" s="101" t="s">
        <v>109</v>
      </c>
      <c r="EC5" s="101"/>
      <c r="ED5" s="85"/>
      <c r="EE5" s="85">
        <f>MAX(EB11:EB40)</f>
        <v>263875000</v>
      </c>
      <c r="EI5" s="85">
        <f>MAX(EG11:EG40)</f>
        <v>0</v>
      </c>
      <c r="EM5" s="85"/>
      <c r="EN5" s="85">
        <f>MAX(EK11:EK40)</f>
        <v>263875000</v>
      </c>
    </row>
    <row r="6" spans="1:147" x14ac:dyDescent="0.25">
      <c r="D6" s="33"/>
      <c r="E6" s="95" t="s">
        <v>107</v>
      </c>
      <c r="F6" s="85"/>
      <c r="G6" s="102">
        <f>EE4</f>
        <v>2.2512288487405224E-3</v>
      </c>
    </row>
    <row r="7" spans="1:147" ht="16.5" thickBot="1" x14ac:dyDescent="0.3">
      <c r="D7" s="33"/>
      <c r="E7" s="103" t="s">
        <v>109</v>
      </c>
      <c r="F7" s="104"/>
      <c r="G7" s="105">
        <f>EE5</f>
        <v>263875000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44287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62900000</f>
        <v>62900000</v>
      </c>
      <c r="AJ11" s="121">
        <v>1.8E-3</v>
      </c>
      <c r="AK11" s="87">
        <f>(AI11*AJ11)/360</f>
        <v>314.5</v>
      </c>
      <c r="AL11" s="120">
        <f>20000000</f>
        <v>20000000</v>
      </c>
      <c r="AM11" s="121">
        <v>2.2000000000000001E-3</v>
      </c>
      <c r="AN11" s="87">
        <f>(AL11*AM11)/360</f>
        <v>122.22222222222223</v>
      </c>
      <c r="AO11" s="120">
        <f t="shared" ref="AO11:AO25" si="0">40000000+100000000</f>
        <v>140000000</v>
      </c>
      <c r="AP11" s="121">
        <v>2.5000000000000001E-3</v>
      </c>
      <c r="AQ11" s="87">
        <f>(AO11*AP11)/360</f>
        <v>972.22222222222217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222900000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1408.9444444444443</v>
      </c>
      <c r="EE11" s="88">
        <f>IF(EB11&lt;&gt;0,((ED11/EB11)*360),0)</f>
        <v>2.2755495737999099E-3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222900000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1408.9444444444443</v>
      </c>
      <c r="EN11" s="88">
        <f>IF(EK11&lt;&gt;0,((EM11/EK11)*360),0)</f>
        <v>2.2755495737999099E-3</v>
      </c>
      <c r="EP11" s="87"/>
    </row>
    <row r="12" spans="1:147" x14ac:dyDescent="0.25">
      <c r="A12" s="35">
        <f>1+A11</f>
        <v>44288</v>
      </c>
      <c r="B12" s="87">
        <v>8350000</v>
      </c>
      <c r="C12" s="88">
        <v>2.3924000000000003E-3</v>
      </c>
      <c r="D12" s="87">
        <f t="shared" ref="D12:D40" si="1">(B12*C12)/360</f>
        <v>55.490388888888894</v>
      </c>
      <c r="G12" s="87">
        <f t="shared" ref="G12:G40" si="2">(E12*F12)/360</f>
        <v>0</v>
      </c>
      <c r="J12" s="87">
        <f t="shared" ref="J12:J40" si="3">(H12*I12)/360</f>
        <v>0</v>
      </c>
      <c r="M12" s="87">
        <f t="shared" ref="M12:M40" si="4">(K12*L12)/360</f>
        <v>0</v>
      </c>
      <c r="P12" s="87">
        <f t="shared" ref="P12:P40" si="5">(N12*O12)/360</f>
        <v>0</v>
      </c>
      <c r="S12" s="87">
        <f t="shared" ref="S12:S40" si="6">(Q12*R12)/360</f>
        <v>0</v>
      </c>
      <c r="V12" s="87">
        <f t="shared" ref="V12:V40" si="7">(T12*U12)/360</f>
        <v>0</v>
      </c>
      <c r="Y12" s="87">
        <f t="shared" ref="Y12:Y40" si="8">(W12*X12)/360</f>
        <v>0</v>
      </c>
      <c r="AB12" s="87">
        <f t="shared" ref="AB12:AB40" si="9">(Z12*AA12)/360</f>
        <v>0</v>
      </c>
      <c r="AE12" s="87">
        <v>0</v>
      </c>
      <c r="AH12" s="87">
        <v>0</v>
      </c>
      <c r="AI12" s="120">
        <f>62900000</f>
        <v>62900000</v>
      </c>
      <c r="AJ12" s="121">
        <v>1.8E-3</v>
      </c>
      <c r="AK12" s="87">
        <f t="shared" ref="AK12:AK40" si="10">(AI12*AJ12)/360</f>
        <v>314.5</v>
      </c>
      <c r="AL12" s="120">
        <f>20000000</f>
        <v>20000000</v>
      </c>
      <c r="AM12" s="121">
        <v>2.2000000000000001E-3</v>
      </c>
      <c r="AN12" s="87">
        <f t="shared" ref="AN12:AN40" si="11">(AL12*AM12)/360</f>
        <v>122.22222222222223</v>
      </c>
      <c r="AO12" s="120">
        <f t="shared" si="0"/>
        <v>140000000</v>
      </c>
      <c r="AP12" s="121">
        <v>2.5000000000000001E-3</v>
      </c>
      <c r="AQ12" s="87">
        <f t="shared" ref="AQ12:AQ40" si="12">(AO12*AP12)/360</f>
        <v>972.22222222222217</v>
      </c>
      <c r="AR12" s="120"/>
      <c r="AS12" s="121"/>
      <c r="AT12" s="87">
        <f t="shared" ref="AT12:AT40" si="13">(AR12*AS12)/360</f>
        <v>0</v>
      </c>
      <c r="AW12" s="87">
        <f t="shared" ref="AW12:AW40" si="14">(AU12*AV12)/360</f>
        <v>0</v>
      </c>
      <c r="AZ12" s="87">
        <f t="shared" ref="AZ12:AZ40" si="15">(AX12*AY12)/360</f>
        <v>0</v>
      </c>
      <c r="BC12" s="87">
        <f t="shared" ref="BC12:BC40" si="16">(BA12*BB12)/360</f>
        <v>0</v>
      </c>
      <c r="BF12" s="87">
        <f t="shared" ref="BF12:BF40" si="17">(BD12*BE12)/360</f>
        <v>0</v>
      </c>
      <c r="BI12" s="87">
        <f t="shared" ref="BI12:BI40" si="18">(BG12*BH12)/360</f>
        <v>0</v>
      </c>
      <c r="BL12" s="87">
        <f t="shared" ref="BL12:BL40" si="19">(BJ12*BK12)/360</f>
        <v>0</v>
      </c>
      <c r="BO12" s="87">
        <f t="shared" ref="BO12:BO40" si="20">(BM12*BN12)/360</f>
        <v>0</v>
      </c>
      <c r="BR12" s="87">
        <f t="shared" ref="BR12:BR40" si="21">(BP12*BQ12)/360</f>
        <v>0</v>
      </c>
      <c r="BU12" s="87">
        <f t="shared" ref="BU12:BU40" si="22">(BS12*BT12)/360</f>
        <v>0</v>
      </c>
      <c r="BX12" s="87">
        <f t="shared" ref="BX12:BX40" si="23">(BV12*BW12)/360</f>
        <v>0</v>
      </c>
      <c r="CA12" s="87">
        <f t="shared" ref="CA12:CA40" si="24">(BY12*BZ12)/360</f>
        <v>0</v>
      </c>
      <c r="CD12" s="87">
        <f t="shared" ref="CD12:CD40" si="25">(CB12*CC12)/360</f>
        <v>0</v>
      </c>
      <c r="CG12" s="87">
        <f t="shared" ref="CG12:CG40" si="26">(CE12*CF12)/360</f>
        <v>0</v>
      </c>
      <c r="CJ12" s="87">
        <f t="shared" ref="CJ12:CJ40" si="27">(CH12*CI12)/360</f>
        <v>0</v>
      </c>
      <c r="CM12" s="87">
        <f t="shared" ref="CM12:CM40" si="28">(CK12*CL12)/360</f>
        <v>0</v>
      </c>
      <c r="CP12" s="87">
        <f t="shared" ref="CP12:CP40" si="29">(CN12*CO12)/360</f>
        <v>0</v>
      </c>
      <c r="CS12" s="87">
        <f t="shared" ref="CS12:CS40" si="30">(CQ12*CR12)/360</f>
        <v>0</v>
      </c>
      <c r="CV12" s="87">
        <f t="shared" ref="CV12:CV40" si="31">(CT12*CU12)/360</f>
        <v>0</v>
      </c>
      <c r="CY12" s="87">
        <f t="shared" ref="CY12:CY40" si="32">(CW12*CX12)/360</f>
        <v>0</v>
      </c>
      <c r="DB12" s="87">
        <f t="shared" ref="DB12:DB40" si="33">(CZ12*DA12)/360</f>
        <v>0</v>
      </c>
      <c r="DE12" s="87">
        <f t="shared" ref="DE12:DE40" si="34">(DC12*DD12)/360</f>
        <v>0</v>
      </c>
      <c r="DH12" s="87">
        <f t="shared" ref="DH12:DH40" si="35">(DF12*DG12)/360</f>
        <v>0</v>
      </c>
      <c r="DK12" s="87">
        <f t="shared" ref="DK12:DK40" si="36">(DI12*DJ12)/360</f>
        <v>0</v>
      </c>
      <c r="DN12" s="87">
        <f t="shared" ref="DN12:DN40" si="37">(DL12*DM12)/360</f>
        <v>0</v>
      </c>
      <c r="DQ12" s="87">
        <f t="shared" ref="DQ12:DQ40" si="38">(DO12*DP12)/360</f>
        <v>0</v>
      </c>
      <c r="DT12" s="87">
        <f t="shared" ref="DT12:DT40" si="39">(DR12*DS12)/360</f>
        <v>0</v>
      </c>
      <c r="DW12" s="87">
        <f t="shared" ref="DW12:DW40" si="40">(DU12*DV12)/360</f>
        <v>0</v>
      </c>
      <c r="DZ12" s="87"/>
      <c r="EA12" s="87"/>
      <c r="EB12" s="122">
        <f t="shared" ref="EB12:EB40" si="41">B12+E12+H12+K12+N12+Q12+T12+W12+Z12+AC12+AF12+AL12+AO12+AR12+AU12+AX12+BA12+BD12+BG12+DU12+AI12+DR12+DO12+DL12+DI12+DF12+DC12+CZ12+CW12+CT12+CQ12+CN12+CK12+CH12+CE12+CB12+BY12+BV12+BS12+BP12+BM12+BJ12</f>
        <v>231250000</v>
      </c>
      <c r="EC12" s="122">
        <f t="shared" ref="EC12:EC40" si="42">EB12-EK12+EL12</f>
        <v>8350000</v>
      </c>
      <c r="ED12" s="87">
        <f t="shared" ref="ED12:ED40" si="43">D12+G12+J12+M12+P12+S12+V12+Y12+AB12+AE12+AH12+AK12+AN12+AQ12+AT12+AW12+AZ12+BC12+BF12+BI12+DW12+DT12+DQ12+DN12+DK12+DH12+DE12+DB12+CY12+CV12+CS12+CP12+CM12+CJ12+CG12+CD12+CA12+BX12+BU12+BR12+BO12+BL12</f>
        <v>1464.4348333333332</v>
      </c>
      <c r="EE12" s="88">
        <f t="shared" ref="EE12:EE40" si="44">IF(EB12&lt;&gt;0,((ED12/EB12)*360),0)</f>
        <v>2.2797688216216216E-3</v>
      </c>
      <c r="EG12" s="122">
        <f t="shared" ref="EG12:EG40" si="45">Q12+T12+W12+Z12+AC12+AF12</f>
        <v>0</v>
      </c>
      <c r="EH12" s="87">
        <f t="shared" ref="EH12:EH40" si="46">S12+V12+Y12+AB12+AE12+AH12</f>
        <v>0</v>
      </c>
      <c r="EI12" s="88">
        <f t="shared" ref="EI12:EI40" si="47">IF(EG12&lt;&gt;0,((EH12/EG12)*360),0)</f>
        <v>0</v>
      </c>
      <c r="EJ12" s="88"/>
      <c r="EK12" s="122">
        <f t="shared" ref="EK12:EK40" si="48">DR12+DL12+DI12+DF12+DC12+CZ12+CW12+CT12+CQ12+CN12+CK12+CH12+CE12+CB12+BY12+BV12+BS12+BP12+BM12+BJ12+BG12+BD12+BA12+AX12+AU12+AR12+AO12+AL12+AI12+DO12</f>
        <v>222900000</v>
      </c>
      <c r="EL12" s="122">
        <f t="shared" ref="EL12:EL40" si="49">DX12</f>
        <v>0</v>
      </c>
      <c r="EM12" s="122">
        <f t="shared" ref="EM12:EM40" si="50">DT12+DQ12+DN12+DK12+DH12+DE12+DB12+CY12+CV12+CS12+CP12+CM12+CJ12+CG12+CD12+CA12+BX12+BU12+BR12+BO12+BL12+BI12+BF12+BC12+AZ12+AW12+AT12+AQ12+AN12+AK12</f>
        <v>1408.9444444444443</v>
      </c>
      <c r="EN12" s="88">
        <f t="shared" ref="EN12:EN40" si="51">IF(EK12&lt;&gt;0,((EM12/EK12)*360),0)</f>
        <v>2.2755495737999099E-3</v>
      </c>
      <c r="EP12" s="87"/>
    </row>
    <row r="13" spans="1:147" x14ac:dyDescent="0.25">
      <c r="A13" s="35">
        <f t="shared" ref="A13:A40" si="52">1+A12</f>
        <v>44289</v>
      </c>
      <c r="B13" s="87">
        <v>8350000</v>
      </c>
      <c r="C13" s="88">
        <v>2.3924000000000003E-3</v>
      </c>
      <c r="D13" s="87">
        <f t="shared" si="1"/>
        <v>55.490388888888894</v>
      </c>
      <c r="G13" s="87">
        <f t="shared" si="2"/>
        <v>0</v>
      </c>
      <c r="J13" s="87">
        <f t="shared" si="3"/>
        <v>0</v>
      </c>
      <c r="M13" s="87">
        <f t="shared" si="4"/>
        <v>0</v>
      </c>
      <c r="P13" s="87">
        <f t="shared" si="5"/>
        <v>0</v>
      </c>
      <c r="S13" s="87">
        <f t="shared" si="6"/>
        <v>0</v>
      </c>
      <c r="V13" s="87">
        <f t="shared" si="7"/>
        <v>0</v>
      </c>
      <c r="Y13" s="87">
        <f t="shared" si="8"/>
        <v>0</v>
      </c>
      <c r="AB13" s="87">
        <f t="shared" si="9"/>
        <v>0</v>
      </c>
      <c r="AE13" s="87">
        <v>0</v>
      </c>
      <c r="AH13" s="87">
        <v>0</v>
      </c>
      <c r="AI13" s="120">
        <f>62900000</f>
        <v>62900000</v>
      </c>
      <c r="AJ13" s="121">
        <v>1.8E-3</v>
      </c>
      <c r="AK13" s="87">
        <f t="shared" si="10"/>
        <v>314.5</v>
      </c>
      <c r="AL13" s="120">
        <f>20000000</f>
        <v>20000000</v>
      </c>
      <c r="AM13" s="121">
        <v>2.2000000000000001E-3</v>
      </c>
      <c r="AN13" s="87">
        <f t="shared" si="11"/>
        <v>122.22222222222223</v>
      </c>
      <c r="AO13" s="120">
        <f t="shared" si="0"/>
        <v>140000000</v>
      </c>
      <c r="AP13" s="121">
        <v>2.5000000000000001E-3</v>
      </c>
      <c r="AQ13" s="87">
        <f t="shared" si="12"/>
        <v>972.22222222222217</v>
      </c>
      <c r="AR13" s="120"/>
      <c r="AS13" s="121"/>
      <c r="AT13" s="87">
        <f t="shared" si="13"/>
        <v>0</v>
      </c>
      <c r="AW13" s="87">
        <f t="shared" si="14"/>
        <v>0</v>
      </c>
      <c r="AZ13" s="87">
        <f t="shared" si="15"/>
        <v>0</v>
      </c>
      <c r="BC13" s="87">
        <f t="shared" si="16"/>
        <v>0</v>
      </c>
      <c r="BF13" s="87">
        <f t="shared" si="17"/>
        <v>0</v>
      </c>
      <c r="BI13" s="87">
        <f t="shared" si="18"/>
        <v>0</v>
      </c>
      <c r="BL13" s="87">
        <f t="shared" si="19"/>
        <v>0</v>
      </c>
      <c r="BO13" s="87">
        <f t="shared" si="20"/>
        <v>0</v>
      </c>
      <c r="BR13" s="87">
        <f t="shared" si="21"/>
        <v>0</v>
      </c>
      <c r="BU13" s="87">
        <f t="shared" si="22"/>
        <v>0</v>
      </c>
      <c r="BX13" s="87">
        <f t="shared" si="23"/>
        <v>0</v>
      </c>
      <c r="CA13" s="87">
        <f t="shared" si="24"/>
        <v>0</v>
      </c>
      <c r="CD13" s="87">
        <f t="shared" si="25"/>
        <v>0</v>
      </c>
      <c r="CG13" s="87">
        <f t="shared" si="26"/>
        <v>0</v>
      </c>
      <c r="CJ13" s="87">
        <f t="shared" si="27"/>
        <v>0</v>
      </c>
      <c r="CM13" s="87">
        <f t="shared" si="28"/>
        <v>0</v>
      </c>
      <c r="CP13" s="87">
        <f t="shared" si="29"/>
        <v>0</v>
      </c>
      <c r="CS13" s="87">
        <f t="shared" si="30"/>
        <v>0</v>
      </c>
      <c r="CV13" s="87">
        <f t="shared" si="31"/>
        <v>0</v>
      </c>
      <c r="CY13" s="87">
        <f t="shared" si="32"/>
        <v>0</v>
      </c>
      <c r="DB13" s="87">
        <f t="shared" si="33"/>
        <v>0</v>
      </c>
      <c r="DE13" s="87">
        <f t="shared" si="34"/>
        <v>0</v>
      </c>
      <c r="DH13" s="87">
        <f t="shared" si="35"/>
        <v>0</v>
      </c>
      <c r="DK13" s="87">
        <f t="shared" si="36"/>
        <v>0</v>
      </c>
      <c r="DN13" s="87">
        <f t="shared" si="37"/>
        <v>0</v>
      </c>
      <c r="DQ13" s="87">
        <f t="shared" si="38"/>
        <v>0</v>
      </c>
      <c r="DT13" s="87">
        <f t="shared" si="39"/>
        <v>0</v>
      </c>
      <c r="DW13" s="87">
        <f t="shared" si="40"/>
        <v>0</v>
      </c>
      <c r="DZ13" s="87"/>
      <c r="EA13" s="87"/>
      <c r="EB13" s="122">
        <f t="shared" si="41"/>
        <v>231250000</v>
      </c>
      <c r="EC13" s="122">
        <f t="shared" si="42"/>
        <v>8350000</v>
      </c>
      <c r="ED13" s="87">
        <f t="shared" si="43"/>
        <v>1464.4348333333332</v>
      </c>
      <c r="EE13" s="88">
        <f t="shared" si="44"/>
        <v>2.2797688216216216E-3</v>
      </c>
      <c r="EG13" s="122">
        <f t="shared" si="45"/>
        <v>0</v>
      </c>
      <c r="EH13" s="87">
        <f t="shared" si="46"/>
        <v>0</v>
      </c>
      <c r="EI13" s="88">
        <f t="shared" si="47"/>
        <v>0</v>
      </c>
      <c r="EJ13" s="88"/>
      <c r="EK13" s="122">
        <f t="shared" si="48"/>
        <v>222900000</v>
      </c>
      <c r="EL13" s="122">
        <f t="shared" si="49"/>
        <v>0</v>
      </c>
      <c r="EM13" s="122">
        <f t="shared" si="50"/>
        <v>1408.9444444444443</v>
      </c>
      <c r="EN13" s="88">
        <f t="shared" si="51"/>
        <v>2.2755495737999099E-3</v>
      </c>
      <c r="EP13" s="87"/>
    </row>
    <row r="14" spans="1:147" x14ac:dyDescent="0.25">
      <c r="A14" s="35">
        <f t="shared" si="52"/>
        <v>44290</v>
      </c>
      <c r="B14" s="87">
        <v>8350000</v>
      </c>
      <c r="C14" s="88">
        <v>2.3924000000000003E-3</v>
      </c>
      <c r="D14" s="87">
        <f t="shared" si="1"/>
        <v>55.490388888888894</v>
      </c>
      <c r="G14" s="87">
        <f t="shared" si="2"/>
        <v>0</v>
      </c>
      <c r="J14" s="87">
        <f t="shared" si="3"/>
        <v>0</v>
      </c>
      <c r="M14" s="87">
        <f t="shared" si="4"/>
        <v>0</v>
      </c>
      <c r="P14" s="87">
        <f t="shared" si="5"/>
        <v>0</v>
      </c>
      <c r="S14" s="87">
        <f t="shared" si="6"/>
        <v>0</v>
      </c>
      <c r="V14" s="87">
        <f t="shared" si="7"/>
        <v>0</v>
      </c>
      <c r="Y14" s="87">
        <f t="shared" si="8"/>
        <v>0</v>
      </c>
      <c r="AB14" s="87">
        <f t="shared" si="9"/>
        <v>0</v>
      </c>
      <c r="AE14" s="87">
        <v>0</v>
      </c>
      <c r="AH14" s="87">
        <v>0</v>
      </c>
      <c r="AI14" s="120">
        <f>62900000</f>
        <v>62900000</v>
      </c>
      <c r="AJ14" s="121">
        <v>1.8E-3</v>
      </c>
      <c r="AK14" s="87">
        <f t="shared" si="10"/>
        <v>314.5</v>
      </c>
      <c r="AL14" s="120">
        <f>20000000</f>
        <v>20000000</v>
      </c>
      <c r="AM14" s="121">
        <v>2.2000000000000001E-3</v>
      </c>
      <c r="AN14" s="87">
        <f t="shared" si="11"/>
        <v>122.22222222222223</v>
      </c>
      <c r="AO14" s="120">
        <f t="shared" si="0"/>
        <v>140000000</v>
      </c>
      <c r="AP14" s="121">
        <v>2.5000000000000001E-3</v>
      </c>
      <c r="AQ14" s="87">
        <f t="shared" si="12"/>
        <v>972.22222222222217</v>
      </c>
      <c r="AR14" s="120"/>
      <c r="AS14" s="121"/>
      <c r="AT14" s="87">
        <f t="shared" si="13"/>
        <v>0</v>
      </c>
      <c r="AW14" s="87">
        <f t="shared" si="14"/>
        <v>0</v>
      </c>
      <c r="AZ14" s="87">
        <f t="shared" si="15"/>
        <v>0</v>
      </c>
      <c r="BC14" s="87">
        <f t="shared" si="16"/>
        <v>0</v>
      </c>
      <c r="BF14" s="87">
        <f t="shared" si="17"/>
        <v>0</v>
      </c>
      <c r="BI14" s="87">
        <f t="shared" si="18"/>
        <v>0</v>
      </c>
      <c r="BL14" s="87">
        <f t="shared" si="19"/>
        <v>0</v>
      </c>
      <c r="BO14" s="87">
        <f t="shared" si="20"/>
        <v>0</v>
      </c>
      <c r="BR14" s="87">
        <f t="shared" si="21"/>
        <v>0</v>
      </c>
      <c r="BU14" s="87">
        <f t="shared" si="22"/>
        <v>0</v>
      </c>
      <c r="BX14" s="87">
        <f t="shared" si="23"/>
        <v>0</v>
      </c>
      <c r="CA14" s="87">
        <f t="shared" si="24"/>
        <v>0</v>
      </c>
      <c r="CD14" s="87">
        <f t="shared" si="25"/>
        <v>0</v>
      </c>
      <c r="CG14" s="87">
        <f t="shared" si="26"/>
        <v>0</v>
      </c>
      <c r="CJ14" s="87">
        <f t="shared" si="27"/>
        <v>0</v>
      </c>
      <c r="CM14" s="87">
        <f t="shared" si="28"/>
        <v>0</v>
      </c>
      <c r="CP14" s="87">
        <f t="shared" si="29"/>
        <v>0</v>
      </c>
      <c r="CS14" s="87">
        <f t="shared" si="30"/>
        <v>0</v>
      </c>
      <c r="CV14" s="87">
        <f t="shared" si="31"/>
        <v>0</v>
      </c>
      <c r="CY14" s="87">
        <f t="shared" si="32"/>
        <v>0</v>
      </c>
      <c r="DB14" s="87">
        <f t="shared" si="33"/>
        <v>0</v>
      </c>
      <c r="DE14" s="87">
        <f t="shared" si="34"/>
        <v>0</v>
      </c>
      <c r="DH14" s="87">
        <f t="shared" si="35"/>
        <v>0</v>
      </c>
      <c r="DK14" s="87">
        <f t="shared" si="36"/>
        <v>0</v>
      </c>
      <c r="DN14" s="87">
        <f t="shared" si="37"/>
        <v>0</v>
      </c>
      <c r="DQ14" s="87">
        <f t="shared" si="38"/>
        <v>0</v>
      </c>
      <c r="DT14" s="87">
        <f t="shared" si="39"/>
        <v>0</v>
      </c>
      <c r="DW14" s="87">
        <f t="shared" si="40"/>
        <v>0</v>
      </c>
      <c r="DZ14" s="87"/>
      <c r="EA14" s="87"/>
      <c r="EB14" s="122">
        <f t="shared" si="41"/>
        <v>231250000</v>
      </c>
      <c r="EC14" s="122">
        <f t="shared" si="42"/>
        <v>8350000</v>
      </c>
      <c r="ED14" s="87">
        <f t="shared" si="43"/>
        <v>1464.4348333333332</v>
      </c>
      <c r="EE14" s="88">
        <f t="shared" si="44"/>
        <v>2.2797688216216216E-3</v>
      </c>
      <c r="EG14" s="122">
        <f t="shared" si="45"/>
        <v>0</v>
      </c>
      <c r="EH14" s="87">
        <f t="shared" si="46"/>
        <v>0</v>
      </c>
      <c r="EI14" s="88">
        <f t="shared" si="47"/>
        <v>0</v>
      </c>
      <c r="EJ14" s="88"/>
      <c r="EK14" s="122">
        <f t="shared" si="48"/>
        <v>222900000</v>
      </c>
      <c r="EL14" s="122">
        <f t="shared" si="49"/>
        <v>0</v>
      </c>
      <c r="EM14" s="122">
        <f t="shared" si="50"/>
        <v>1408.9444444444443</v>
      </c>
      <c r="EN14" s="88">
        <f t="shared" si="51"/>
        <v>2.2755495737999099E-3</v>
      </c>
      <c r="EP14" s="87"/>
    </row>
    <row r="15" spans="1:147" x14ac:dyDescent="0.25">
      <c r="A15" s="35">
        <f t="shared" si="52"/>
        <v>44291</v>
      </c>
      <c r="B15" s="87">
        <v>0</v>
      </c>
      <c r="D15" s="87">
        <f t="shared" si="1"/>
        <v>0</v>
      </c>
      <c r="G15" s="87">
        <f t="shared" si="2"/>
        <v>0</v>
      </c>
      <c r="J15" s="87">
        <f t="shared" si="3"/>
        <v>0</v>
      </c>
      <c r="M15" s="87">
        <f t="shared" si="4"/>
        <v>0</v>
      </c>
      <c r="P15" s="87">
        <f t="shared" si="5"/>
        <v>0</v>
      </c>
      <c r="S15" s="87">
        <f t="shared" si="6"/>
        <v>0</v>
      </c>
      <c r="V15" s="87">
        <f t="shared" si="7"/>
        <v>0</v>
      </c>
      <c r="Y15" s="87">
        <f t="shared" si="8"/>
        <v>0</v>
      </c>
      <c r="AB15" s="87">
        <f t="shared" si="9"/>
        <v>0</v>
      </c>
      <c r="AE15" s="87">
        <v>0</v>
      </c>
      <c r="AH15" s="87">
        <v>0</v>
      </c>
      <c r="AI15" s="120">
        <f>89675000</f>
        <v>89675000</v>
      </c>
      <c r="AJ15" s="121">
        <v>1.8E-3</v>
      </c>
      <c r="AK15" s="87">
        <f t="shared" si="10"/>
        <v>448.375</v>
      </c>
      <c r="AL15" s="120"/>
      <c r="AM15" s="121"/>
      <c r="AN15" s="87">
        <f t="shared" si="11"/>
        <v>0</v>
      </c>
      <c r="AO15" s="120">
        <f t="shared" si="0"/>
        <v>140000000</v>
      </c>
      <c r="AP15" s="121">
        <v>2.5000000000000001E-3</v>
      </c>
      <c r="AQ15" s="87">
        <f t="shared" si="12"/>
        <v>972.22222222222217</v>
      </c>
      <c r="AR15" s="120"/>
      <c r="AS15" s="121"/>
      <c r="AT15" s="87">
        <f t="shared" si="13"/>
        <v>0</v>
      </c>
      <c r="AW15" s="87">
        <f t="shared" si="14"/>
        <v>0</v>
      </c>
      <c r="AZ15" s="87">
        <f t="shared" si="15"/>
        <v>0</v>
      </c>
      <c r="BC15" s="87">
        <f t="shared" si="16"/>
        <v>0</v>
      </c>
      <c r="BF15" s="87">
        <f t="shared" si="17"/>
        <v>0</v>
      </c>
      <c r="BI15" s="87">
        <f t="shared" si="18"/>
        <v>0</v>
      </c>
      <c r="BL15" s="87">
        <f t="shared" si="19"/>
        <v>0</v>
      </c>
      <c r="BO15" s="87">
        <f t="shared" si="20"/>
        <v>0</v>
      </c>
      <c r="BR15" s="87">
        <f t="shared" si="21"/>
        <v>0</v>
      </c>
      <c r="BU15" s="87">
        <f t="shared" si="22"/>
        <v>0</v>
      </c>
      <c r="BX15" s="87">
        <f t="shared" si="23"/>
        <v>0</v>
      </c>
      <c r="CA15" s="87">
        <f t="shared" si="24"/>
        <v>0</v>
      </c>
      <c r="CD15" s="87">
        <f t="shared" si="25"/>
        <v>0</v>
      </c>
      <c r="CG15" s="87">
        <f t="shared" si="26"/>
        <v>0</v>
      </c>
      <c r="CJ15" s="87">
        <f t="shared" si="27"/>
        <v>0</v>
      </c>
      <c r="CM15" s="87">
        <f t="shared" si="28"/>
        <v>0</v>
      </c>
      <c r="CP15" s="87">
        <f t="shared" si="29"/>
        <v>0</v>
      </c>
      <c r="CS15" s="87">
        <f t="shared" si="30"/>
        <v>0</v>
      </c>
      <c r="CV15" s="87">
        <f t="shared" si="31"/>
        <v>0</v>
      </c>
      <c r="CY15" s="87">
        <f t="shared" si="32"/>
        <v>0</v>
      </c>
      <c r="DB15" s="87">
        <f t="shared" si="33"/>
        <v>0</v>
      </c>
      <c r="DE15" s="87">
        <f t="shared" si="34"/>
        <v>0</v>
      </c>
      <c r="DH15" s="87">
        <f t="shared" si="35"/>
        <v>0</v>
      </c>
      <c r="DK15" s="87">
        <f t="shared" si="36"/>
        <v>0</v>
      </c>
      <c r="DN15" s="87">
        <f t="shared" si="37"/>
        <v>0</v>
      </c>
      <c r="DQ15" s="87">
        <f t="shared" si="38"/>
        <v>0</v>
      </c>
      <c r="DT15" s="87">
        <f t="shared" si="39"/>
        <v>0</v>
      </c>
      <c r="DW15" s="87">
        <f t="shared" si="40"/>
        <v>0</v>
      </c>
      <c r="DZ15" s="87"/>
      <c r="EA15" s="87"/>
      <c r="EB15" s="122">
        <f t="shared" si="41"/>
        <v>229675000</v>
      </c>
      <c r="EC15" s="122">
        <f t="shared" si="42"/>
        <v>0</v>
      </c>
      <c r="ED15" s="87">
        <f t="shared" si="43"/>
        <v>1420.5972222222222</v>
      </c>
      <c r="EE15" s="88">
        <f t="shared" si="44"/>
        <v>2.226689887885055E-3</v>
      </c>
      <c r="EG15" s="122">
        <f t="shared" si="45"/>
        <v>0</v>
      </c>
      <c r="EH15" s="87">
        <f t="shared" si="46"/>
        <v>0</v>
      </c>
      <c r="EI15" s="88">
        <f t="shared" si="47"/>
        <v>0</v>
      </c>
      <c r="EJ15" s="88"/>
      <c r="EK15" s="122">
        <f t="shared" si="48"/>
        <v>229675000</v>
      </c>
      <c r="EL15" s="122">
        <f t="shared" si="49"/>
        <v>0</v>
      </c>
      <c r="EM15" s="122">
        <f t="shared" si="50"/>
        <v>1420.5972222222222</v>
      </c>
      <c r="EN15" s="88">
        <f t="shared" si="51"/>
        <v>2.226689887885055E-3</v>
      </c>
      <c r="EP15" s="87"/>
    </row>
    <row r="16" spans="1:147" x14ac:dyDescent="0.25">
      <c r="A16" s="35">
        <f t="shared" si="52"/>
        <v>44292</v>
      </c>
      <c r="B16" s="87">
        <v>0</v>
      </c>
      <c r="D16" s="87">
        <f t="shared" si="1"/>
        <v>0</v>
      </c>
      <c r="G16" s="87">
        <f t="shared" si="2"/>
        <v>0</v>
      </c>
      <c r="J16" s="87">
        <f t="shared" si="3"/>
        <v>0</v>
      </c>
      <c r="M16" s="87">
        <f t="shared" si="4"/>
        <v>0</v>
      </c>
      <c r="P16" s="87">
        <f t="shared" si="5"/>
        <v>0</v>
      </c>
      <c r="S16" s="87">
        <f t="shared" si="6"/>
        <v>0</v>
      </c>
      <c r="V16" s="87">
        <f t="shared" si="7"/>
        <v>0</v>
      </c>
      <c r="Y16" s="87">
        <f t="shared" si="8"/>
        <v>0</v>
      </c>
      <c r="AB16" s="87">
        <f t="shared" si="9"/>
        <v>0</v>
      </c>
      <c r="AE16" s="87">
        <v>0</v>
      </c>
      <c r="AH16" s="87">
        <v>0</v>
      </c>
      <c r="AI16" s="120">
        <f>78200000</f>
        <v>78200000</v>
      </c>
      <c r="AJ16" s="121">
        <v>1.8E-3</v>
      </c>
      <c r="AK16" s="87">
        <f t="shared" si="10"/>
        <v>391</v>
      </c>
      <c r="AL16" s="120"/>
      <c r="AM16" s="121"/>
      <c r="AN16" s="87">
        <f t="shared" si="11"/>
        <v>0</v>
      </c>
      <c r="AO16" s="120">
        <f t="shared" si="0"/>
        <v>140000000</v>
      </c>
      <c r="AP16" s="121">
        <v>2.5000000000000001E-3</v>
      </c>
      <c r="AQ16" s="87">
        <f t="shared" si="12"/>
        <v>972.22222222222217</v>
      </c>
      <c r="AR16" s="120"/>
      <c r="AS16" s="121"/>
      <c r="AT16" s="87">
        <f t="shared" si="13"/>
        <v>0</v>
      </c>
      <c r="AW16" s="87">
        <f t="shared" si="14"/>
        <v>0</v>
      </c>
      <c r="AZ16" s="87">
        <f t="shared" si="15"/>
        <v>0</v>
      </c>
      <c r="BC16" s="87">
        <f t="shared" si="16"/>
        <v>0</v>
      </c>
      <c r="BF16" s="87">
        <f t="shared" si="17"/>
        <v>0</v>
      </c>
      <c r="BI16" s="87">
        <f t="shared" si="18"/>
        <v>0</v>
      </c>
      <c r="BL16" s="87">
        <f t="shared" si="19"/>
        <v>0</v>
      </c>
      <c r="BO16" s="87">
        <f t="shared" si="20"/>
        <v>0</v>
      </c>
      <c r="BR16" s="87">
        <f t="shared" si="21"/>
        <v>0</v>
      </c>
      <c r="BU16" s="87">
        <f t="shared" si="22"/>
        <v>0</v>
      </c>
      <c r="BX16" s="87">
        <f t="shared" si="23"/>
        <v>0</v>
      </c>
      <c r="CA16" s="87">
        <f t="shared" si="24"/>
        <v>0</v>
      </c>
      <c r="CD16" s="87">
        <f t="shared" si="25"/>
        <v>0</v>
      </c>
      <c r="CG16" s="87">
        <f t="shared" si="26"/>
        <v>0</v>
      </c>
      <c r="CJ16" s="87">
        <f t="shared" si="27"/>
        <v>0</v>
      </c>
      <c r="CM16" s="87">
        <f t="shared" si="28"/>
        <v>0</v>
      </c>
      <c r="CP16" s="87">
        <f t="shared" si="29"/>
        <v>0</v>
      </c>
      <c r="CS16" s="87">
        <f t="shared" si="30"/>
        <v>0</v>
      </c>
      <c r="CV16" s="87">
        <f t="shared" si="31"/>
        <v>0</v>
      </c>
      <c r="CY16" s="87">
        <f t="shared" si="32"/>
        <v>0</v>
      </c>
      <c r="DB16" s="87">
        <f t="shared" si="33"/>
        <v>0</v>
      </c>
      <c r="DE16" s="87">
        <f t="shared" si="34"/>
        <v>0</v>
      </c>
      <c r="DH16" s="87">
        <f t="shared" si="35"/>
        <v>0</v>
      </c>
      <c r="DK16" s="87">
        <f t="shared" si="36"/>
        <v>0</v>
      </c>
      <c r="DN16" s="87">
        <f t="shared" si="37"/>
        <v>0</v>
      </c>
      <c r="DQ16" s="87">
        <f t="shared" si="38"/>
        <v>0</v>
      </c>
      <c r="DT16" s="87">
        <f t="shared" si="39"/>
        <v>0</v>
      </c>
      <c r="DW16" s="87">
        <f t="shared" si="40"/>
        <v>0</v>
      </c>
      <c r="DZ16" s="87"/>
      <c r="EA16" s="87"/>
      <c r="EB16" s="122">
        <f t="shared" si="41"/>
        <v>218200000</v>
      </c>
      <c r="EC16" s="122">
        <f t="shared" si="42"/>
        <v>0</v>
      </c>
      <c r="ED16" s="87">
        <f t="shared" si="43"/>
        <v>1363.2222222222222</v>
      </c>
      <c r="EE16" s="88">
        <f t="shared" si="44"/>
        <v>2.249129239230064E-3</v>
      </c>
      <c r="EG16" s="122">
        <f t="shared" si="45"/>
        <v>0</v>
      </c>
      <c r="EH16" s="87">
        <f t="shared" si="46"/>
        <v>0</v>
      </c>
      <c r="EI16" s="88">
        <f t="shared" si="47"/>
        <v>0</v>
      </c>
      <c r="EJ16" s="88"/>
      <c r="EK16" s="122">
        <f t="shared" si="48"/>
        <v>218200000</v>
      </c>
      <c r="EL16" s="122">
        <f t="shared" si="49"/>
        <v>0</v>
      </c>
      <c r="EM16" s="122">
        <f t="shared" si="50"/>
        <v>1363.2222222222222</v>
      </c>
      <c r="EN16" s="88">
        <f t="shared" si="51"/>
        <v>2.249129239230064E-3</v>
      </c>
      <c r="EP16" s="87"/>
    </row>
    <row r="17" spans="1:147" x14ac:dyDescent="0.25">
      <c r="A17" s="35">
        <f t="shared" si="52"/>
        <v>44293</v>
      </c>
      <c r="B17" s="87">
        <v>0</v>
      </c>
      <c r="D17" s="87">
        <f t="shared" si="1"/>
        <v>0</v>
      </c>
      <c r="G17" s="87">
        <f t="shared" si="2"/>
        <v>0</v>
      </c>
      <c r="J17" s="87">
        <f t="shared" si="3"/>
        <v>0</v>
      </c>
      <c r="M17" s="87">
        <f t="shared" si="4"/>
        <v>0</v>
      </c>
      <c r="P17" s="87">
        <f t="shared" si="5"/>
        <v>0</v>
      </c>
      <c r="S17" s="87">
        <f t="shared" si="6"/>
        <v>0</v>
      </c>
      <c r="V17" s="87">
        <f t="shared" si="7"/>
        <v>0</v>
      </c>
      <c r="Y17" s="87">
        <f t="shared" si="8"/>
        <v>0</v>
      </c>
      <c r="AB17" s="87">
        <f t="shared" si="9"/>
        <v>0</v>
      </c>
      <c r="AE17" s="87">
        <v>0</v>
      </c>
      <c r="AH17" s="87">
        <v>0</v>
      </c>
      <c r="AI17" s="120">
        <f>73000000</f>
        <v>73000000</v>
      </c>
      <c r="AJ17" s="121">
        <v>1.8E-3</v>
      </c>
      <c r="AK17" s="87">
        <f t="shared" si="10"/>
        <v>365</v>
      </c>
      <c r="AL17" s="120"/>
      <c r="AM17" s="121"/>
      <c r="AN17" s="87">
        <f t="shared" si="11"/>
        <v>0</v>
      </c>
      <c r="AO17" s="120">
        <f t="shared" si="0"/>
        <v>140000000</v>
      </c>
      <c r="AP17" s="121">
        <v>2.5000000000000001E-3</v>
      </c>
      <c r="AQ17" s="87">
        <f t="shared" si="12"/>
        <v>972.22222222222217</v>
      </c>
      <c r="AR17" s="120"/>
      <c r="AS17" s="121"/>
      <c r="AT17" s="87">
        <f t="shared" si="13"/>
        <v>0</v>
      </c>
      <c r="AW17" s="87">
        <f t="shared" si="14"/>
        <v>0</v>
      </c>
      <c r="AZ17" s="87">
        <f t="shared" si="15"/>
        <v>0</v>
      </c>
      <c r="BC17" s="87">
        <f t="shared" si="16"/>
        <v>0</v>
      </c>
      <c r="BF17" s="87">
        <f t="shared" si="17"/>
        <v>0</v>
      </c>
      <c r="BI17" s="87">
        <f t="shared" si="18"/>
        <v>0</v>
      </c>
      <c r="BL17" s="87">
        <f t="shared" si="19"/>
        <v>0</v>
      </c>
      <c r="BO17" s="87">
        <f t="shared" si="20"/>
        <v>0</v>
      </c>
      <c r="BR17" s="87">
        <f t="shared" si="21"/>
        <v>0</v>
      </c>
      <c r="BU17" s="87">
        <f t="shared" si="22"/>
        <v>0</v>
      </c>
      <c r="BX17" s="87">
        <f t="shared" si="23"/>
        <v>0</v>
      </c>
      <c r="CA17" s="87">
        <f t="shared" si="24"/>
        <v>0</v>
      </c>
      <c r="CD17" s="87">
        <f t="shared" si="25"/>
        <v>0</v>
      </c>
      <c r="CG17" s="87">
        <f t="shared" si="26"/>
        <v>0</v>
      </c>
      <c r="CJ17" s="87">
        <f t="shared" si="27"/>
        <v>0</v>
      </c>
      <c r="CM17" s="87">
        <f t="shared" si="28"/>
        <v>0</v>
      </c>
      <c r="CP17" s="87">
        <f t="shared" si="29"/>
        <v>0</v>
      </c>
      <c r="CS17" s="87">
        <f t="shared" si="30"/>
        <v>0</v>
      </c>
      <c r="CV17" s="87">
        <f t="shared" si="31"/>
        <v>0</v>
      </c>
      <c r="CY17" s="87">
        <f t="shared" si="32"/>
        <v>0</v>
      </c>
      <c r="DB17" s="87">
        <f t="shared" si="33"/>
        <v>0</v>
      </c>
      <c r="DE17" s="87">
        <f t="shared" si="34"/>
        <v>0</v>
      </c>
      <c r="DH17" s="87">
        <f t="shared" si="35"/>
        <v>0</v>
      </c>
      <c r="DK17" s="87">
        <f t="shared" si="36"/>
        <v>0</v>
      </c>
      <c r="DN17" s="87">
        <f t="shared" si="37"/>
        <v>0</v>
      </c>
      <c r="DQ17" s="87">
        <f t="shared" si="38"/>
        <v>0</v>
      </c>
      <c r="DT17" s="87">
        <f t="shared" si="39"/>
        <v>0</v>
      </c>
      <c r="DW17" s="87">
        <f t="shared" si="40"/>
        <v>0</v>
      </c>
      <c r="DZ17" s="87"/>
      <c r="EA17" s="87"/>
      <c r="EB17" s="122">
        <f t="shared" si="41"/>
        <v>213000000</v>
      </c>
      <c r="EC17" s="122">
        <f t="shared" si="42"/>
        <v>0</v>
      </c>
      <c r="ED17" s="87">
        <f t="shared" si="43"/>
        <v>1337.2222222222222</v>
      </c>
      <c r="EE17" s="88">
        <f t="shared" si="44"/>
        <v>2.2600938967136152E-3</v>
      </c>
      <c r="EG17" s="122">
        <f t="shared" si="45"/>
        <v>0</v>
      </c>
      <c r="EH17" s="87">
        <f t="shared" si="46"/>
        <v>0</v>
      </c>
      <c r="EI17" s="88">
        <f t="shared" si="47"/>
        <v>0</v>
      </c>
      <c r="EJ17" s="88"/>
      <c r="EK17" s="122">
        <f t="shared" si="48"/>
        <v>213000000</v>
      </c>
      <c r="EL17" s="122">
        <f t="shared" si="49"/>
        <v>0</v>
      </c>
      <c r="EM17" s="122">
        <f t="shared" si="50"/>
        <v>1337.2222222222222</v>
      </c>
      <c r="EN17" s="88">
        <f t="shared" si="51"/>
        <v>2.2600938967136152E-3</v>
      </c>
      <c r="EP17" s="87"/>
    </row>
    <row r="18" spans="1:147" x14ac:dyDescent="0.25">
      <c r="A18" s="35">
        <f t="shared" si="52"/>
        <v>44294</v>
      </c>
      <c r="B18" s="87">
        <v>0</v>
      </c>
      <c r="D18" s="87">
        <f t="shared" si="1"/>
        <v>0</v>
      </c>
      <c r="G18" s="87">
        <f t="shared" si="2"/>
        <v>0</v>
      </c>
      <c r="J18" s="87">
        <f t="shared" si="3"/>
        <v>0</v>
      </c>
      <c r="M18" s="87">
        <f t="shared" si="4"/>
        <v>0</v>
      </c>
      <c r="P18" s="87">
        <f t="shared" si="5"/>
        <v>0</v>
      </c>
      <c r="S18" s="87">
        <f t="shared" si="6"/>
        <v>0</v>
      </c>
      <c r="V18" s="87">
        <f t="shared" si="7"/>
        <v>0</v>
      </c>
      <c r="Y18" s="87">
        <f t="shared" si="8"/>
        <v>0</v>
      </c>
      <c r="AB18" s="87">
        <f t="shared" si="9"/>
        <v>0</v>
      </c>
      <c r="AE18" s="87">
        <v>0</v>
      </c>
      <c r="AH18" s="87">
        <v>0</v>
      </c>
      <c r="AI18" s="120">
        <f>72425000</f>
        <v>72425000</v>
      </c>
      <c r="AJ18" s="121">
        <v>1.8E-3</v>
      </c>
      <c r="AK18" s="87">
        <f t="shared" si="10"/>
        <v>362.125</v>
      </c>
      <c r="AL18" s="120"/>
      <c r="AM18" s="121"/>
      <c r="AN18" s="87">
        <f t="shared" si="11"/>
        <v>0</v>
      </c>
      <c r="AO18" s="120">
        <f t="shared" si="0"/>
        <v>140000000</v>
      </c>
      <c r="AP18" s="121">
        <v>2.5000000000000001E-3</v>
      </c>
      <c r="AQ18" s="87">
        <f t="shared" si="12"/>
        <v>972.22222222222217</v>
      </c>
      <c r="AR18" s="120"/>
      <c r="AS18" s="121"/>
      <c r="AT18" s="87">
        <f t="shared" si="13"/>
        <v>0</v>
      </c>
      <c r="AW18" s="87">
        <f t="shared" si="14"/>
        <v>0</v>
      </c>
      <c r="AZ18" s="87">
        <f t="shared" si="15"/>
        <v>0</v>
      </c>
      <c r="BC18" s="87">
        <f t="shared" si="16"/>
        <v>0</v>
      </c>
      <c r="BF18" s="87">
        <f t="shared" si="17"/>
        <v>0</v>
      </c>
      <c r="BI18" s="87">
        <f t="shared" si="18"/>
        <v>0</v>
      </c>
      <c r="BL18" s="87">
        <f t="shared" si="19"/>
        <v>0</v>
      </c>
      <c r="BO18" s="87">
        <f t="shared" si="20"/>
        <v>0</v>
      </c>
      <c r="BR18" s="87">
        <f t="shared" si="21"/>
        <v>0</v>
      </c>
      <c r="BU18" s="87">
        <f t="shared" si="22"/>
        <v>0</v>
      </c>
      <c r="BX18" s="87">
        <f t="shared" si="23"/>
        <v>0</v>
      </c>
      <c r="CA18" s="87">
        <f t="shared" si="24"/>
        <v>0</v>
      </c>
      <c r="CD18" s="87">
        <f t="shared" si="25"/>
        <v>0</v>
      </c>
      <c r="CG18" s="87">
        <f t="shared" si="26"/>
        <v>0</v>
      </c>
      <c r="CJ18" s="87">
        <f t="shared" si="27"/>
        <v>0</v>
      </c>
      <c r="CM18" s="87">
        <f t="shared" si="28"/>
        <v>0</v>
      </c>
      <c r="CP18" s="87">
        <f t="shared" si="29"/>
        <v>0</v>
      </c>
      <c r="CS18" s="87">
        <f t="shared" si="30"/>
        <v>0</v>
      </c>
      <c r="CV18" s="87">
        <f t="shared" si="31"/>
        <v>0</v>
      </c>
      <c r="CY18" s="87">
        <f t="shared" si="32"/>
        <v>0</v>
      </c>
      <c r="DB18" s="87">
        <f t="shared" si="33"/>
        <v>0</v>
      </c>
      <c r="DE18" s="87">
        <f t="shared" si="34"/>
        <v>0</v>
      </c>
      <c r="DH18" s="87">
        <f t="shared" si="35"/>
        <v>0</v>
      </c>
      <c r="DK18" s="87">
        <f t="shared" si="36"/>
        <v>0</v>
      </c>
      <c r="DN18" s="87">
        <f t="shared" si="37"/>
        <v>0</v>
      </c>
      <c r="DQ18" s="87">
        <f t="shared" si="38"/>
        <v>0</v>
      </c>
      <c r="DT18" s="87">
        <f t="shared" si="39"/>
        <v>0</v>
      </c>
      <c r="DW18" s="87">
        <f t="shared" si="40"/>
        <v>0</v>
      </c>
      <c r="DZ18" s="87"/>
      <c r="EA18" s="87"/>
      <c r="EB18" s="122">
        <f t="shared" si="41"/>
        <v>212425000</v>
      </c>
      <c r="EC18" s="122">
        <f t="shared" si="42"/>
        <v>0</v>
      </c>
      <c r="ED18" s="87">
        <f t="shared" si="43"/>
        <v>1334.3472222222222</v>
      </c>
      <c r="EE18" s="88">
        <f t="shared" si="44"/>
        <v>2.2613392962221963E-3</v>
      </c>
      <c r="EG18" s="122">
        <f t="shared" si="45"/>
        <v>0</v>
      </c>
      <c r="EH18" s="87">
        <f t="shared" si="46"/>
        <v>0</v>
      </c>
      <c r="EI18" s="88">
        <f t="shared" si="47"/>
        <v>0</v>
      </c>
      <c r="EJ18" s="88"/>
      <c r="EK18" s="122">
        <f t="shared" si="48"/>
        <v>212425000</v>
      </c>
      <c r="EL18" s="122">
        <f t="shared" si="49"/>
        <v>0</v>
      </c>
      <c r="EM18" s="122">
        <f t="shared" si="50"/>
        <v>1334.3472222222222</v>
      </c>
      <c r="EN18" s="88">
        <f t="shared" si="51"/>
        <v>2.2613392962221963E-3</v>
      </c>
      <c r="EP18" s="87"/>
    </row>
    <row r="19" spans="1:147" x14ac:dyDescent="0.25">
      <c r="A19" s="35">
        <f t="shared" si="52"/>
        <v>44295</v>
      </c>
      <c r="B19" s="87">
        <v>0</v>
      </c>
      <c r="D19" s="87">
        <f t="shared" si="1"/>
        <v>0</v>
      </c>
      <c r="G19" s="87">
        <f t="shared" si="2"/>
        <v>0</v>
      </c>
      <c r="J19" s="87">
        <f t="shared" si="3"/>
        <v>0</v>
      </c>
      <c r="M19" s="87">
        <f t="shared" si="4"/>
        <v>0</v>
      </c>
      <c r="P19" s="87">
        <f t="shared" si="5"/>
        <v>0</v>
      </c>
      <c r="S19" s="87">
        <f t="shared" si="6"/>
        <v>0</v>
      </c>
      <c r="V19" s="87">
        <f t="shared" si="7"/>
        <v>0</v>
      </c>
      <c r="Y19" s="87">
        <f t="shared" si="8"/>
        <v>0</v>
      </c>
      <c r="AB19" s="87">
        <f t="shared" si="9"/>
        <v>0</v>
      </c>
      <c r="AE19" s="87">
        <v>0</v>
      </c>
      <c r="AH19" s="87">
        <v>0</v>
      </c>
      <c r="AI19" s="120">
        <f>70950000</f>
        <v>70950000</v>
      </c>
      <c r="AJ19" s="121">
        <v>1.8E-3</v>
      </c>
      <c r="AK19" s="87">
        <f t="shared" si="10"/>
        <v>354.75</v>
      </c>
      <c r="AL19" s="120"/>
      <c r="AM19" s="121"/>
      <c r="AN19" s="87">
        <f t="shared" si="11"/>
        <v>0</v>
      </c>
      <c r="AO19" s="120">
        <f t="shared" si="0"/>
        <v>140000000</v>
      </c>
      <c r="AP19" s="121">
        <v>2.5000000000000001E-3</v>
      </c>
      <c r="AQ19" s="87">
        <f t="shared" si="12"/>
        <v>972.22222222222217</v>
      </c>
      <c r="AR19" s="120"/>
      <c r="AS19" s="121"/>
      <c r="AT19" s="87">
        <f t="shared" si="13"/>
        <v>0</v>
      </c>
      <c r="AW19" s="87">
        <f t="shared" si="14"/>
        <v>0</v>
      </c>
      <c r="AZ19" s="87">
        <f t="shared" si="15"/>
        <v>0</v>
      </c>
      <c r="BC19" s="87">
        <f t="shared" si="16"/>
        <v>0</v>
      </c>
      <c r="BF19" s="87">
        <f t="shared" si="17"/>
        <v>0</v>
      </c>
      <c r="BI19" s="87">
        <f t="shared" si="18"/>
        <v>0</v>
      </c>
      <c r="BL19" s="87">
        <f t="shared" si="19"/>
        <v>0</v>
      </c>
      <c r="BO19" s="87">
        <f t="shared" si="20"/>
        <v>0</v>
      </c>
      <c r="BR19" s="87">
        <f t="shared" si="21"/>
        <v>0</v>
      </c>
      <c r="BU19" s="87">
        <f t="shared" si="22"/>
        <v>0</v>
      </c>
      <c r="BX19" s="87">
        <f t="shared" si="23"/>
        <v>0</v>
      </c>
      <c r="CA19" s="87">
        <f t="shared" si="24"/>
        <v>0</v>
      </c>
      <c r="CD19" s="87">
        <f t="shared" si="25"/>
        <v>0</v>
      </c>
      <c r="CG19" s="87">
        <f t="shared" si="26"/>
        <v>0</v>
      </c>
      <c r="CJ19" s="87">
        <f t="shared" si="27"/>
        <v>0</v>
      </c>
      <c r="CM19" s="87">
        <f t="shared" si="28"/>
        <v>0</v>
      </c>
      <c r="CP19" s="87">
        <f t="shared" si="29"/>
        <v>0</v>
      </c>
      <c r="CS19" s="87">
        <f t="shared" si="30"/>
        <v>0</v>
      </c>
      <c r="CV19" s="87">
        <f t="shared" si="31"/>
        <v>0</v>
      </c>
      <c r="CY19" s="87">
        <f t="shared" si="32"/>
        <v>0</v>
      </c>
      <c r="DB19" s="87">
        <f t="shared" si="33"/>
        <v>0</v>
      </c>
      <c r="DE19" s="87">
        <f t="shared" si="34"/>
        <v>0</v>
      </c>
      <c r="DH19" s="87">
        <f t="shared" si="35"/>
        <v>0</v>
      </c>
      <c r="DK19" s="87">
        <f t="shared" si="36"/>
        <v>0</v>
      </c>
      <c r="DN19" s="87">
        <f t="shared" si="37"/>
        <v>0</v>
      </c>
      <c r="DQ19" s="87">
        <f t="shared" si="38"/>
        <v>0</v>
      </c>
      <c r="DT19" s="87">
        <f t="shared" si="39"/>
        <v>0</v>
      </c>
      <c r="DW19" s="87">
        <f t="shared" si="40"/>
        <v>0</v>
      </c>
      <c r="DZ19" s="87"/>
      <c r="EA19" s="87"/>
      <c r="EB19" s="122">
        <f t="shared" si="41"/>
        <v>210950000</v>
      </c>
      <c r="EC19" s="122">
        <f t="shared" si="42"/>
        <v>0</v>
      </c>
      <c r="ED19" s="87">
        <f t="shared" si="43"/>
        <v>1326.9722222222222</v>
      </c>
      <c r="EE19" s="88">
        <f t="shared" si="44"/>
        <v>2.2645650628110928E-3</v>
      </c>
      <c r="EG19" s="122">
        <f t="shared" si="45"/>
        <v>0</v>
      </c>
      <c r="EH19" s="87">
        <f t="shared" si="46"/>
        <v>0</v>
      </c>
      <c r="EI19" s="88">
        <f t="shared" si="47"/>
        <v>0</v>
      </c>
      <c r="EJ19" s="88"/>
      <c r="EK19" s="122">
        <f t="shared" si="48"/>
        <v>210950000</v>
      </c>
      <c r="EL19" s="122">
        <f t="shared" si="49"/>
        <v>0</v>
      </c>
      <c r="EM19" s="122">
        <f t="shared" si="50"/>
        <v>1326.9722222222222</v>
      </c>
      <c r="EN19" s="88">
        <f t="shared" si="51"/>
        <v>2.2645650628110928E-3</v>
      </c>
      <c r="EP19" s="87"/>
    </row>
    <row r="20" spans="1:147" x14ac:dyDescent="0.25">
      <c r="A20" s="35">
        <f t="shared" si="52"/>
        <v>44296</v>
      </c>
      <c r="B20" s="87">
        <v>0</v>
      </c>
      <c r="D20" s="87">
        <f t="shared" si="1"/>
        <v>0</v>
      </c>
      <c r="G20" s="87">
        <f t="shared" si="2"/>
        <v>0</v>
      </c>
      <c r="J20" s="87">
        <f t="shared" si="3"/>
        <v>0</v>
      </c>
      <c r="M20" s="87">
        <f t="shared" si="4"/>
        <v>0</v>
      </c>
      <c r="P20" s="87">
        <f t="shared" si="5"/>
        <v>0</v>
      </c>
      <c r="S20" s="87">
        <f t="shared" si="6"/>
        <v>0</v>
      </c>
      <c r="V20" s="87">
        <f t="shared" si="7"/>
        <v>0</v>
      </c>
      <c r="Y20" s="87">
        <f t="shared" si="8"/>
        <v>0</v>
      </c>
      <c r="AB20" s="87">
        <f t="shared" si="9"/>
        <v>0</v>
      </c>
      <c r="AE20" s="87">
        <v>0</v>
      </c>
      <c r="AH20" s="87">
        <v>0</v>
      </c>
      <c r="AI20" s="120">
        <f>70950000</f>
        <v>70950000</v>
      </c>
      <c r="AJ20" s="121">
        <v>1.8E-3</v>
      </c>
      <c r="AK20" s="87">
        <f t="shared" si="10"/>
        <v>354.75</v>
      </c>
      <c r="AL20" s="120"/>
      <c r="AM20" s="121"/>
      <c r="AN20" s="87">
        <f t="shared" si="11"/>
        <v>0</v>
      </c>
      <c r="AO20" s="120">
        <f t="shared" si="0"/>
        <v>140000000</v>
      </c>
      <c r="AP20" s="121">
        <v>2.5000000000000001E-3</v>
      </c>
      <c r="AQ20" s="87">
        <f t="shared" si="12"/>
        <v>972.22222222222217</v>
      </c>
      <c r="AR20" s="120"/>
      <c r="AS20" s="121"/>
      <c r="AT20" s="87">
        <f t="shared" si="13"/>
        <v>0</v>
      </c>
      <c r="AW20" s="87">
        <f t="shared" si="14"/>
        <v>0</v>
      </c>
      <c r="AZ20" s="87">
        <f t="shared" si="15"/>
        <v>0</v>
      </c>
      <c r="BC20" s="87">
        <f t="shared" si="16"/>
        <v>0</v>
      </c>
      <c r="BF20" s="87">
        <f t="shared" si="17"/>
        <v>0</v>
      </c>
      <c r="BI20" s="87">
        <f t="shared" si="18"/>
        <v>0</v>
      </c>
      <c r="BL20" s="87">
        <f t="shared" si="19"/>
        <v>0</v>
      </c>
      <c r="BO20" s="87">
        <f t="shared" si="20"/>
        <v>0</v>
      </c>
      <c r="BR20" s="87">
        <f t="shared" si="21"/>
        <v>0</v>
      </c>
      <c r="BU20" s="87">
        <f t="shared" si="22"/>
        <v>0</v>
      </c>
      <c r="BX20" s="87">
        <f t="shared" si="23"/>
        <v>0</v>
      </c>
      <c r="CA20" s="87">
        <f t="shared" si="24"/>
        <v>0</v>
      </c>
      <c r="CD20" s="87">
        <f t="shared" si="25"/>
        <v>0</v>
      </c>
      <c r="CG20" s="87">
        <f t="shared" si="26"/>
        <v>0</v>
      </c>
      <c r="CJ20" s="87">
        <f t="shared" si="27"/>
        <v>0</v>
      </c>
      <c r="CM20" s="87">
        <f t="shared" si="28"/>
        <v>0</v>
      </c>
      <c r="CP20" s="87">
        <f t="shared" si="29"/>
        <v>0</v>
      </c>
      <c r="CS20" s="87">
        <f t="shared" si="30"/>
        <v>0</v>
      </c>
      <c r="CV20" s="87">
        <f t="shared" si="31"/>
        <v>0</v>
      </c>
      <c r="CY20" s="87">
        <f t="shared" si="32"/>
        <v>0</v>
      </c>
      <c r="DB20" s="87">
        <f t="shared" si="33"/>
        <v>0</v>
      </c>
      <c r="DE20" s="87">
        <f t="shared" si="34"/>
        <v>0</v>
      </c>
      <c r="DH20" s="87">
        <f t="shared" si="35"/>
        <v>0</v>
      </c>
      <c r="DK20" s="87">
        <f t="shared" si="36"/>
        <v>0</v>
      </c>
      <c r="DN20" s="87">
        <f t="shared" si="37"/>
        <v>0</v>
      </c>
      <c r="DQ20" s="87">
        <f t="shared" si="38"/>
        <v>0</v>
      </c>
      <c r="DT20" s="87">
        <f t="shared" si="39"/>
        <v>0</v>
      </c>
      <c r="DW20" s="87">
        <f t="shared" si="40"/>
        <v>0</v>
      </c>
      <c r="DZ20" s="87"/>
      <c r="EA20" s="87"/>
      <c r="EB20" s="122">
        <f t="shared" si="41"/>
        <v>210950000</v>
      </c>
      <c r="EC20" s="122">
        <f t="shared" si="42"/>
        <v>0</v>
      </c>
      <c r="ED20" s="87">
        <f t="shared" si="43"/>
        <v>1326.9722222222222</v>
      </c>
      <c r="EE20" s="88">
        <f t="shared" si="44"/>
        <v>2.2645650628110928E-3</v>
      </c>
      <c r="EG20" s="122">
        <f t="shared" si="45"/>
        <v>0</v>
      </c>
      <c r="EH20" s="87">
        <f t="shared" si="46"/>
        <v>0</v>
      </c>
      <c r="EI20" s="88">
        <f t="shared" si="47"/>
        <v>0</v>
      </c>
      <c r="EJ20" s="88"/>
      <c r="EK20" s="122">
        <f t="shared" si="48"/>
        <v>210950000</v>
      </c>
      <c r="EL20" s="122">
        <f t="shared" si="49"/>
        <v>0</v>
      </c>
      <c r="EM20" s="122">
        <f t="shared" si="50"/>
        <v>1326.9722222222222</v>
      </c>
      <c r="EN20" s="88">
        <f t="shared" si="51"/>
        <v>2.2645650628110928E-3</v>
      </c>
      <c r="EP20" s="87"/>
    </row>
    <row r="21" spans="1:147" x14ac:dyDescent="0.25">
      <c r="A21" s="35">
        <f t="shared" si="52"/>
        <v>44297</v>
      </c>
      <c r="B21" s="87">
        <v>0</v>
      </c>
      <c r="D21" s="87">
        <f t="shared" si="1"/>
        <v>0</v>
      </c>
      <c r="G21" s="87">
        <f t="shared" si="2"/>
        <v>0</v>
      </c>
      <c r="J21" s="87">
        <f t="shared" si="3"/>
        <v>0</v>
      </c>
      <c r="M21" s="87">
        <f t="shared" si="4"/>
        <v>0</v>
      </c>
      <c r="P21" s="87">
        <f t="shared" si="5"/>
        <v>0</v>
      </c>
      <c r="S21" s="87">
        <f t="shared" si="6"/>
        <v>0</v>
      </c>
      <c r="V21" s="87">
        <f t="shared" si="7"/>
        <v>0</v>
      </c>
      <c r="Y21" s="87">
        <f t="shared" si="8"/>
        <v>0</v>
      </c>
      <c r="AB21" s="87">
        <f t="shared" si="9"/>
        <v>0</v>
      </c>
      <c r="AE21" s="87">
        <v>0</v>
      </c>
      <c r="AH21" s="87">
        <v>0</v>
      </c>
      <c r="AI21" s="120">
        <f>70950000</f>
        <v>70950000</v>
      </c>
      <c r="AJ21" s="121">
        <v>1.8E-3</v>
      </c>
      <c r="AK21" s="87">
        <f t="shared" si="10"/>
        <v>354.75</v>
      </c>
      <c r="AL21" s="120"/>
      <c r="AM21" s="121"/>
      <c r="AN21" s="87">
        <f t="shared" si="11"/>
        <v>0</v>
      </c>
      <c r="AO21" s="120">
        <f t="shared" si="0"/>
        <v>140000000</v>
      </c>
      <c r="AP21" s="121">
        <v>2.5000000000000001E-3</v>
      </c>
      <c r="AQ21" s="87">
        <f t="shared" si="12"/>
        <v>972.22222222222217</v>
      </c>
      <c r="AR21" s="120"/>
      <c r="AS21" s="121"/>
      <c r="AT21" s="87">
        <f t="shared" si="13"/>
        <v>0</v>
      </c>
      <c r="AW21" s="87">
        <f t="shared" si="14"/>
        <v>0</v>
      </c>
      <c r="AZ21" s="87">
        <f t="shared" si="15"/>
        <v>0</v>
      </c>
      <c r="BC21" s="87">
        <f t="shared" si="16"/>
        <v>0</v>
      </c>
      <c r="BF21" s="87">
        <f t="shared" si="17"/>
        <v>0</v>
      </c>
      <c r="BI21" s="87">
        <f t="shared" si="18"/>
        <v>0</v>
      </c>
      <c r="BL21" s="87">
        <f t="shared" si="19"/>
        <v>0</v>
      </c>
      <c r="BO21" s="87">
        <f t="shared" si="20"/>
        <v>0</v>
      </c>
      <c r="BR21" s="87">
        <f t="shared" si="21"/>
        <v>0</v>
      </c>
      <c r="BU21" s="87">
        <f t="shared" si="22"/>
        <v>0</v>
      </c>
      <c r="BX21" s="87">
        <f t="shared" si="23"/>
        <v>0</v>
      </c>
      <c r="CA21" s="87">
        <f t="shared" si="24"/>
        <v>0</v>
      </c>
      <c r="CD21" s="87">
        <f t="shared" si="25"/>
        <v>0</v>
      </c>
      <c r="CG21" s="87">
        <f t="shared" si="26"/>
        <v>0</v>
      </c>
      <c r="CJ21" s="87">
        <f t="shared" si="27"/>
        <v>0</v>
      </c>
      <c r="CM21" s="87">
        <f t="shared" si="28"/>
        <v>0</v>
      </c>
      <c r="CP21" s="87">
        <f t="shared" si="29"/>
        <v>0</v>
      </c>
      <c r="CS21" s="87">
        <f t="shared" si="30"/>
        <v>0</v>
      </c>
      <c r="CV21" s="87">
        <f t="shared" si="31"/>
        <v>0</v>
      </c>
      <c r="CY21" s="87">
        <f t="shared" si="32"/>
        <v>0</v>
      </c>
      <c r="DB21" s="87">
        <f t="shared" si="33"/>
        <v>0</v>
      </c>
      <c r="DE21" s="87">
        <f t="shared" si="34"/>
        <v>0</v>
      </c>
      <c r="DH21" s="87">
        <f t="shared" si="35"/>
        <v>0</v>
      </c>
      <c r="DK21" s="87">
        <f t="shared" si="36"/>
        <v>0</v>
      </c>
      <c r="DN21" s="87">
        <f t="shared" si="37"/>
        <v>0</v>
      </c>
      <c r="DQ21" s="87">
        <f t="shared" si="38"/>
        <v>0</v>
      </c>
      <c r="DT21" s="87">
        <f t="shared" si="39"/>
        <v>0</v>
      </c>
      <c r="DW21" s="87">
        <f t="shared" si="40"/>
        <v>0</v>
      </c>
      <c r="DZ21" s="87"/>
      <c r="EA21" s="87"/>
      <c r="EB21" s="122">
        <f t="shared" si="41"/>
        <v>210950000</v>
      </c>
      <c r="EC21" s="122">
        <f t="shared" si="42"/>
        <v>0</v>
      </c>
      <c r="ED21" s="87">
        <f t="shared" si="43"/>
        <v>1326.9722222222222</v>
      </c>
      <c r="EE21" s="88">
        <f t="shared" si="44"/>
        <v>2.2645650628110928E-3</v>
      </c>
      <c r="EG21" s="122">
        <f t="shared" si="45"/>
        <v>0</v>
      </c>
      <c r="EH21" s="87">
        <f t="shared" si="46"/>
        <v>0</v>
      </c>
      <c r="EI21" s="88">
        <f t="shared" si="47"/>
        <v>0</v>
      </c>
      <c r="EJ21" s="88"/>
      <c r="EK21" s="122">
        <f t="shared" si="48"/>
        <v>210950000</v>
      </c>
      <c r="EL21" s="122">
        <f t="shared" si="49"/>
        <v>0</v>
      </c>
      <c r="EM21" s="122">
        <f t="shared" si="50"/>
        <v>1326.9722222222222</v>
      </c>
      <c r="EN21" s="88">
        <f t="shared" si="51"/>
        <v>2.2645650628110928E-3</v>
      </c>
      <c r="EP21" s="87"/>
    </row>
    <row r="22" spans="1:147" x14ac:dyDescent="0.25">
      <c r="A22" s="35">
        <f t="shared" si="52"/>
        <v>44298</v>
      </c>
      <c r="B22" s="87">
        <v>0</v>
      </c>
      <c r="D22" s="87">
        <f t="shared" si="1"/>
        <v>0</v>
      </c>
      <c r="G22" s="87">
        <f t="shared" si="2"/>
        <v>0</v>
      </c>
      <c r="J22" s="87">
        <f t="shared" si="3"/>
        <v>0</v>
      </c>
      <c r="M22" s="87">
        <f t="shared" si="4"/>
        <v>0</v>
      </c>
      <c r="P22" s="87">
        <f t="shared" si="5"/>
        <v>0</v>
      </c>
      <c r="S22" s="87">
        <f t="shared" si="6"/>
        <v>0</v>
      </c>
      <c r="V22" s="87">
        <f t="shared" si="7"/>
        <v>0</v>
      </c>
      <c r="Y22" s="87">
        <f t="shared" si="8"/>
        <v>0</v>
      </c>
      <c r="AB22" s="87">
        <f t="shared" si="9"/>
        <v>0</v>
      </c>
      <c r="AE22" s="87">
        <v>0</v>
      </c>
      <c r="AH22" s="87">
        <v>0</v>
      </c>
      <c r="AI22" s="120">
        <f>78700000</f>
        <v>78700000</v>
      </c>
      <c r="AJ22" s="121">
        <v>1.8E-3</v>
      </c>
      <c r="AK22" s="87">
        <f t="shared" si="10"/>
        <v>393.5</v>
      </c>
      <c r="AL22" s="120"/>
      <c r="AM22" s="121"/>
      <c r="AN22" s="87">
        <f t="shared" si="11"/>
        <v>0</v>
      </c>
      <c r="AO22" s="120">
        <f t="shared" si="0"/>
        <v>140000000</v>
      </c>
      <c r="AP22" s="121">
        <v>2.5000000000000001E-3</v>
      </c>
      <c r="AQ22" s="87">
        <f t="shared" si="12"/>
        <v>972.22222222222217</v>
      </c>
      <c r="AR22" s="120"/>
      <c r="AS22" s="121"/>
      <c r="AT22" s="87">
        <f t="shared" si="13"/>
        <v>0</v>
      </c>
      <c r="AW22" s="87">
        <f t="shared" si="14"/>
        <v>0</v>
      </c>
      <c r="AZ22" s="87">
        <f t="shared" si="15"/>
        <v>0</v>
      </c>
      <c r="BC22" s="87">
        <f t="shared" si="16"/>
        <v>0</v>
      </c>
      <c r="BF22" s="87">
        <f t="shared" si="17"/>
        <v>0</v>
      </c>
      <c r="BI22" s="87">
        <f t="shared" si="18"/>
        <v>0</v>
      </c>
      <c r="BL22" s="87">
        <f t="shared" si="19"/>
        <v>0</v>
      </c>
      <c r="BO22" s="87">
        <f t="shared" si="20"/>
        <v>0</v>
      </c>
      <c r="BR22" s="87">
        <f t="shared" si="21"/>
        <v>0</v>
      </c>
      <c r="BU22" s="87">
        <f t="shared" si="22"/>
        <v>0</v>
      </c>
      <c r="BX22" s="87">
        <f t="shared" si="23"/>
        <v>0</v>
      </c>
      <c r="CA22" s="87">
        <f t="shared" si="24"/>
        <v>0</v>
      </c>
      <c r="CD22" s="87">
        <f t="shared" si="25"/>
        <v>0</v>
      </c>
      <c r="CG22" s="87">
        <f t="shared" si="26"/>
        <v>0</v>
      </c>
      <c r="CJ22" s="87">
        <f t="shared" si="27"/>
        <v>0</v>
      </c>
      <c r="CM22" s="87">
        <f t="shared" si="28"/>
        <v>0</v>
      </c>
      <c r="CP22" s="87">
        <f t="shared" si="29"/>
        <v>0</v>
      </c>
      <c r="CS22" s="87">
        <f t="shared" si="30"/>
        <v>0</v>
      </c>
      <c r="CV22" s="87">
        <f t="shared" si="31"/>
        <v>0</v>
      </c>
      <c r="CY22" s="87">
        <f t="shared" si="32"/>
        <v>0</v>
      </c>
      <c r="DB22" s="87">
        <f t="shared" si="33"/>
        <v>0</v>
      </c>
      <c r="DE22" s="87">
        <f t="shared" si="34"/>
        <v>0</v>
      </c>
      <c r="DH22" s="87">
        <f t="shared" si="35"/>
        <v>0</v>
      </c>
      <c r="DK22" s="87">
        <f t="shared" si="36"/>
        <v>0</v>
      </c>
      <c r="DN22" s="87">
        <f t="shared" si="37"/>
        <v>0</v>
      </c>
      <c r="DQ22" s="87">
        <f t="shared" si="38"/>
        <v>0</v>
      </c>
      <c r="DT22" s="87">
        <f t="shared" si="39"/>
        <v>0</v>
      </c>
      <c r="DW22" s="87">
        <f t="shared" si="40"/>
        <v>0</v>
      </c>
      <c r="DZ22" s="87"/>
      <c r="EA22" s="87"/>
      <c r="EB22" s="122">
        <f t="shared" si="41"/>
        <v>218700000</v>
      </c>
      <c r="EC22" s="122">
        <f t="shared" si="42"/>
        <v>0</v>
      </c>
      <c r="ED22" s="87">
        <f t="shared" si="43"/>
        <v>1365.7222222222222</v>
      </c>
      <c r="EE22" s="88">
        <f t="shared" si="44"/>
        <v>2.2481024234110654E-3</v>
      </c>
      <c r="EG22" s="122">
        <f t="shared" si="45"/>
        <v>0</v>
      </c>
      <c r="EH22" s="87">
        <f t="shared" si="46"/>
        <v>0</v>
      </c>
      <c r="EI22" s="88">
        <f t="shared" si="47"/>
        <v>0</v>
      </c>
      <c r="EJ22" s="88"/>
      <c r="EK22" s="122">
        <f t="shared" si="48"/>
        <v>218700000</v>
      </c>
      <c r="EL22" s="122">
        <f t="shared" si="49"/>
        <v>0</v>
      </c>
      <c r="EM22" s="122">
        <f t="shared" si="50"/>
        <v>1365.7222222222222</v>
      </c>
      <c r="EN22" s="88">
        <f t="shared" si="51"/>
        <v>2.2481024234110654E-3</v>
      </c>
      <c r="EP22" s="87"/>
    </row>
    <row r="23" spans="1:147" x14ac:dyDescent="0.25">
      <c r="A23" s="35">
        <f t="shared" si="52"/>
        <v>44299</v>
      </c>
      <c r="B23" s="87">
        <v>0</v>
      </c>
      <c r="D23" s="87">
        <f t="shared" si="1"/>
        <v>0</v>
      </c>
      <c r="G23" s="87">
        <f t="shared" si="2"/>
        <v>0</v>
      </c>
      <c r="J23" s="87">
        <f t="shared" si="3"/>
        <v>0</v>
      </c>
      <c r="M23" s="87">
        <f t="shared" si="4"/>
        <v>0</v>
      </c>
      <c r="P23" s="87">
        <f t="shared" si="5"/>
        <v>0</v>
      </c>
      <c r="S23" s="87">
        <f t="shared" si="6"/>
        <v>0</v>
      </c>
      <c r="V23" s="87">
        <f t="shared" si="7"/>
        <v>0</v>
      </c>
      <c r="Y23" s="87">
        <f t="shared" si="8"/>
        <v>0</v>
      </c>
      <c r="AB23" s="87">
        <f t="shared" si="9"/>
        <v>0</v>
      </c>
      <c r="AE23" s="87">
        <v>0</v>
      </c>
      <c r="AH23" s="87">
        <v>0</v>
      </c>
      <c r="AI23" s="120">
        <v>79550000</v>
      </c>
      <c r="AJ23" s="121">
        <v>1.8E-3</v>
      </c>
      <c r="AK23" s="87">
        <f t="shared" si="10"/>
        <v>397.75</v>
      </c>
      <c r="AL23" s="120"/>
      <c r="AM23" s="121"/>
      <c r="AN23" s="87">
        <f t="shared" si="11"/>
        <v>0</v>
      </c>
      <c r="AO23" s="120">
        <f t="shared" si="0"/>
        <v>140000000</v>
      </c>
      <c r="AP23" s="121">
        <v>2.5000000000000001E-3</v>
      </c>
      <c r="AQ23" s="87">
        <f t="shared" si="12"/>
        <v>972.22222222222217</v>
      </c>
      <c r="AR23" s="120"/>
      <c r="AS23" s="121"/>
      <c r="AT23" s="87">
        <f t="shared" si="13"/>
        <v>0</v>
      </c>
      <c r="AW23" s="87">
        <f t="shared" si="14"/>
        <v>0</v>
      </c>
      <c r="AZ23" s="87">
        <f t="shared" si="15"/>
        <v>0</v>
      </c>
      <c r="BC23" s="87">
        <f t="shared" si="16"/>
        <v>0</v>
      </c>
      <c r="BF23" s="87">
        <f t="shared" si="17"/>
        <v>0</v>
      </c>
      <c r="BI23" s="87">
        <f t="shared" si="18"/>
        <v>0</v>
      </c>
      <c r="BL23" s="87">
        <f t="shared" si="19"/>
        <v>0</v>
      </c>
      <c r="BO23" s="87">
        <f t="shared" si="20"/>
        <v>0</v>
      </c>
      <c r="BR23" s="87">
        <f t="shared" si="21"/>
        <v>0</v>
      </c>
      <c r="BU23" s="87">
        <f t="shared" si="22"/>
        <v>0</v>
      </c>
      <c r="BX23" s="87">
        <f t="shared" si="23"/>
        <v>0</v>
      </c>
      <c r="CA23" s="87">
        <f t="shared" si="24"/>
        <v>0</v>
      </c>
      <c r="CD23" s="87">
        <f t="shared" si="25"/>
        <v>0</v>
      </c>
      <c r="CG23" s="87">
        <f t="shared" si="26"/>
        <v>0</v>
      </c>
      <c r="CJ23" s="87">
        <f t="shared" si="27"/>
        <v>0</v>
      </c>
      <c r="CM23" s="87">
        <f t="shared" si="28"/>
        <v>0</v>
      </c>
      <c r="CP23" s="87">
        <f t="shared" si="29"/>
        <v>0</v>
      </c>
      <c r="CS23" s="87">
        <f t="shared" si="30"/>
        <v>0</v>
      </c>
      <c r="CV23" s="87">
        <f t="shared" si="31"/>
        <v>0</v>
      </c>
      <c r="CY23" s="87">
        <f t="shared" si="32"/>
        <v>0</v>
      </c>
      <c r="DB23" s="87">
        <f t="shared" si="33"/>
        <v>0</v>
      </c>
      <c r="DE23" s="87">
        <f t="shared" si="34"/>
        <v>0</v>
      </c>
      <c r="DH23" s="87">
        <f t="shared" si="35"/>
        <v>0</v>
      </c>
      <c r="DK23" s="87">
        <f t="shared" si="36"/>
        <v>0</v>
      </c>
      <c r="DN23" s="87">
        <f t="shared" si="37"/>
        <v>0</v>
      </c>
      <c r="DQ23" s="87">
        <f t="shared" si="38"/>
        <v>0</v>
      </c>
      <c r="DT23" s="87">
        <f t="shared" si="39"/>
        <v>0</v>
      </c>
      <c r="DW23" s="87">
        <f t="shared" si="40"/>
        <v>0</v>
      </c>
      <c r="DZ23" s="87"/>
      <c r="EA23" s="87"/>
      <c r="EB23" s="122">
        <f t="shared" si="41"/>
        <v>219550000</v>
      </c>
      <c r="EC23" s="122">
        <f t="shared" si="42"/>
        <v>0</v>
      </c>
      <c r="ED23" s="87">
        <f t="shared" si="43"/>
        <v>1369.9722222222222</v>
      </c>
      <c r="EE23" s="88">
        <f t="shared" si="44"/>
        <v>2.246367570029606E-3</v>
      </c>
      <c r="EG23" s="122">
        <f t="shared" si="45"/>
        <v>0</v>
      </c>
      <c r="EH23" s="87">
        <f t="shared" si="46"/>
        <v>0</v>
      </c>
      <c r="EI23" s="88">
        <f t="shared" si="47"/>
        <v>0</v>
      </c>
      <c r="EJ23" s="88"/>
      <c r="EK23" s="122">
        <f t="shared" si="48"/>
        <v>219550000</v>
      </c>
      <c r="EL23" s="122">
        <f t="shared" si="49"/>
        <v>0</v>
      </c>
      <c r="EM23" s="122">
        <f t="shared" si="50"/>
        <v>1369.9722222222222</v>
      </c>
      <c r="EN23" s="88">
        <f t="shared" si="51"/>
        <v>2.246367570029606E-3</v>
      </c>
      <c r="EP23" s="87"/>
    </row>
    <row r="24" spans="1:147" x14ac:dyDescent="0.25">
      <c r="A24" s="35">
        <f t="shared" si="52"/>
        <v>44300</v>
      </c>
      <c r="B24" s="87">
        <v>0</v>
      </c>
      <c r="D24" s="87">
        <f t="shared" si="1"/>
        <v>0</v>
      </c>
      <c r="G24" s="87">
        <f t="shared" si="2"/>
        <v>0</v>
      </c>
      <c r="J24" s="87">
        <f t="shared" si="3"/>
        <v>0</v>
      </c>
      <c r="M24" s="87">
        <f t="shared" si="4"/>
        <v>0</v>
      </c>
      <c r="P24" s="87">
        <f t="shared" si="5"/>
        <v>0</v>
      </c>
      <c r="S24" s="87">
        <f t="shared" si="6"/>
        <v>0</v>
      </c>
      <c r="V24" s="87">
        <f t="shared" si="7"/>
        <v>0</v>
      </c>
      <c r="Y24" s="87">
        <f t="shared" si="8"/>
        <v>0</v>
      </c>
      <c r="AB24" s="87">
        <f t="shared" si="9"/>
        <v>0</v>
      </c>
      <c r="AE24" s="87">
        <v>0</v>
      </c>
      <c r="AH24" s="87">
        <v>0</v>
      </c>
      <c r="AI24" s="120">
        <f>72575000</f>
        <v>72575000</v>
      </c>
      <c r="AJ24" s="121">
        <v>1.8E-3</v>
      </c>
      <c r="AK24" s="87">
        <f t="shared" si="10"/>
        <v>362.875</v>
      </c>
      <c r="AL24" s="120"/>
      <c r="AM24" s="121"/>
      <c r="AN24" s="87">
        <f t="shared" si="11"/>
        <v>0</v>
      </c>
      <c r="AO24" s="120">
        <f t="shared" si="0"/>
        <v>140000000</v>
      </c>
      <c r="AP24" s="121">
        <v>2.5000000000000001E-3</v>
      </c>
      <c r="AQ24" s="87">
        <f t="shared" si="12"/>
        <v>972.22222222222217</v>
      </c>
      <c r="AR24" s="120"/>
      <c r="AS24" s="121"/>
      <c r="AT24" s="87">
        <f t="shared" si="13"/>
        <v>0</v>
      </c>
      <c r="AW24" s="87">
        <f t="shared" si="14"/>
        <v>0</v>
      </c>
      <c r="AZ24" s="87">
        <f t="shared" si="15"/>
        <v>0</v>
      </c>
      <c r="BC24" s="87">
        <f t="shared" si="16"/>
        <v>0</v>
      </c>
      <c r="BF24" s="87">
        <f t="shared" si="17"/>
        <v>0</v>
      </c>
      <c r="BI24" s="87">
        <f t="shared" si="18"/>
        <v>0</v>
      </c>
      <c r="BL24" s="87">
        <f t="shared" si="19"/>
        <v>0</v>
      </c>
      <c r="BO24" s="87">
        <f t="shared" si="20"/>
        <v>0</v>
      </c>
      <c r="BR24" s="87">
        <f t="shared" si="21"/>
        <v>0</v>
      </c>
      <c r="BU24" s="87">
        <f t="shared" si="22"/>
        <v>0</v>
      </c>
      <c r="BX24" s="87">
        <f t="shared" si="23"/>
        <v>0</v>
      </c>
      <c r="CA24" s="87">
        <f t="shared" si="24"/>
        <v>0</v>
      </c>
      <c r="CD24" s="87">
        <f t="shared" si="25"/>
        <v>0</v>
      </c>
      <c r="CG24" s="87">
        <f t="shared" si="26"/>
        <v>0</v>
      </c>
      <c r="CJ24" s="87">
        <f t="shared" si="27"/>
        <v>0</v>
      </c>
      <c r="CM24" s="87">
        <f t="shared" si="28"/>
        <v>0</v>
      </c>
      <c r="CP24" s="87">
        <f t="shared" si="29"/>
        <v>0</v>
      </c>
      <c r="CS24" s="87">
        <f t="shared" si="30"/>
        <v>0</v>
      </c>
      <c r="CV24" s="87">
        <f t="shared" si="31"/>
        <v>0</v>
      </c>
      <c r="CY24" s="87">
        <f t="shared" si="32"/>
        <v>0</v>
      </c>
      <c r="DB24" s="87">
        <f t="shared" si="33"/>
        <v>0</v>
      </c>
      <c r="DE24" s="87">
        <f t="shared" si="34"/>
        <v>0</v>
      </c>
      <c r="DH24" s="87">
        <f t="shared" si="35"/>
        <v>0</v>
      </c>
      <c r="DK24" s="87">
        <f t="shared" si="36"/>
        <v>0</v>
      </c>
      <c r="DN24" s="87">
        <f t="shared" si="37"/>
        <v>0</v>
      </c>
      <c r="DQ24" s="87">
        <f t="shared" si="38"/>
        <v>0</v>
      </c>
      <c r="DT24" s="87">
        <f t="shared" si="39"/>
        <v>0</v>
      </c>
      <c r="DW24" s="87">
        <f t="shared" si="40"/>
        <v>0</v>
      </c>
      <c r="DZ24" s="87"/>
      <c r="EA24" s="87"/>
      <c r="EB24" s="122">
        <f t="shared" si="41"/>
        <v>212575000</v>
      </c>
      <c r="EC24" s="122">
        <f t="shared" si="42"/>
        <v>0</v>
      </c>
      <c r="ED24" s="87">
        <f t="shared" si="43"/>
        <v>1335.0972222222222</v>
      </c>
      <c r="EE24" s="88">
        <f t="shared" si="44"/>
        <v>2.2610137598494647E-3</v>
      </c>
      <c r="EG24" s="122">
        <f t="shared" si="45"/>
        <v>0</v>
      </c>
      <c r="EH24" s="87">
        <f t="shared" si="46"/>
        <v>0</v>
      </c>
      <c r="EI24" s="88">
        <f t="shared" si="47"/>
        <v>0</v>
      </c>
      <c r="EJ24" s="88"/>
      <c r="EK24" s="122">
        <f t="shared" si="48"/>
        <v>212575000</v>
      </c>
      <c r="EL24" s="122">
        <f t="shared" si="49"/>
        <v>0</v>
      </c>
      <c r="EM24" s="122">
        <f t="shared" si="50"/>
        <v>1335.0972222222222</v>
      </c>
      <c r="EN24" s="88">
        <f t="shared" si="51"/>
        <v>2.2610137598494647E-3</v>
      </c>
      <c r="EP24" s="87"/>
    </row>
    <row r="25" spans="1:147" x14ac:dyDescent="0.25">
      <c r="A25" s="35">
        <f t="shared" si="52"/>
        <v>44301</v>
      </c>
      <c r="B25" s="87">
        <v>0</v>
      </c>
      <c r="D25" s="87">
        <f t="shared" si="1"/>
        <v>0</v>
      </c>
      <c r="G25" s="87">
        <f t="shared" si="2"/>
        <v>0</v>
      </c>
      <c r="J25" s="87">
        <f t="shared" si="3"/>
        <v>0</v>
      </c>
      <c r="M25" s="87">
        <f t="shared" si="4"/>
        <v>0</v>
      </c>
      <c r="P25" s="87">
        <f t="shared" si="5"/>
        <v>0</v>
      </c>
      <c r="S25" s="87">
        <f t="shared" si="6"/>
        <v>0</v>
      </c>
      <c r="V25" s="87">
        <f t="shared" si="7"/>
        <v>0</v>
      </c>
      <c r="Y25" s="87">
        <f t="shared" si="8"/>
        <v>0</v>
      </c>
      <c r="AB25" s="87">
        <f t="shared" si="9"/>
        <v>0</v>
      </c>
      <c r="AE25" s="87">
        <v>0</v>
      </c>
      <c r="AH25" s="87">
        <v>0</v>
      </c>
      <c r="AI25" s="120"/>
      <c r="AJ25" s="121"/>
      <c r="AK25" s="87">
        <f t="shared" si="10"/>
        <v>0</v>
      </c>
      <c r="AL25" s="120">
        <f>53150000</f>
        <v>53150000</v>
      </c>
      <c r="AM25" s="121">
        <v>2.5000000000000001E-3</v>
      </c>
      <c r="AN25" s="87">
        <f t="shared" si="11"/>
        <v>369.09722222222223</v>
      </c>
      <c r="AO25" s="120">
        <f t="shared" si="0"/>
        <v>140000000</v>
      </c>
      <c r="AP25" s="121">
        <v>2.5000000000000001E-3</v>
      </c>
      <c r="AQ25" s="87">
        <f t="shared" si="12"/>
        <v>972.22222222222217</v>
      </c>
      <c r="AR25" s="120"/>
      <c r="AS25" s="121"/>
      <c r="AT25" s="87">
        <f t="shared" si="13"/>
        <v>0</v>
      </c>
      <c r="AW25" s="87">
        <f t="shared" si="14"/>
        <v>0</v>
      </c>
      <c r="AZ25" s="87">
        <f t="shared" si="15"/>
        <v>0</v>
      </c>
      <c r="BC25" s="87">
        <f t="shared" si="16"/>
        <v>0</v>
      </c>
      <c r="BF25" s="87">
        <f t="shared" si="17"/>
        <v>0</v>
      </c>
      <c r="BI25" s="87">
        <f t="shared" si="18"/>
        <v>0</v>
      </c>
      <c r="BL25" s="87">
        <f t="shared" si="19"/>
        <v>0</v>
      </c>
      <c r="BO25" s="87">
        <f t="shared" si="20"/>
        <v>0</v>
      </c>
      <c r="BR25" s="87">
        <f t="shared" si="21"/>
        <v>0</v>
      </c>
      <c r="BU25" s="87">
        <f t="shared" si="22"/>
        <v>0</v>
      </c>
      <c r="BX25" s="87">
        <f t="shared" si="23"/>
        <v>0</v>
      </c>
      <c r="CA25" s="87">
        <f t="shared" si="24"/>
        <v>0</v>
      </c>
      <c r="CD25" s="87">
        <f t="shared" si="25"/>
        <v>0</v>
      </c>
      <c r="CG25" s="87">
        <f t="shared" si="26"/>
        <v>0</v>
      </c>
      <c r="CJ25" s="87">
        <f t="shared" si="27"/>
        <v>0</v>
      </c>
      <c r="CM25" s="87">
        <f t="shared" si="28"/>
        <v>0</v>
      </c>
      <c r="CP25" s="87">
        <f t="shared" si="29"/>
        <v>0</v>
      </c>
      <c r="CS25" s="87">
        <f t="shared" si="30"/>
        <v>0</v>
      </c>
      <c r="CV25" s="87">
        <f t="shared" si="31"/>
        <v>0</v>
      </c>
      <c r="CY25" s="87">
        <f t="shared" si="32"/>
        <v>0</v>
      </c>
      <c r="DB25" s="87">
        <f t="shared" si="33"/>
        <v>0</v>
      </c>
      <c r="DE25" s="87">
        <f t="shared" si="34"/>
        <v>0</v>
      </c>
      <c r="DH25" s="87">
        <f t="shared" si="35"/>
        <v>0</v>
      </c>
      <c r="DK25" s="87">
        <f t="shared" si="36"/>
        <v>0</v>
      </c>
      <c r="DN25" s="87">
        <f t="shared" si="37"/>
        <v>0</v>
      </c>
      <c r="DQ25" s="87">
        <f t="shared" si="38"/>
        <v>0</v>
      </c>
      <c r="DT25" s="87">
        <f t="shared" si="39"/>
        <v>0</v>
      </c>
      <c r="DW25" s="87">
        <f t="shared" si="40"/>
        <v>0</v>
      </c>
      <c r="DZ25" s="87"/>
      <c r="EA25" s="87"/>
      <c r="EB25" s="122">
        <f t="shared" si="41"/>
        <v>193150000</v>
      </c>
      <c r="EC25" s="122">
        <f t="shared" si="42"/>
        <v>0</v>
      </c>
      <c r="ED25" s="87">
        <f t="shared" si="43"/>
        <v>1341.3194444444443</v>
      </c>
      <c r="EE25" s="88">
        <f t="shared" si="44"/>
        <v>2.4999999999999996E-3</v>
      </c>
      <c r="EG25" s="122">
        <f t="shared" si="45"/>
        <v>0</v>
      </c>
      <c r="EH25" s="87">
        <f t="shared" si="46"/>
        <v>0</v>
      </c>
      <c r="EI25" s="88">
        <f t="shared" si="47"/>
        <v>0</v>
      </c>
      <c r="EJ25" s="88"/>
      <c r="EK25" s="122">
        <f t="shared" si="48"/>
        <v>193150000</v>
      </c>
      <c r="EL25" s="122">
        <f t="shared" si="49"/>
        <v>0</v>
      </c>
      <c r="EM25" s="122">
        <f t="shared" si="50"/>
        <v>1341.3194444444443</v>
      </c>
      <c r="EN25" s="88">
        <f t="shared" si="51"/>
        <v>2.4999999999999996E-3</v>
      </c>
      <c r="EP25" s="87"/>
      <c r="EQ25" s="87"/>
    </row>
    <row r="26" spans="1:147" x14ac:dyDescent="0.25">
      <c r="A26" s="35">
        <f t="shared" si="52"/>
        <v>44302</v>
      </c>
      <c r="B26" s="87">
        <v>0</v>
      </c>
      <c r="D26" s="87">
        <f t="shared" si="1"/>
        <v>0</v>
      </c>
      <c r="G26" s="87">
        <f t="shared" si="2"/>
        <v>0</v>
      </c>
      <c r="J26" s="87">
        <f t="shared" si="3"/>
        <v>0</v>
      </c>
      <c r="M26" s="87">
        <f t="shared" si="4"/>
        <v>0</v>
      </c>
      <c r="P26" s="87">
        <f t="shared" si="5"/>
        <v>0</v>
      </c>
      <c r="S26" s="87">
        <f t="shared" si="6"/>
        <v>0</v>
      </c>
      <c r="V26" s="87">
        <f t="shared" si="7"/>
        <v>0</v>
      </c>
      <c r="Y26" s="87">
        <f t="shared" si="8"/>
        <v>0</v>
      </c>
      <c r="AB26" s="87">
        <f t="shared" si="9"/>
        <v>0</v>
      </c>
      <c r="AE26" s="87">
        <v>0</v>
      </c>
      <c r="AH26" s="87">
        <v>0</v>
      </c>
      <c r="AI26" s="120">
        <f>95475000</f>
        <v>95475000</v>
      </c>
      <c r="AJ26" s="121">
        <v>1.8E-3</v>
      </c>
      <c r="AK26" s="87">
        <f t="shared" si="10"/>
        <v>477.375</v>
      </c>
      <c r="AL26" s="120">
        <f>53150000</f>
        <v>53150000</v>
      </c>
      <c r="AM26" s="121">
        <v>2.5000000000000001E-3</v>
      </c>
      <c r="AN26" s="87">
        <f t="shared" si="11"/>
        <v>369.09722222222223</v>
      </c>
      <c r="AO26" s="120">
        <f t="shared" ref="AO26:AO40" si="53">40000000</f>
        <v>40000000</v>
      </c>
      <c r="AP26" s="121">
        <v>2.5000000000000001E-3</v>
      </c>
      <c r="AQ26" s="87">
        <f t="shared" si="12"/>
        <v>277.77777777777777</v>
      </c>
      <c r="AR26" s="120"/>
      <c r="AS26" s="121"/>
      <c r="AT26" s="87">
        <f t="shared" si="13"/>
        <v>0</v>
      </c>
      <c r="AW26" s="87">
        <f t="shared" si="14"/>
        <v>0</v>
      </c>
      <c r="AZ26" s="87">
        <f t="shared" si="15"/>
        <v>0</v>
      </c>
      <c r="BC26" s="87">
        <f t="shared" si="16"/>
        <v>0</v>
      </c>
      <c r="BF26" s="87">
        <f t="shared" si="17"/>
        <v>0</v>
      </c>
      <c r="BI26" s="87">
        <f t="shared" si="18"/>
        <v>0</v>
      </c>
      <c r="BL26" s="87">
        <f t="shared" si="19"/>
        <v>0</v>
      </c>
      <c r="BO26" s="87">
        <f t="shared" si="20"/>
        <v>0</v>
      </c>
      <c r="BR26" s="87">
        <f t="shared" si="21"/>
        <v>0</v>
      </c>
      <c r="BU26" s="87">
        <f t="shared" si="22"/>
        <v>0</v>
      </c>
      <c r="BX26" s="87">
        <f t="shared" si="23"/>
        <v>0</v>
      </c>
      <c r="CA26" s="87">
        <f t="shared" si="24"/>
        <v>0</v>
      </c>
      <c r="CD26" s="87">
        <f t="shared" si="25"/>
        <v>0</v>
      </c>
      <c r="CG26" s="87">
        <f t="shared" si="26"/>
        <v>0</v>
      </c>
      <c r="CJ26" s="87">
        <f t="shared" si="27"/>
        <v>0</v>
      </c>
      <c r="CM26" s="87">
        <f t="shared" si="28"/>
        <v>0</v>
      </c>
      <c r="CP26" s="87">
        <f t="shared" si="29"/>
        <v>0</v>
      </c>
      <c r="CS26" s="87">
        <f t="shared" si="30"/>
        <v>0</v>
      </c>
      <c r="CV26" s="87">
        <f t="shared" si="31"/>
        <v>0</v>
      </c>
      <c r="CY26" s="87">
        <f t="shared" si="32"/>
        <v>0</v>
      </c>
      <c r="DB26" s="87">
        <f t="shared" si="33"/>
        <v>0</v>
      </c>
      <c r="DE26" s="87">
        <f t="shared" si="34"/>
        <v>0</v>
      </c>
      <c r="DH26" s="87">
        <f t="shared" si="35"/>
        <v>0</v>
      </c>
      <c r="DK26" s="87">
        <f t="shared" si="36"/>
        <v>0</v>
      </c>
      <c r="DN26" s="87">
        <f t="shared" si="37"/>
        <v>0</v>
      </c>
      <c r="DQ26" s="87">
        <f t="shared" si="38"/>
        <v>0</v>
      </c>
      <c r="DT26" s="87">
        <f t="shared" si="39"/>
        <v>0</v>
      </c>
      <c r="DW26" s="87">
        <f t="shared" si="40"/>
        <v>0</v>
      </c>
      <c r="DZ26" s="87"/>
      <c r="EA26" s="87"/>
      <c r="EB26" s="122">
        <f t="shared" si="41"/>
        <v>188625000</v>
      </c>
      <c r="EC26" s="122">
        <f t="shared" si="42"/>
        <v>0</v>
      </c>
      <c r="ED26" s="87">
        <f t="shared" si="43"/>
        <v>1124.25</v>
      </c>
      <c r="EE26" s="88">
        <f t="shared" si="44"/>
        <v>2.1456858846918489E-3</v>
      </c>
      <c r="EG26" s="122">
        <f t="shared" si="45"/>
        <v>0</v>
      </c>
      <c r="EH26" s="87">
        <f t="shared" si="46"/>
        <v>0</v>
      </c>
      <c r="EI26" s="88">
        <f t="shared" si="47"/>
        <v>0</v>
      </c>
      <c r="EJ26" s="88"/>
      <c r="EK26" s="122">
        <f t="shared" si="48"/>
        <v>188625000</v>
      </c>
      <c r="EL26" s="122">
        <f t="shared" si="49"/>
        <v>0</v>
      </c>
      <c r="EM26" s="122">
        <f t="shared" si="50"/>
        <v>1124.25</v>
      </c>
      <c r="EN26" s="88">
        <f t="shared" si="51"/>
        <v>2.1456858846918489E-3</v>
      </c>
      <c r="EP26" s="87"/>
    </row>
    <row r="27" spans="1:147" x14ac:dyDescent="0.25">
      <c r="A27" s="35">
        <f t="shared" si="52"/>
        <v>44303</v>
      </c>
      <c r="B27" s="87">
        <v>0</v>
      </c>
      <c r="D27" s="87">
        <f t="shared" si="1"/>
        <v>0</v>
      </c>
      <c r="G27" s="87">
        <f t="shared" si="2"/>
        <v>0</v>
      </c>
      <c r="J27" s="87">
        <f t="shared" si="3"/>
        <v>0</v>
      </c>
      <c r="M27" s="87">
        <f t="shared" si="4"/>
        <v>0</v>
      </c>
      <c r="P27" s="87">
        <f t="shared" si="5"/>
        <v>0</v>
      </c>
      <c r="S27" s="87">
        <f t="shared" si="6"/>
        <v>0</v>
      </c>
      <c r="V27" s="87">
        <f t="shared" si="7"/>
        <v>0</v>
      </c>
      <c r="Y27" s="87">
        <f t="shared" si="8"/>
        <v>0</v>
      </c>
      <c r="AB27" s="87">
        <f t="shared" si="9"/>
        <v>0</v>
      </c>
      <c r="AE27" s="87">
        <v>0</v>
      </c>
      <c r="AH27" s="87">
        <v>0</v>
      </c>
      <c r="AI27" s="120">
        <f>95475000</f>
        <v>95475000</v>
      </c>
      <c r="AJ27" s="121">
        <v>1.8E-3</v>
      </c>
      <c r="AK27" s="87">
        <f t="shared" si="10"/>
        <v>477.375</v>
      </c>
      <c r="AL27" s="120">
        <f>53150000</f>
        <v>53150000</v>
      </c>
      <c r="AM27" s="121">
        <v>2.5000000000000001E-3</v>
      </c>
      <c r="AN27" s="87">
        <f t="shared" si="11"/>
        <v>369.09722222222223</v>
      </c>
      <c r="AO27" s="120">
        <f t="shared" si="53"/>
        <v>40000000</v>
      </c>
      <c r="AP27" s="121">
        <v>2.5000000000000001E-3</v>
      </c>
      <c r="AQ27" s="87">
        <f t="shared" si="12"/>
        <v>277.77777777777777</v>
      </c>
      <c r="AR27" s="120"/>
      <c r="AS27" s="121"/>
      <c r="AT27" s="87">
        <f t="shared" si="13"/>
        <v>0</v>
      </c>
      <c r="AW27" s="87">
        <f t="shared" si="14"/>
        <v>0</v>
      </c>
      <c r="AZ27" s="87">
        <f t="shared" si="15"/>
        <v>0</v>
      </c>
      <c r="BC27" s="87">
        <f t="shared" si="16"/>
        <v>0</v>
      </c>
      <c r="BF27" s="87">
        <f t="shared" si="17"/>
        <v>0</v>
      </c>
      <c r="BI27" s="87">
        <f t="shared" si="18"/>
        <v>0</v>
      </c>
      <c r="BL27" s="87">
        <f t="shared" si="19"/>
        <v>0</v>
      </c>
      <c r="BO27" s="87">
        <f t="shared" si="20"/>
        <v>0</v>
      </c>
      <c r="BR27" s="87">
        <f t="shared" si="21"/>
        <v>0</v>
      </c>
      <c r="BU27" s="87">
        <f t="shared" si="22"/>
        <v>0</v>
      </c>
      <c r="BX27" s="87">
        <f t="shared" si="23"/>
        <v>0</v>
      </c>
      <c r="CA27" s="87">
        <f t="shared" si="24"/>
        <v>0</v>
      </c>
      <c r="CD27" s="87">
        <f t="shared" si="25"/>
        <v>0</v>
      </c>
      <c r="CG27" s="87">
        <f t="shared" si="26"/>
        <v>0</v>
      </c>
      <c r="CJ27" s="87">
        <f t="shared" si="27"/>
        <v>0</v>
      </c>
      <c r="CM27" s="87">
        <f t="shared" si="28"/>
        <v>0</v>
      </c>
      <c r="CP27" s="87">
        <f t="shared" si="29"/>
        <v>0</v>
      </c>
      <c r="CS27" s="87">
        <f t="shared" si="30"/>
        <v>0</v>
      </c>
      <c r="CV27" s="87">
        <f t="shared" si="31"/>
        <v>0</v>
      </c>
      <c r="CY27" s="87">
        <f t="shared" si="32"/>
        <v>0</v>
      </c>
      <c r="DB27" s="87">
        <f t="shared" si="33"/>
        <v>0</v>
      </c>
      <c r="DE27" s="87">
        <f t="shared" si="34"/>
        <v>0</v>
      </c>
      <c r="DH27" s="87">
        <f t="shared" si="35"/>
        <v>0</v>
      </c>
      <c r="DK27" s="87">
        <f t="shared" si="36"/>
        <v>0</v>
      </c>
      <c r="DN27" s="87">
        <f t="shared" si="37"/>
        <v>0</v>
      </c>
      <c r="DQ27" s="87">
        <f t="shared" si="38"/>
        <v>0</v>
      </c>
      <c r="DT27" s="87">
        <f t="shared" si="39"/>
        <v>0</v>
      </c>
      <c r="DW27" s="87">
        <f t="shared" si="40"/>
        <v>0</v>
      </c>
      <c r="DZ27" s="87"/>
      <c r="EA27" s="87"/>
      <c r="EB27" s="122">
        <f t="shared" si="41"/>
        <v>188625000</v>
      </c>
      <c r="EC27" s="122">
        <f t="shared" si="42"/>
        <v>0</v>
      </c>
      <c r="ED27" s="87">
        <f t="shared" si="43"/>
        <v>1124.25</v>
      </c>
      <c r="EE27" s="88">
        <f t="shared" si="44"/>
        <v>2.1456858846918489E-3</v>
      </c>
      <c r="EG27" s="122">
        <f t="shared" si="45"/>
        <v>0</v>
      </c>
      <c r="EH27" s="87">
        <f t="shared" si="46"/>
        <v>0</v>
      </c>
      <c r="EI27" s="88">
        <f t="shared" si="47"/>
        <v>0</v>
      </c>
      <c r="EJ27" s="88"/>
      <c r="EK27" s="122">
        <f t="shared" si="48"/>
        <v>188625000</v>
      </c>
      <c r="EL27" s="122">
        <f t="shared" si="49"/>
        <v>0</v>
      </c>
      <c r="EM27" s="122">
        <f t="shared" si="50"/>
        <v>1124.25</v>
      </c>
      <c r="EN27" s="88">
        <f t="shared" si="51"/>
        <v>2.1456858846918489E-3</v>
      </c>
      <c r="EP27" s="87"/>
    </row>
    <row r="28" spans="1:147" x14ac:dyDescent="0.25">
      <c r="A28" s="35">
        <f t="shared" si="52"/>
        <v>44304</v>
      </c>
      <c r="B28" s="87">
        <v>0</v>
      </c>
      <c r="D28" s="87">
        <f t="shared" si="1"/>
        <v>0</v>
      </c>
      <c r="G28" s="87">
        <f t="shared" si="2"/>
        <v>0</v>
      </c>
      <c r="J28" s="87">
        <f t="shared" si="3"/>
        <v>0</v>
      </c>
      <c r="M28" s="87">
        <f t="shared" si="4"/>
        <v>0</v>
      </c>
      <c r="P28" s="87">
        <f t="shared" si="5"/>
        <v>0</v>
      </c>
      <c r="S28" s="87">
        <f t="shared" si="6"/>
        <v>0</v>
      </c>
      <c r="V28" s="87">
        <f t="shared" si="7"/>
        <v>0</v>
      </c>
      <c r="Y28" s="87">
        <f t="shared" si="8"/>
        <v>0</v>
      </c>
      <c r="AB28" s="87">
        <f t="shared" si="9"/>
        <v>0</v>
      </c>
      <c r="AE28" s="87">
        <v>0</v>
      </c>
      <c r="AH28" s="87">
        <v>0</v>
      </c>
      <c r="AI28" s="120">
        <f>95475000</f>
        <v>95475000</v>
      </c>
      <c r="AJ28" s="121">
        <v>1.8E-3</v>
      </c>
      <c r="AK28" s="87">
        <f t="shared" si="10"/>
        <v>477.375</v>
      </c>
      <c r="AL28" s="120">
        <f>53150000</f>
        <v>53150000</v>
      </c>
      <c r="AM28" s="121">
        <v>2.5000000000000001E-3</v>
      </c>
      <c r="AN28" s="87">
        <f t="shared" si="11"/>
        <v>369.09722222222223</v>
      </c>
      <c r="AO28" s="120">
        <f t="shared" si="53"/>
        <v>40000000</v>
      </c>
      <c r="AP28" s="121">
        <v>2.5000000000000001E-3</v>
      </c>
      <c r="AQ28" s="87">
        <f t="shared" si="12"/>
        <v>277.77777777777777</v>
      </c>
      <c r="AR28" s="120"/>
      <c r="AS28" s="121"/>
      <c r="AT28" s="87">
        <f t="shared" si="13"/>
        <v>0</v>
      </c>
      <c r="AW28" s="87">
        <f t="shared" si="14"/>
        <v>0</v>
      </c>
      <c r="AZ28" s="87">
        <f t="shared" si="15"/>
        <v>0</v>
      </c>
      <c r="BC28" s="87">
        <f t="shared" si="16"/>
        <v>0</v>
      </c>
      <c r="BF28" s="87">
        <f t="shared" si="17"/>
        <v>0</v>
      </c>
      <c r="BI28" s="87">
        <f t="shared" si="18"/>
        <v>0</v>
      </c>
      <c r="BL28" s="87">
        <f t="shared" si="19"/>
        <v>0</v>
      </c>
      <c r="BO28" s="87">
        <f t="shared" si="20"/>
        <v>0</v>
      </c>
      <c r="BR28" s="87">
        <f t="shared" si="21"/>
        <v>0</v>
      </c>
      <c r="BU28" s="87">
        <f t="shared" si="22"/>
        <v>0</v>
      </c>
      <c r="BX28" s="87">
        <f t="shared" si="23"/>
        <v>0</v>
      </c>
      <c r="CA28" s="87">
        <f t="shared" si="24"/>
        <v>0</v>
      </c>
      <c r="CD28" s="87">
        <f t="shared" si="25"/>
        <v>0</v>
      </c>
      <c r="CG28" s="87">
        <f t="shared" si="26"/>
        <v>0</v>
      </c>
      <c r="CJ28" s="87">
        <f t="shared" si="27"/>
        <v>0</v>
      </c>
      <c r="CM28" s="87">
        <f t="shared" si="28"/>
        <v>0</v>
      </c>
      <c r="CP28" s="87">
        <f t="shared" si="29"/>
        <v>0</v>
      </c>
      <c r="CS28" s="87">
        <f t="shared" si="30"/>
        <v>0</v>
      </c>
      <c r="CV28" s="87">
        <f t="shared" si="31"/>
        <v>0</v>
      </c>
      <c r="CY28" s="87">
        <f t="shared" si="32"/>
        <v>0</v>
      </c>
      <c r="DB28" s="87">
        <f t="shared" si="33"/>
        <v>0</v>
      </c>
      <c r="DE28" s="87">
        <f t="shared" si="34"/>
        <v>0</v>
      </c>
      <c r="DH28" s="87">
        <f t="shared" si="35"/>
        <v>0</v>
      </c>
      <c r="DK28" s="87">
        <f t="shared" si="36"/>
        <v>0</v>
      </c>
      <c r="DN28" s="87">
        <f t="shared" si="37"/>
        <v>0</v>
      </c>
      <c r="DQ28" s="87">
        <f t="shared" si="38"/>
        <v>0</v>
      </c>
      <c r="DT28" s="87">
        <f t="shared" si="39"/>
        <v>0</v>
      </c>
      <c r="DW28" s="87">
        <f t="shared" si="40"/>
        <v>0</v>
      </c>
      <c r="DZ28" s="87"/>
      <c r="EA28" s="87"/>
      <c r="EB28" s="122">
        <f t="shared" si="41"/>
        <v>188625000</v>
      </c>
      <c r="EC28" s="122">
        <f t="shared" si="42"/>
        <v>0</v>
      </c>
      <c r="ED28" s="87">
        <f t="shared" si="43"/>
        <v>1124.25</v>
      </c>
      <c r="EE28" s="88">
        <f t="shared" si="44"/>
        <v>2.1456858846918489E-3</v>
      </c>
      <c r="EG28" s="122">
        <f t="shared" si="45"/>
        <v>0</v>
      </c>
      <c r="EH28" s="87">
        <f t="shared" si="46"/>
        <v>0</v>
      </c>
      <c r="EI28" s="88">
        <f t="shared" si="47"/>
        <v>0</v>
      </c>
      <c r="EJ28" s="88"/>
      <c r="EK28" s="122">
        <f t="shared" si="48"/>
        <v>188625000</v>
      </c>
      <c r="EL28" s="122">
        <f t="shared" si="49"/>
        <v>0</v>
      </c>
      <c r="EM28" s="122">
        <f t="shared" si="50"/>
        <v>1124.25</v>
      </c>
      <c r="EN28" s="88">
        <f t="shared" si="51"/>
        <v>2.1456858846918489E-3</v>
      </c>
      <c r="EP28" s="87"/>
    </row>
    <row r="29" spans="1:147" x14ac:dyDescent="0.25">
      <c r="A29" s="35">
        <f t="shared" si="52"/>
        <v>44305</v>
      </c>
      <c r="B29" s="87">
        <v>0</v>
      </c>
      <c r="D29" s="87">
        <f t="shared" si="1"/>
        <v>0</v>
      </c>
      <c r="G29" s="87">
        <f t="shared" si="2"/>
        <v>0</v>
      </c>
      <c r="J29" s="87">
        <f t="shared" si="3"/>
        <v>0</v>
      </c>
      <c r="M29" s="87">
        <f t="shared" si="4"/>
        <v>0</v>
      </c>
      <c r="P29" s="87">
        <f t="shared" si="5"/>
        <v>0</v>
      </c>
      <c r="S29" s="87">
        <f t="shared" si="6"/>
        <v>0</v>
      </c>
      <c r="V29" s="87">
        <f t="shared" si="7"/>
        <v>0</v>
      </c>
      <c r="Y29" s="87">
        <f t="shared" si="8"/>
        <v>0</v>
      </c>
      <c r="AB29" s="87">
        <f t="shared" si="9"/>
        <v>0</v>
      </c>
      <c r="AE29" s="87">
        <v>0</v>
      </c>
      <c r="AH29" s="87">
        <v>0</v>
      </c>
      <c r="AI29" s="120">
        <f>44450000</f>
        <v>44450000</v>
      </c>
      <c r="AJ29" s="121">
        <v>1.8E-3</v>
      </c>
      <c r="AK29" s="87">
        <f t="shared" si="10"/>
        <v>222.25</v>
      </c>
      <c r="AL29" s="120">
        <f t="shared" ref="AL29:AL40" si="54">53150000+50000000</f>
        <v>103150000</v>
      </c>
      <c r="AM29" s="121">
        <v>2.5000000000000001E-3</v>
      </c>
      <c r="AN29" s="87">
        <f t="shared" si="11"/>
        <v>716.31944444444446</v>
      </c>
      <c r="AO29" s="120">
        <f t="shared" si="53"/>
        <v>40000000</v>
      </c>
      <c r="AP29" s="121">
        <v>2.5000000000000001E-3</v>
      </c>
      <c r="AQ29" s="87">
        <f t="shared" si="12"/>
        <v>277.77777777777777</v>
      </c>
      <c r="AR29" s="120"/>
      <c r="AS29" s="121"/>
      <c r="AT29" s="87">
        <f t="shared" si="13"/>
        <v>0</v>
      </c>
      <c r="AW29" s="87">
        <f t="shared" si="14"/>
        <v>0</v>
      </c>
      <c r="AZ29" s="87">
        <f t="shared" si="15"/>
        <v>0</v>
      </c>
      <c r="BC29" s="87">
        <f t="shared" si="16"/>
        <v>0</v>
      </c>
      <c r="BF29" s="87">
        <f t="shared" si="17"/>
        <v>0</v>
      </c>
      <c r="BI29" s="87">
        <f t="shared" si="18"/>
        <v>0</v>
      </c>
      <c r="BL29" s="87">
        <f t="shared" si="19"/>
        <v>0</v>
      </c>
      <c r="BO29" s="87">
        <f t="shared" si="20"/>
        <v>0</v>
      </c>
      <c r="BR29" s="87">
        <f t="shared" si="21"/>
        <v>0</v>
      </c>
      <c r="BU29" s="87">
        <f t="shared" si="22"/>
        <v>0</v>
      </c>
      <c r="BX29" s="87">
        <f t="shared" si="23"/>
        <v>0</v>
      </c>
      <c r="CA29" s="87">
        <f t="shared" si="24"/>
        <v>0</v>
      </c>
      <c r="CD29" s="87">
        <f t="shared" si="25"/>
        <v>0</v>
      </c>
      <c r="CG29" s="87">
        <f t="shared" si="26"/>
        <v>0</v>
      </c>
      <c r="CJ29" s="87">
        <f t="shared" si="27"/>
        <v>0</v>
      </c>
      <c r="CM29" s="87">
        <f t="shared" si="28"/>
        <v>0</v>
      </c>
      <c r="CP29" s="87">
        <f t="shared" si="29"/>
        <v>0</v>
      </c>
      <c r="CS29" s="87">
        <f t="shared" si="30"/>
        <v>0</v>
      </c>
      <c r="CV29" s="87">
        <f t="shared" si="31"/>
        <v>0</v>
      </c>
      <c r="CY29" s="87">
        <f t="shared" si="32"/>
        <v>0</v>
      </c>
      <c r="DB29" s="87">
        <f t="shared" si="33"/>
        <v>0</v>
      </c>
      <c r="DE29" s="87">
        <f t="shared" si="34"/>
        <v>0</v>
      </c>
      <c r="DH29" s="87">
        <f t="shared" si="35"/>
        <v>0</v>
      </c>
      <c r="DK29" s="87">
        <f t="shared" si="36"/>
        <v>0</v>
      </c>
      <c r="DN29" s="87">
        <f t="shared" si="37"/>
        <v>0</v>
      </c>
      <c r="DQ29" s="87">
        <f t="shared" si="38"/>
        <v>0</v>
      </c>
      <c r="DT29" s="87">
        <f t="shared" si="39"/>
        <v>0</v>
      </c>
      <c r="DW29" s="87">
        <f t="shared" si="40"/>
        <v>0</v>
      </c>
      <c r="DZ29" s="87"/>
      <c r="EA29" s="87"/>
      <c r="EB29" s="122">
        <f t="shared" si="41"/>
        <v>187600000</v>
      </c>
      <c r="EC29" s="122">
        <f t="shared" si="42"/>
        <v>0</v>
      </c>
      <c r="ED29" s="87">
        <f t="shared" si="43"/>
        <v>1216.3472222222222</v>
      </c>
      <c r="EE29" s="88">
        <f t="shared" si="44"/>
        <v>2.3341417910447758E-3</v>
      </c>
      <c r="EG29" s="122">
        <f t="shared" si="45"/>
        <v>0</v>
      </c>
      <c r="EH29" s="87">
        <f t="shared" si="46"/>
        <v>0</v>
      </c>
      <c r="EI29" s="88">
        <f t="shared" si="47"/>
        <v>0</v>
      </c>
      <c r="EJ29" s="88"/>
      <c r="EK29" s="122">
        <f t="shared" si="48"/>
        <v>187600000</v>
      </c>
      <c r="EL29" s="122">
        <f t="shared" si="49"/>
        <v>0</v>
      </c>
      <c r="EM29" s="122">
        <f t="shared" si="50"/>
        <v>1216.3472222222222</v>
      </c>
      <c r="EN29" s="88">
        <f t="shared" si="51"/>
        <v>2.3341417910447758E-3</v>
      </c>
      <c r="EP29" s="87"/>
    </row>
    <row r="30" spans="1:147" x14ac:dyDescent="0.25">
      <c r="A30" s="35">
        <f t="shared" si="52"/>
        <v>44306</v>
      </c>
      <c r="B30" s="87">
        <v>0</v>
      </c>
      <c r="D30" s="87">
        <f t="shared" si="1"/>
        <v>0</v>
      </c>
      <c r="G30" s="87">
        <f t="shared" si="2"/>
        <v>0</v>
      </c>
      <c r="J30" s="87">
        <f t="shared" si="3"/>
        <v>0</v>
      </c>
      <c r="M30" s="87">
        <f t="shared" si="4"/>
        <v>0</v>
      </c>
      <c r="P30" s="87">
        <f t="shared" si="5"/>
        <v>0</v>
      </c>
      <c r="S30" s="87">
        <f t="shared" si="6"/>
        <v>0</v>
      </c>
      <c r="V30" s="87">
        <f t="shared" si="7"/>
        <v>0</v>
      </c>
      <c r="Y30" s="87">
        <f t="shared" si="8"/>
        <v>0</v>
      </c>
      <c r="AB30" s="87">
        <f t="shared" si="9"/>
        <v>0</v>
      </c>
      <c r="AE30" s="87">
        <v>0</v>
      </c>
      <c r="AH30" s="87">
        <v>0</v>
      </c>
      <c r="AI30" s="120">
        <f>80075000</f>
        <v>80075000</v>
      </c>
      <c r="AJ30" s="121">
        <v>1.8E-3</v>
      </c>
      <c r="AK30" s="87">
        <f t="shared" si="10"/>
        <v>400.375</v>
      </c>
      <c r="AL30" s="120">
        <f t="shared" si="54"/>
        <v>103150000</v>
      </c>
      <c r="AM30" s="121">
        <v>2.5000000000000001E-3</v>
      </c>
      <c r="AN30" s="87">
        <f t="shared" si="11"/>
        <v>716.31944444444446</v>
      </c>
      <c r="AO30" s="120">
        <f t="shared" si="53"/>
        <v>40000000</v>
      </c>
      <c r="AP30" s="121">
        <v>2.5000000000000001E-3</v>
      </c>
      <c r="AQ30" s="87">
        <f t="shared" si="12"/>
        <v>277.77777777777777</v>
      </c>
      <c r="AR30" s="120"/>
      <c r="AS30" s="121"/>
      <c r="AT30" s="87">
        <f t="shared" si="13"/>
        <v>0</v>
      </c>
      <c r="AW30" s="87">
        <f t="shared" si="14"/>
        <v>0</v>
      </c>
      <c r="AZ30" s="87">
        <f t="shared" si="15"/>
        <v>0</v>
      </c>
      <c r="BC30" s="87">
        <f t="shared" si="16"/>
        <v>0</v>
      </c>
      <c r="BF30" s="87">
        <f t="shared" si="17"/>
        <v>0</v>
      </c>
      <c r="BI30" s="87">
        <f t="shared" si="18"/>
        <v>0</v>
      </c>
      <c r="BL30" s="87">
        <f t="shared" si="19"/>
        <v>0</v>
      </c>
      <c r="BO30" s="87">
        <f t="shared" si="20"/>
        <v>0</v>
      </c>
      <c r="BR30" s="87">
        <f t="shared" si="21"/>
        <v>0</v>
      </c>
      <c r="BU30" s="87">
        <f t="shared" si="22"/>
        <v>0</v>
      </c>
      <c r="BX30" s="87">
        <f t="shared" si="23"/>
        <v>0</v>
      </c>
      <c r="CA30" s="87">
        <f t="shared" si="24"/>
        <v>0</v>
      </c>
      <c r="CD30" s="87">
        <f t="shared" si="25"/>
        <v>0</v>
      </c>
      <c r="CG30" s="87">
        <f t="shared" si="26"/>
        <v>0</v>
      </c>
      <c r="CJ30" s="87">
        <f t="shared" si="27"/>
        <v>0</v>
      </c>
      <c r="CM30" s="87">
        <f t="shared" si="28"/>
        <v>0</v>
      </c>
      <c r="CP30" s="87">
        <f t="shared" si="29"/>
        <v>0</v>
      </c>
      <c r="CS30" s="87">
        <f t="shared" si="30"/>
        <v>0</v>
      </c>
      <c r="CV30" s="87">
        <f t="shared" si="31"/>
        <v>0</v>
      </c>
      <c r="CY30" s="87">
        <f t="shared" si="32"/>
        <v>0</v>
      </c>
      <c r="DB30" s="87">
        <f t="shared" si="33"/>
        <v>0</v>
      </c>
      <c r="DE30" s="87">
        <f t="shared" si="34"/>
        <v>0</v>
      </c>
      <c r="DH30" s="87">
        <f t="shared" si="35"/>
        <v>0</v>
      </c>
      <c r="DK30" s="87">
        <f t="shared" si="36"/>
        <v>0</v>
      </c>
      <c r="DN30" s="87">
        <f t="shared" si="37"/>
        <v>0</v>
      </c>
      <c r="DQ30" s="87">
        <f t="shared" si="38"/>
        <v>0</v>
      </c>
      <c r="DT30" s="87">
        <f t="shared" si="39"/>
        <v>0</v>
      </c>
      <c r="DW30" s="87">
        <f t="shared" si="40"/>
        <v>0</v>
      </c>
      <c r="DZ30" s="87"/>
      <c r="EA30" s="87"/>
      <c r="EB30" s="122">
        <f t="shared" si="41"/>
        <v>223225000</v>
      </c>
      <c r="EC30" s="122">
        <f t="shared" si="42"/>
        <v>0</v>
      </c>
      <c r="ED30" s="87">
        <f t="shared" si="43"/>
        <v>1394.4722222222222</v>
      </c>
      <c r="EE30" s="88">
        <f t="shared" si="44"/>
        <v>2.2488968529510581E-3</v>
      </c>
      <c r="EG30" s="122">
        <f t="shared" si="45"/>
        <v>0</v>
      </c>
      <c r="EH30" s="87">
        <f t="shared" si="46"/>
        <v>0</v>
      </c>
      <c r="EI30" s="88">
        <f t="shared" si="47"/>
        <v>0</v>
      </c>
      <c r="EJ30" s="88"/>
      <c r="EK30" s="122">
        <f t="shared" si="48"/>
        <v>223225000</v>
      </c>
      <c r="EL30" s="122">
        <f t="shared" si="49"/>
        <v>0</v>
      </c>
      <c r="EM30" s="122">
        <f t="shared" si="50"/>
        <v>1394.4722222222222</v>
      </c>
      <c r="EN30" s="88">
        <f t="shared" si="51"/>
        <v>2.2488968529510581E-3</v>
      </c>
      <c r="EP30" s="87"/>
    </row>
    <row r="31" spans="1:147" x14ac:dyDescent="0.25">
      <c r="A31" s="35">
        <f t="shared" si="52"/>
        <v>44307</v>
      </c>
      <c r="B31" s="87">
        <v>0</v>
      </c>
      <c r="D31" s="87">
        <f t="shared" si="1"/>
        <v>0</v>
      </c>
      <c r="G31" s="87">
        <f t="shared" si="2"/>
        <v>0</v>
      </c>
      <c r="J31" s="87">
        <f t="shared" si="3"/>
        <v>0</v>
      </c>
      <c r="M31" s="87">
        <f t="shared" si="4"/>
        <v>0</v>
      </c>
      <c r="P31" s="87">
        <f t="shared" si="5"/>
        <v>0</v>
      </c>
      <c r="S31" s="87">
        <f t="shared" si="6"/>
        <v>0</v>
      </c>
      <c r="V31" s="87">
        <f t="shared" si="7"/>
        <v>0</v>
      </c>
      <c r="Y31" s="87">
        <f t="shared" si="8"/>
        <v>0</v>
      </c>
      <c r="AB31" s="87">
        <f t="shared" si="9"/>
        <v>0</v>
      </c>
      <c r="AE31" s="87">
        <v>0</v>
      </c>
      <c r="AH31" s="87">
        <v>0</v>
      </c>
      <c r="AI31" s="120">
        <f>72800000</f>
        <v>72800000</v>
      </c>
      <c r="AJ31" s="121">
        <v>1.8E-3</v>
      </c>
      <c r="AK31" s="87">
        <f t="shared" si="10"/>
        <v>364</v>
      </c>
      <c r="AL31" s="120">
        <f t="shared" si="54"/>
        <v>103150000</v>
      </c>
      <c r="AM31" s="121">
        <v>2.5000000000000001E-3</v>
      </c>
      <c r="AN31" s="87">
        <f t="shared" si="11"/>
        <v>716.31944444444446</v>
      </c>
      <c r="AO31" s="120">
        <f t="shared" si="53"/>
        <v>40000000</v>
      </c>
      <c r="AP31" s="121">
        <v>2.5000000000000001E-3</v>
      </c>
      <c r="AQ31" s="87">
        <f t="shared" si="12"/>
        <v>277.77777777777777</v>
      </c>
      <c r="AR31" s="120"/>
      <c r="AS31" s="121"/>
      <c r="AT31" s="87">
        <f t="shared" si="13"/>
        <v>0</v>
      </c>
      <c r="AW31" s="87">
        <f t="shared" si="14"/>
        <v>0</v>
      </c>
      <c r="AZ31" s="87">
        <f t="shared" si="15"/>
        <v>0</v>
      </c>
      <c r="BC31" s="87">
        <f t="shared" si="16"/>
        <v>0</v>
      </c>
      <c r="BF31" s="87">
        <f t="shared" si="17"/>
        <v>0</v>
      </c>
      <c r="BI31" s="87">
        <f t="shared" si="18"/>
        <v>0</v>
      </c>
      <c r="BL31" s="87">
        <f t="shared" si="19"/>
        <v>0</v>
      </c>
      <c r="BO31" s="87">
        <f t="shared" si="20"/>
        <v>0</v>
      </c>
      <c r="BR31" s="87">
        <f t="shared" si="21"/>
        <v>0</v>
      </c>
      <c r="BU31" s="87">
        <f t="shared" si="22"/>
        <v>0</v>
      </c>
      <c r="BX31" s="87">
        <f t="shared" si="23"/>
        <v>0</v>
      </c>
      <c r="CA31" s="87">
        <f t="shared" si="24"/>
        <v>0</v>
      </c>
      <c r="CD31" s="87">
        <f t="shared" si="25"/>
        <v>0</v>
      </c>
      <c r="CG31" s="87">
        <f t="shared" si="26"/>
        <v>0</v>
      </c>
      <c r="CJ31" s="87">
        <f t="shared" si="27"/>
        <v>0</v>
      </c>
      <c r="CM31" s="87">
        <f t="shared" si="28"/>
        <v>0</v>
      </c>
      <c r="CP31" s="87">
        <f t="shared" si="29"/>
        <v>0</v>
      </c>
      <c r="CS31" s="87">
        <f t="shared" si="30"/>
        <v>0</v>
      </c>
      <c r="CV31" s="87">
        <f t="shared" si="31"/>
        <v>0</v>
      </c>
      <c r="CY31" s="87">
        <f t="shared" si="32"/>
        <v>0</v>
      </c>
      <c r="DB31" s="87">
        <f t="shared" si="33"/>
        <v>0</v>
      </c>
      <c r="DE31" s="87">
        <f t="shared" si="34"/>
        <v>0</v>
      </c>
      <c r="DH31" s="87">
        <f t="shared" si="35"/>
        <v>0</v>
      </c>
      <c r="DK31" s="87">
        <f t="shared" si="36"/>
        <v>0</v>
      </c>
      <c r="DN31" s="87">
        <f t="shared" si="37"/>
        <v>0</v>
      </c>
      <c r="DQ31" s="87">
        <f t="shared" si="38"/>
        <v>0</v>
      </c>
      <c r="DT31" s="87">
        <f t="shared" si="39"/>
        <v>0</v>
      </c>
      <c r="DW31" s="87">
        <f t="shared" si="40"/>
        <v>0</v>
      </c>
      <c r="DZ31" s="87"/>
      <c r="EA31" s="87"/>
      <c r="EB31" s="122">
        <f t="shared" si="41"/>
        <v>215950000</v>
      </c>
      <c r="EC31" s="122">
        <f t="shared" si="42"/>
        <v>0</v>
      </c>
      <c r="ED31" s="87">
        <f t="shared" si="43"/>
        <v>1358.0972222222222</v>
      </c>
      <c r="EE31" s="88">
        <f t="shared" si="44"/>
        <v>2.2640194489465153E-3</v>
      </c>
      <c r="EG31" s="122">
        <f t="shared" si="45"/>
        <v>0</v>
      </c>
      <c r="EH31" s="87">
        <f t="shared" si="46"/>
        <v>0</v>
      </c>
      <c r="EI31" s="88">
        <f t="shared" si="47"/>
        <v>0</v>
      </c>
      <c r="EJ31" s="88"/>
      <c r="EK31" s="122">
        <f t="shared" si="48"/>
        <v>215950000</v>
      </c>
      <c r="EL31" s="122">
        <f t="shared" si="49"/>
        <v>0</v>
      </c>
      <c r="EM31" s="122">
        <f t="shared" si="50"/>
        <v>1358.0972222222222</v>
      </c>
      <c r="EN31" s="88">
        <f t="shared" si="51"/>
        <v>2.2640194489465153E-3</v>
      </c>
      <c r="EP31" s="87"/>
    </row>
    <row r="32" spans="1:147" x14ac:dyDescent="0.25">
      <c r="A32" s="35">
        <f t="shared" si="52"/>
        <v>44308</v>
      </c>
      <c r="B32" s="87">
        <v>0</v>
      </c>
      <c r="D32" s="87">
        <f t="shared" si="1"/>
        <v>0</v>
      </c>
      <c r="G32" s="87">
        <f t="shared" si="2"/>
        <v>0</v>
      </c>
      <c r="J32" s="87">
        <f t="shared" si="3"/>
        <v>0</v>
      </c>
      <c r="M32" s="87">
        <f t="shared" si="4"/>
        <v>0</v>
      </c>
      <c r="P32" s="87">
        <f t="shared" si="5"/>
        <v>0</v>
      </c>
      <c r="S32" s="87">
        <f t="shared" si="6"/>
        <v>0</v>
      </c>
      <c r="V32" s="87">
        <f t="shared" si="7"/>
        <v>0</v>
      </c>
      <c r="Y32" s="87">
        <f t="shared" si="8"/>
        <v>0</v>
      </c>
      <c r="AB32" s="87">
        <f t="shared" si="9"/>
        <v>0</v>
      </c>
      <c r="AE32" s="87">
        <v>0</v>
      </c>
      <c r="AH32" s="87">
        <v>0</v>
      </c>
      <c r="AI32" s="120">
        <f>71425000</f>
        <v>71425000</v>
      </c>
      <c r="AJ32" s="121">
        <v>1.8E-3</v>
      </c>
      <c r="AK32" s="87">
        <f t="shared" si="10"/>
        <v>357.125</v>
      </c>
      <c r="AL32" s="120">
        <f t="shared" si="54"/>
        <v>103150000</v>
      </c>
      <c r="AM32" s="121">
        <v>2.5000000000000001E-3</v>
      </c>
      <c r="AN32" s="87">
        <f t="shared" si="11"/>
        <v>716.31944444444446</v>
      </c>
      <c r="AO32" s="120">
        <f t="shared" si="53"/>
        <v>40000000</v>
      </c>
      <c r="AP32" s="121">
        <v>2.5000000000000001E-3</v>
      </c>
      <c r="AQ32" s="87">
        <f t="shared" si="12"/>
        <v>277.77777777777777</v>
      </c>
      <c r="AR32" s="120"/>
      <c r="AS32" s="121"/>
      <c r="AT32" s="87">
        <f t="shared" si="13"/>
        <v>0</v>
      </c>
      <c r="AW32" s="87">
        <f t="shared" si="14"/>
        <v>0</v>
      </c>
      <c r="AZ32" s="87">
        <f t="shared" si="15"/>
        <v>0</v>
      </c>
      <c r="BC32" s="87">
        <f t="shared" si="16"/>
        <v>0</v>
      </c>
      <c r="BF32" s="87">
        <f t="shared" si="17"/>
        <v>0</v>
      </c>
      <c r="BI32" s="87">
        <f t="shared" si="18"/>
        <v>0</v>
      </c>
      <c r="BL32" s="87">
        <f t="shared" si="19"/>
        <v>0</v>
      </c>
      <c r="BO32" s="87">
        <f t="shared" si="20"/>
        <v>0</v>
      </c>
      <c r="BR32" s="87">
        <f t="shared" si="21"/>
        <v>0</v>
      </c>
      <c r="BU32" s="87">
        <f t="shared" si="22"/>
        <v>0</v>
      </c>
      <c r="BX32" s="87">
        <f t="shared" si="23"/>
        <v>0</v>
      </c>
      <c r="CA32" s="87">
        <f t="shared" si="24"/>
        <v>0</v>
      </c>
      <c r="CD32" s="87">
        <f t="shared" si="25"/>
        <v>0</v>
      </c>
      <c r="CG32" s="87">
        <f t="shared" si="26"/>
        <v>0</v>
      </c>
      <c r="CJ32" s="87">
        <f t="shared" si="27"/>
        <v>0</v>
      </c>
      <c r="CM32" s="87">
        <f t="shared" si="28"/>
        <v>0</v>
      </c>
      <c r="CP32" s="87">
        <f t="shared" si="29"/>
        <v>0</v>
      </c>
      <c r="CS32" s="87">
        <f t="shared" si="30"/>
        <v>0</v>
      </c>
      <c r="CV32" s="87">
        <f t="shared" si="31"/>
        <v>0</v>
      </c>
      <c r="CY32" s="87">
        <f t="shared" si="32"/>
        <v>0</v>
      </c>
      <c r="DB32" s="87">
        <f t="shared" si="33"/>
        <v>0</v>
      </c>
      <c r="DE32" s="87">
        <f t="shared" si="34"/>
        <v>0</v>
      </c>
      <c r="DH32" s="87">
        <f t="shared" si="35"/>
        <v>0</v>
      </c>
      <c r="DK32" s="87">
        <f t="shared" si="36"/>
        <v>0</v>
      </c>
      <c r="DN32" s="87">
        <f t="shared" si="37"/>
        <v>0</v>
      </c>
      <c r="DQ32" s="87">
        <f t="shared" si="38"/>
        <v>0</v>
      </c>
      <c r="DT32" s="87">
        <f t="shared" si="39"/>
        <v>0</v>
      </c>
      <c r="DW32" s="87">
        <f t="shared" si="40"/>
        <v>0</v>
      </c>
      <c r="DZ32" s="87"/>
      <c r="EA32" s="87"/>
      <c r="EB32" s="122">
        <f t="shared" si="41"/>
        <v>214575000</v>
      </c>
      <c r="EC32" s="122">
        <f t="shared" si="42"/>
        <v>0</v>
      </c>
      <c r="ED32" s="87">
        <f t="shared" si="43"/>
        <v>1351.2222222222222</v>
      </c>
      <c r="EE32" s="88">
        <f t="shared" si="44"/>
        <v>2.2669928929278807E-3</v>
      </c>
      <c r="EG32" s="122">
        <f t="shared" si="45"/>
        <v>0</v>
      </c>
      <c r="EH32" s="87">
        <f t="shared" si="46"/>
        <v>0</v>
      </c>
      <c r="EI32" s="88">
        <f t="shared" si="47"/>
        <v>0</v>
      </c>
      <c r="EJ32" s="88"/>
      <c r="EK32" s="122">
        <f t="shared" si="48"/>
        <v>214575000</v>
      </c>
      <c r="EL32" s="122">
        <f t="shared" si="49"/>
        <v>0</v>
      </c>
      <c r="EM32" s="122">
        <f t="shared" si="50"/>
        <v>1351.2222222222222</v>
      </c>
      <c r="EN32" s="88">
        <f t="shared" si="51"/>
        <v>2.2669928929278807E-3</v>
      </c>
      <c r="EP32" s="87"/>
    </row>
    <row r="33" spans="1:148" x14ac:dyDescent="0.25">
      <c r="A33" s="35">
        <f t="shared" si="52"/>
        <v>44309</v>
      </c>
      <c r="B33" s="87">
        <v>0</v>
      </c>
      <c r="D33" s="87">
        <f t="shared" si="1"/>
        <v>0</v>
      </c>
      <c r="G33" s="87">
        <f t="shared" si="2"/>
        <v>0</v>
      </c>
      <c r="J33" s="87">
        <f t="shared" si="3"/>
        <v>0</v>
      </c>
      <c r="M33" s="87">
        <f t="shared" si="4"/>
        <v>0</v>
      </c>
      <c r="P33" s="87">
        <f t="shared" si="5"/>
        <v>0</v>
      </c>
      <c r="S33" s="87">
        <f t="shared" si="6"/>
        <v>0</v>
      </c>
      <c r="V33" s="87">
        <f t="shared" si="7"/>
        <v>0</v>
      </c>
      <c r="Y33" s="87">
        <f t="shared" si="8"/>
        <v>0</v>
      </c>
      <c r="AB33" s="87">
        <f t="shared" si="9"/>
        <v>0</v>
      </c>
      <c r="AE33" s="87">
        <v>0</v>
      </c>
      <c r="AH33" s="87">
        <v>0</v>
      </c>
      <c r="AI33" s="120">
        <f>78900000</f>
        <v>78900000</v>
      </c>
      <c r="AJ33" s="121">
        <v>1.8E-3</v>
      </c>
      <c r="AK33" s="87">
        <f t="shared" si="10"/>
        <v>394.5</v>
      </c>
      <c r="AL33" s="120">
        <f t="shared" si="54"/>
        <v>103150000</v>
      </c>
      <c r="AM33" s="121">
        <v>2.5000000000000001E-3</v>
      </c>
      <c r="AN33" s="87">
        <f t="shared" si="11"/>
        <v>716.31944444444446</v>
      </c>
      <c r="AO33" s="120">
        <f t="shared" si="53"/>
        <v>40000000</v>
      </c>
      <c r="AP33" s="121">
        <v>2.5000000000000001E-3</v>
      </c>
      <c r="AQ33" s="87">
        <f t="shared" si="12"/>
        <v>277.77777777777777</v>
      </c>
      <c r="AR33" s="120"/>
      <c r="AS33" s="121"/>
      <c r="AT33" s="87">
        <f t="shared" si="13"/>
        <v>0</v>
      </c>
      <c r="AW33" s="87">
        <f t="shared" si="14"/>
        <v>0</v>
      </c>
      <c r="AZ33" s="87">
        <f t="shared" si="15"/>
        <v>0</v>
      </c>
      <c r="BC33" s="87">
        <f t="shared" si="16"/>
        <v>0</v>
      </c>
      <c r="BF33" s="87">
        <f t="shared" si="17"/>
        <v>0</v>
      </c>
      <c r="BI33" s="87">
        <f t="shared" si="18"/>
        <v>0</v>
      </c>
      <c r="BL33" s="87">
        <f t="shared" si="19"/>
        <v>0</v>
      </c>
      <c r="BO33" s="87">
        <f t="shared" si="20"/>
        <v>0</v>
      </c>
      <c r="BR33" s="87">
        <f t="shared" si="21"/>
        <v>0</v>
      </c>
      <c r="BU33" s="87">
        <f t="shared" si="22"/>
        <v>0</v>
      </c>
      <c r="BX33" s="87">
        <f t="shared" si="23"/>
        <v>0</v>
      </c>
      <c r="CA33" s="87">
        <f t="shared" si="24"/>
        <v>0</v>
      </c>
      <c r="CD33" s="87">
        <f t="shared" si="25"/>
        <v>0</v>
      </c>
      <c r="CG33" s="87">
        <f t="shared" si="26"/>
        <v>0</v>
      </c>
      <c r="CJ33" s="87">
        <f t="shared" si="27"/>
        <v>0</v>
      </c>
      <c r="CM33" s="87">
        <f t="shared" si="28"/>
        <v>0</v>
      </c>
      <c r="CP33" s="87">
        <f t="shared" si="29"/>
        <v>0</v>
      </c>
      <c r="CS33" s="87">
        <f t="shared" si="30"/>
        <v>0</v>
      </c>
      <c r="CV33" s="87">
        <f t="shared" si="31"/>
        <v>0</v>
      </c>
      <c r="CY33" s="87">
        <f t="shared" si="32"/>
        <v>0</v>
      </c>
      <c r="DB33" s="87">
        <f t="shared" si="33"/>
        <v>0</v>
      </c>
      <c r="DE33" s="87">
        <f t="shared" si="34"/>
        <v>0</v>
      </c>
      <c r="DH33" s="87">
        <f t="shared" si="35"/>
        <v>0</v>
      </c>
      <c r="DK33" s="87">
        <f t="shared" si="36"/>
        <v>0</v>
      </c>
      <c r="DN33" s="87">
        <f t="shared" si="37"/>
        <v>0</v>
      </c>
      <c r="DQ33" s="87">
        <f t="shared" si="38"/>
        <v>0</v>
      </c>
      <c r="DT33" s="87">
        <f t="shared" si="39"/>
        <v>0</v>
      </c>
      <c r="DW33" s="87">
        <f t="shared" si="40"/>
        <v>0</v>
      </c>
      <c r="DZ33" s="87"/>
      <c r="EA33" s="87"/>
      <c r="EB33" s="122">
        <f t="shared" si="41"/>
        <v>222050000</v>
      </c>
      <c r="EC33" s="122">
        <f t="shared" si="42"/>
        <v>0</v>
      </c>
      <c r="ED33" s="87">
        <f t="shared" si="43"/>
        <v>1388.5972222222222</v>
      </c>
      <c r="EE33" s="88">
        <f t="shared" si="44"/>
        <v>2.2512722359828864E-3</v>
      </c>
      <c r="EG33" s="122">
        <f t="shared" si="45"/>
        <v>0</v>
      </c>
      <c r="EH33" s="87">
        <f t="shared" si="46"/>
        <v>0</v>
      </c>
      <c r="EI33" s="88">
        <f t="shared" si="47"/>
        <v>0</v>
      </c>
      <c r="EJ33" s="88"/>
      <c r="EK33" s="122">
        <f t="shared" si="48"/>
        <v>222050000</v>
      </c>
      <c r="EL33" s="122">
        <f t="shared" si="49"/>
        <v>0</v>
      </c>
      <c r="EM33" s="122">
        <f t="shared" si="50"/>
        <v>1388.5972222222222</v>
      </c>
      <c r="EN33" s="88">
        <f t="shared" si="51"/>
        <v>2.2512722359828864E-3</v>
      </c>
      <c r="EP33" s="87"/>
    </row>
    <row r="34" spans="1:148" x14ac:dyDescent="0.25">
      <c r="A34" s="35">
        <f t="shared" si="52"/>
        <v>44310</v>
      </c>
      <c r="B34" s="87">
        <v>0</v>
      </c>
      <c r="D34" s="87">
        <f t="shared" si="1"/>
        <v>0</v>
      </c>
      <c r="G34" s="87">
        <f t="shared" si="2"/>
        <v>0</v>
      </c>
      <c r="J34" s="87">
        <f t="shared" si="3"/>
        <v>0</v>
      </c>
      <c r="M34" s="87">
        <f t="shared" si="4"/>
        <v>0</v>
      </c>
      <c r="P34" s="87">
        <f t="shared" si="5"/>
        <v>0</v>
      </c>
      <c r="S34" s="87">
        <f t="shared" si="6"/>
        <v>0</v>
      </c>
      <c r="V34" s="87">
        <f t="shared" si="7"/>
        <v>0</v>
      </c>
      <c r="Y34" s="87">
        <f t="shared" si="8"/>
        <v>0</v>
      </c>
      <c r="AB34" s="87">
        <f t="shared" si="9"/>
        <v>0</v>
      </c>
      <c r="AE34" s="87">
        <v>0</v>
      </c>
      <c r="AH34" s="87">
        <v>0</v>
      </c>
      <c r="AI34" s="120">
        <f>78900000</f>
        <v>78900000</v>
      </c>
      <c r="AJ34" s="121">
        <v>1.8E-3</v>
      </c>
      <c r="AK34" s="87">
        <f t="shared" si="10"/>
        <v>394.5</v>
      </c>
      <c r="AL34" s="120">
        <f t="shared" si="54"/>
        <v>103150000</v>
      </c>
      <c r="AM34" s="121">
        <v>2.5000000000000001E-3</v>
      </c>
      <c r="AN34" s="87">
        <f t="shared" si="11"/>
        <v>716.31944444444446</v>
      </c>
      <c r="AO34" s="120">
        <f t="shared" si="53"/>
        <v>40000000</v>
      </c>
      <c r="AP34" s="121">
        <v>2.5000000000000001E-3</v>
      </c>
      <c r="AQ34" s="87">
        <f t="shared" si="12"/>
        <v>277.77777777777777</v>
      </c>
      <c r="AR34" s="120"/>
      <c r="AS34" s="121"/>
      <c r="AT34" s="87">
        <f t="shared" si="13"/>
        <v>0</v>
      </c>
      <c r="AW34" s="87">
        <f t="shared" si="14"/>
        <v>0</v>
      </c>
      <c r="AZ34" s="87">
        <f t="shared" si="15"/>
        <v>0</v>
      </c>
      <c r="BC34" s="87">
        <f t="shared" si="16"/>
        <v>0</v>
      </c>
      <c r="BF34" s="87">
        <f t="shared" si="17"/>
        <v>0</v>
      </c>
      <c r="BI34" s="87">
        <f t="shared" si="18"/>
        <v>0</v>
      </c>
      <c r="BL34" s="87">
        <f t="shared" si="19"/>
        <v>0</v>
      </c>
      <c r="BO34" s="87">
        <f t="shared" si="20"/>
        <v>0</v>
      </c>
      <c r="BR34" s="87">
        <f t="shared" si="21"/>
        <v>0</v>
      </c>
      <c r="BU34" s="87">
        <f t="shared" si="22"/>
        <v>0</v>
      </c>
      <c r="BX34" s="87">
        <f t="shared" si="23"/>
        <v>0</v>
      </c>
      <c r="CA34" s="87">
        <f t="shared" si="24"/>
        <v>0</v>
      </c>
      <c r="CD34" s="87">
        <f t="shared" si="25"/>
        <v>0</v>
      </c>
      <c r="CG34" s="87">
        <f t="shared" si="26"/>
        <v>0</v>
      </c>
      <c r="CJ34" s="87">
        <f t="shared" si="27"/>
        <v>0</v>
      </c>
      <c r="CM34" s="87">
        <f t="shared" si="28"/>
        <v>0</v>
      </c>
      <c r="CP34" s="87">
        <f t="shared" si="29"/>
        <v>0</v>
      </c>
      <c r="CS34" s="87">
        <f t="shared" si="30"/>
        <v>0</v>
      </c>
      <c r="CV34" s="87">
        <f t="shared" si="31"/>
        <v>0</v>
      </c>
      <c r="CY34" s="87">
        <f t="shared" si="32"/>
        <v>0</v>
      </c>
      <c r="DB34" s="87">
        <f t="shared" si="33"/>
        <v>0</v>
      </c>
      <c r="DE34" s="87">
        <f t="shared" si="34"/>
        <v>0</v>
      </c>
      <c r="DH34" s="87">
        <f t="shared" si="35"/>
        <v>0</v>
      </c>
      <c r="DK34" s="87">
        <f t="shared" si="36"/>
        <v>0</v>
      </c>
      <c r="DN34" s="87">
        <f t="shared" si="37"/>
        <v>0</v>
      </c>
      <c r="DQ34" s="87">
        <f t="shared" si="38"/>
        <v>0</v>
      </c>
      <c r="DT34" s="87">
        <f t="shared" si="39"/>
        <v>0</v>
      </c>
      <c r="DW34" s="87">
        <f t="shared" si="40"/>
        <v>0</v>
      </c>
      <c r="DZ34" s="87"/>
      <c r="EA34" s="87"/>
      <c r="EB34" s="122">
        <f t="shared" si="41"/>
        <v>222050000</v>
      </c>
      <c r="EC34" s="122">
        <f t="shared" si="42"/>
        <v>0</v>
      </c>
      <c r="ED34" s="87">
        <f t="shared" si="43"/>
        <v>1388.5972222222222</v>
      </c>
      <c r="EE34" s="88">
        <f t="shared" si="44"/>
        <v>2.2512722359828864E-3</v>
      </c>
      <c r="EG34" s="122">
        <f t="shared" si="45"/>
        <v>0</v>
      </c>
      <c r="EH34" s="87">
        <f t="shared" si="46"/>
        <v>0</v>
      </c>
      <c r="EI34" s="88">
        <f t="shared" si="47"/>
        <v>0</v>
      </c>
      <c r="EJ34" s="88"/>
      <c r="EK34" s="122">
        <f t="shared" si="48"/>
        <v>222050000</v>
      </c>
      <c r="EL34" s="122">
        <f t="shared" si="49"/>
        <v>0</v>
      </c>
      <c r="EM34" s="122">
        <f t="shared" si="50"/>
        <v>1388.5972222222222</v>
      </c>
      <c r="EN34" s="88">
        <f t="shared" si="51"/>
        <v>2.2512722359828864E-3</v>
      </c>
      <c r="EP34" s="87"/>
    </row>
    <row r="35" spans="1:148" x14ac:dyDescent="0.25">
      <c r="A35" s="35">
        <f t="shared" si="52"/>
        <v>44311</v>
      </c>
      <c r="B35" s="87">
        <v>0</v>
      </c>
      <c r="D35" s="87">
        <f t="shared" si="1"/>
        <v>0</v>
      </c>
      <c r="G35" s="87">
        <f t="shared" si="2"/>
        <v>0</v>
      </c>
      <c r="J35" s="87">
        <f t="shared" si="3"/>
        <v>0</v>
      </c>
      <c r="M35" s="87">
        <f t="shared" si="4"/>
        <v>0</v>
      </c>
      <c r="P35" s="87">
        <f t="shared" si="5"/>
        <v>0</v>
      </c>
      <c r="S35" s="87">
        <f t="shared" si="6"/>
        <v>0</v>
      </c>
      <c r="V35" s="87">
        <f t="shared" si="7"/>
        <v>0</v>
      </c>
      <c r="Y35" s="87">
        <f t="shared" si="8"/>
        <v>0</v>
      </c>
      <c r="AB35" s="87">
        <f t="shared" si="9"/>
        <v>0</v>
      </c>
      <c r="AE35" s="87">
        <v>0</v>
      </c>
      <c r="AH35" s="87">
        <v>0</v>
      </c>
      <c r="AI35" s="120">
        <f>78900000</f>
        <v>78900000</v>
      </c>
      <c r="AJ35" s="121">
        <v>1.8E-3</v>
      </c>
      <c r="AK35" s="87">
        <f t="shared" si="10"/>
        <v>394.5</v>
      </c>
      <c r="AL35" s="120">
        <f t="shared" si="54"/>
        <v>103150000</v>
      </c>
      <c r="AM35" s="121">
        <v>2.5000000000000001E-3</v>
      </c>
      <c r="AN35" s="87">
        <f t="shared" si="11"/>
        <v>716.31944444444446</v>
      </c>
      <c r="AO35" s="120">
        <f t="shared" si="53"/>
        <v>40000000</v>
      </c>
      <c r="AP35" s="121">
        <v>2.5000000000000001E-3</v>
      </c>
      <c r="AQ35" s="87">
        <f t="shared" si="12"/>
        <v>277.77777777777777</v>
      </c>
      <c r="AR35" s="120"/>
      <c r="AS35" s="121"/>
      <c r="AT35" s="87">
        <f t="shared" si="13"/>
        <v>0</v>
      </c>
      <c r="AW35" s="87">
        <f t="shared" si="14"/>
        <v>0</v>
      </c>
      <c r="AZ35" s="87">
        <f t="shared" si="15"/>
        <v>0</v>
      </c>
      <c r="BC35" s="87">
        <f t="shared" si="16"/>
        <v>0</v>
      </c>
      <c r="BF35" s="87">
        <f t="shared" si="17"/>
        <v>0</v>
      </c>
      <c r="BI35" s="87">
        <f t="shared" si="18"/>
        <v>0</v>
      </c>
      <c r="BL35" s="87">
        <f t="shared" si="19"/>
        <v>0</v>
      </c>
      <c r="BO35" s="87">
        <f t="shared" si="20"/>
        <v>0</v>
      </c>
      <c r="BR35" s="87">
        <f t="shared" si="21"/>
        <v>0</v>
      </c>
      <c r="BU35" s="87">
        <f t="shared" si="22"/>
        <v>0</v>
      </c>
      <c r="BX35" s="87">
        <f t="shared" si="23"/>
        <v>0</v>
      </c>
      <c r="CA35" s="87">
        <f t="shared" si="24"/>
        <v>0</v>
      </c>
      <c r="CD35" s="87">
        <f t="shared" si="25"/>
        <v>0</v>
      </c>
      <c r="CG35" s="87">
        <f t="shared" si="26"/>
        <v>0</v>
      </c>
      <c r="CJ35" s="87">
        <f t="shared" si="27"/>
        <v>0</v>
      </c>
      <c r="CM35" s="87">
        <f t="shared" si="28"/>
        <v>0</v>
      </c>
      <c r="CP35" s="87">
        <f t="shared" si="29"/>
        <v>0</v>
      </c>
      <c r="CS35" s="87">
        <f t="shared" si="30"/>
        <v>0</v>
      </c>
      <c r="CV35" s="87">
        <f t="shared" si="31"/>
        <v>0</v>
      </c>
      <c r="CY35" s="87">
        <f t="shared" si="32"/>
        <v>0</v>
      </c>
      <c r="DB35" s="87">
        <f t="shared" si="33"/>
        <v>0</v>
      </c>
      <c r="DE35" s="87">
        <f t="shared" si="34"/>
        <v>0</v>
      </c>
      <c r="DH35" s="87">
        <f t="shared" si="35"/>
        <v>0</v>
      </c>
      <c r="DK35" s="87">
        <f t="shared" si="36"/>
        <v>0</v>
      </c>
      <c r="DN35" s="87">
        <f t="shared" si="37"/>
        <v>0</v>
      </c>
      <c r="DQ35" s="87">
        <f t="shared" si="38"/>
        <v>0</v>
      </c>
      <c r="DT35" s="87">
        <f t="shared" si="39"/>
        <v>0</v>
      </c>
      <c r="DW35" s="87">
        <f t="shared" si="40"/>
        <v>0</v>
      </c>
      <c r="DZ35" s="87"/>
      <c r="EA35" s="87"/>
      <c r="EB35" s="122">
        <f t="shared" si="41"/>
        <v>222050000</v>
      </c>
      <c r="EC35" s="122">
        <f t="shared" si="42"/>
        <v>0</v>
      </c>
      <c r="ED35" s="87">
        <f t="shared" si="43"/>
        <v>1388.5972222222222</v>
      </c>
      <c r="EE35" s="88">
        <f t="shared" si="44"/>
        <v>2.2512722359828864E-3</v>
      </c>
      <c r="EG35" s="122">
        <f t="shared" si="45"/>
        <v>0</v>
      </c>
      <c r="EH35" s="87">
        <f t="shared" si="46"/>
        <v>0</v>
      </c>
      <c r="EI35" s="88">
        <f t="shared" si="47"/>
        <v>0</v>
      </c>
      <c r="EJ35" s="88"/>
      <c r="EK35" s="122">
        <f t="shared" si="48"/>
        <v>222050000</v>
      </c>
      <c r="EL35" s="122">
        <f t="shared" si="49"/>
        <v>0</v>
      </c>
      <c r="EM35" s="122">
        <f t="shared" si="50"/>
        <v>1388.5972222222222</v>
      </c>
      <c r="EN35" s="88">
        <f t="shared" si="51"/>
        <v>2.2512722359828864E-3</v>
      </c>
      <c r="EP35" s="87"/>
    </row>
    <row r="36" spans="1:148" x14ac:dyDescent="0.25">
      <c r="A36" s="35">
        <f t="shared" si="52"/>
        <v>44312</v>
      </c>
      <c r="B36" s="87">
        <v>0</v>
      </c>
      <c r="D36" s="87">
        <f t="shared" si="1"/>
        <v>0</v>
      </c>
      <c r="G36" s="87">
        <f t="shared" si="2"/>
        <v>0</v>
      </c>
      <c r="J36" s="87">
        <f t="shared" si="3"/>
        <v>0</v>
      </c>
      <c r="M36" s="87">
        <f t="shared" si="4"/>
        <v>0</v>
      </c>
      <c r="P36" s="87">
        <f t="shared" si="5"/>
        <v>0</v>
      </c>
      <c r="S36" s="87">
        <f t="shared" si="6"/>
        <v>0</v>
      </c>
      <c r="V36" s="87">
        <f t="shared" si="7"/>
        <v>0</v>
      </c>
      <c r="Y36" s="87">
        <f t="shared" si="8"/>
        <v>0</v>
      </c>
      <c r="AB36" s="87">
        <f t="shared" si="9"/>
        <v>0</v>
      </c>
      <c r="AE36" s="87">
        <v>0</v>
      </c>
      <c r="AH36" s="87">
        <v>0</v>
      </c>
      <c r="AI36" s="232">
        <f>90600000+100000</f>
        <v>90700000</v>
      </c>
      <c r="AJ36" s="121">
        <v>1.8E-3</v>
      </c>
      <c r="AK36" s="87">
        <f t="shared" si="10"/>
        <v>453.5</v>
      </c>
      <c r="AL36" s="120">
        <f t="shared" si="54"/>
        <v>103150000</v>
      </c>
      <c r="AM36" s="121">
        <v>2.5000000000000001E-3</v>
      </c>
      <c r="AN36" s="87">
        <f t="shared" si="11"/>
        <v>716.31944444444446</v>
      </c>
      <c r="AO36" s="120">
        <f t="shared" si="53"/>
        <v>40000000</v>
      </c>
      <c r="AP36" s="121">
        <v>2.5000000000000001E-3</v>
      </c>
      <c r="AQ36" s="87">
        <f t="shared" si="12"/>
        <v>277.77777777777777</v>
      </c>
      <c r="AR36" s="120"/>
      <c r="AS36" s="121"/>
      <c r="AT36" s="87">
        <f t="shared" si="13"/>
        <v>0</v>
      </c>
      <c r="AW36" s="87">
        <f t="shared" si="14"/>
        <v>0</v>
      </c>
      <c r="AZ36" s="87">
        <f t="shared" si="15"/>
        <v>0</v>
      </c>
      <c r="BC36" s="87">
        <f t="shared" si="16"/>
        <v>0</v>
      </c>
      <c r="BF36" s="87">
        <f t="shared" si="17"/>
        <v>0</v>
      </c>
      <c r="BI36" s="87">
        <f t="shared" si="18"/>
        <v>0</v>
      </c>
      <c r="BL36" s="87">
        <f t="shared" si="19"/>
        <v>0</v>
      </c>
      <c r="BO36" s="87">
        <f t="shared" si="20"/>
        <v>0</v>
      </c>
      <c r="BR36" s="87">
        <f t="shared" si="21"/>
        <v>0</v>
      </c>
      <c r="BU36" s="87">
        <f t="shared" si="22"/>
        <v>0</v>
      </c>
      <c r="BX36" s="87">
        <f t="shared" si="23"/>
        <v>0</v>
      </c>
      <c r="CA36" s="87">
        <f t="shared" si="24"/>
        <v>0</v>
      </c>
      <c r="CD36" s="87">
        <f t="shared" si="25"/>
        <v>0</v>
      </c>
      <c r="CG36" s="87">
        <f t="shared" si="26"/>
        <v>0</v>
      </c>
      <c r="CJ36" s="87">
        <f t="shared" si="27"/>
        <v>0</v>
      </c>
      <c r="CM36" s="87">
        <f t="shared" si="28"/>
        <v>0</v>
      </c>
      <c r="CP36" s="87">
        <f t="shared" si="29"/>
        <v>0</v>
      </c>
      <c r="CS36" s="87">
        <f t="shared" si="30"/>
        <v>0</v>
      </c>
      <c r="CV36" s="87">
        <f t="shared" si="31"/>
        <v>0</v>
      </c>
      <c r="CY36" s="87">
        <f t="shared" si="32"/>
        <v>0</v>
      </c>
      <c r="DB36" s="87">
        <f t="shared" si="33"/>
        <v>0</v>
      </c>
      <c r="DE36" s="87">
        <f t="shared" si="34"/>
        <v>0</v>
      </c>
      <c r="DH36" s="87">
        <f t="shared" si="35"/>
        <v>0</v>
      </c>
      <c r="DK36" s="87">
        <f t="shared" si="36"/>
        <v>0</v>
      </c>
      <c r="DN36" s="87">
        <f t="shared" si="37"/>
        <v>0</v>
      </c>
      <c r="DQ36" s="87">
        <f t="shared" si="38"/>
        <v>0</v>
      </c>
      <c r="DT36" s="87">
        <f t="shared" si="39"/>
        <v>0</v>
      </c>
      <c r="DW36" s="87">
        <f t="shared" si="40"/>
        <v>0</v>
      </c>
      <c r="DZ36" s="87"/>
      <c r="EA36" s="87"/>
      <c r="EB36" s="122">
        <f t="shared" si="41"/>
        <v>233850000</v>
      </c>
      <c r="EC36" s="122">
        <f t="shared" si="42"/>
        <v>0</v>
      </c>
      <c r="ED36" s="87">
        <f t="shared" si="43"/>
        <v>1447.5972222222222</v>
      </c>
      <c r="EE36" s="88">
        <f t="shared" si="44"/>
        <v>2.2285011759675005E-3</v>
      </c>
      <c r="EG36" s="122">
        <f t="shared" si="45"/>
        <v>0</v>
      </c>
      <c r="EH36" s="87">
        <f t="shared" si="46"/>
        <v>0</v>
      </c>
      <c r="EI36" s="88">
        <f t="shared" si="47"/>
        <v>0</v>
      </c>
      <c r="EJ36" s="88"/>
      <c r="EK36" s="122">
        <f t="shared" si="48"/>
        <v>233850000</v>
      </c>
      <c r="EL36" s="122">
        <f t="shared" si="49"/>
        <v>0</v>
      </c>
      <c r="EM36" s="122">
        <f t="shared" si="50"/>
        <v>1447.5972222222222</v>
      </c>
      <c r="EN36" s="88">
        <f t="shared" si="51"/>
        <v>2.2285011759675005E-3</v>
      </c>
      <c r="EP36" s="87"/>
    </row>
    <row r="37" spans="1:148" x14ac:dyDescent="0.25">
      <c r="A37" s="35">
        <f t="shared" si="52"/>
        <v>44313</v>
      </c>
      <c r="B37" s="87">
        <v>0</v>
      </c>
      <c r="D37" s="87">
        <f t="shared" si="1"/>
        <v>0</v>
      </c>
      <c r="G37" s="87">
        <f t="shared" si="2"/>
        <v>0</v>
      </c>
      <c r="J37" s="87">
        <f t="shared" si="3"/>
        <v>0</v>
      </c>
      <c r="M37" s="87">
        <f t="shared" si="4"/>
        <v>0</v>
      </c>
      <c r="P37" s="87">
        <f t="shared" si="5"/>
        <v>0</v>
      </c>
      <c r="S37" s="87">
        <f t="shared" si="6"/>
        <v>0</v>
      </c>
      <c r="V37" s="87">
        <f t="shared" si="7"/>
        <v>0</v>
      </c>
      <c r="Y37" s="87">
        <f t="shared" si="8"/>
        <v>0</v>
      </c>
      <c r="AB37" s="87">
        <f t="shared" si="9"/>
        <v>0</v>
      </c>
      <c r="AE37" s="87">
        <v>0</v>
      </c>
      <c r="AH37" s="87">
        <v>0</v>
      </c>
      <c r="AI37" s="120">
        <f>50000000+40250000</f>
        <v>90250000</v>
      </c>
      <c r="AJ37" s="121">
        <v>1.8E-3</v>
      </c>
      <c r="AK37" s="87">
        <f t="shared" si="10"/>
        <v>451.25</v>
      </c>
      <c r="AL37" s="120">
        <f t="shared" si="54"/>
        <v>103150000</v>
      </c>
      <c r="AM37" s="121">
        <v>2.5000000000000001E-3</v>
      </c>
      <c r="AN37" s="87">
        <f t="shared" si="11"/>
        <v>716.31944444444446</v>
      </c>
      <c r="AO37" s="120">
        <f t="shared" si="53"/>
        <v>40000000</v>
      </c>
      <c r="AP37" s="121">
        <v>2.5000000000000001E-3</v>
      </c>
      <c r="AQ37" s="87">
        <f t="shared" si="12"/>
        <v>277.77777777777777</v>
      </c>
      <c r="AR37" s="120"/>
      <c r="AS37" s="121"/>
      <c r="AT37" s="87">
        <f t="shared" si="13"/>
        <v>0</v>
      </c>
      <c r="AW37" s="87">
        <f t="shared" si="14"/>
        <v>0</v>
      </c>
      <c r="AZ37" s="87">
        <f t="shared" si="15"/>
        <v>0</v>
      </c>
      <c r="BC37" s="87">
        <f t="shared" si="16"/>
        <v>0</v>
      </c>
      <c r="BF37" s="87">
        <f t="shared" si="17"/>
        <v>0</v>
      </c>
      <c r="BI37" s="87">
        <f t="shared" si="18"/>
        <v>0</v>
      </c>
      <c r="BL37" s="87">
        <f t="shared" si="19"/>
        <v>0</v>
      </c>
      <c r="BO37" s="87">
        <f t="shared" si="20"/>
        <v>0</v>
      </c>
      <c r="BR37" s="87">
        <f t="shared" si="21"/>
        <v>0</v>
      </c>
      <c r="BU37" s="87">
        <f t="shared" si="22"/>
        <v>0</v>
      </c>
      <c r="BX37" s="87">
        <f t="shared" si="23"/>
        <v>0</v>
      </c>
      <c r="CA37" s="87">
        <f t="shared" si="24"/>
        <v>0</v>
      </c>
      <c r="CD37" s="87">
        <f t="shared" si="25"/>
        <v>0</v>
      </c>
      <c r="CG37" s="87">
        <f t="shared" si="26"/>
        <v>0</v>
      </c>
      <c r="CJ37" s="87">
        <f t="shared" si="27"/>
        <v>0</v>
      </c>
      <c r="CM37" s="87">
        <f t="shared" si="28"/>
        <v>0</v>
      </c>
      <c r="CP37" s="87">
        <f t="shared" si="29"/>
        <v>0</v>
      </c>
      <c r="CS37" s="87">
        <f t="shared" si="30"/>
        <v>0</v>
      </c>
      <c r="CV37" s="87">
        <f t="shared" si="31"/>
        <v>0</v>
      </c>
      <c r="CY37" s="87">
        <f t="shared" si="32"/>
        <v>0</v>
      </c>
      <c r="DB37" s="87">
        <f t="shared" si="33"/>
        <v>0</v>
      </c>
      <c r="DE37" s="87">
        <f t="shared" si="34"/>
        <v>0</v>
      </c>
      <c r="DH37" s="87">
        <f t="shared" si="35"/>
        <v>0</v>
      </c>
      <c r="DK37" s="87">
        <f t="shared" si="36"/>
        <v>0</v>
      </c>
      <c r="DN37" s="87">
        <f t="shared" si="37"/>
        <v>0</v>
      </c>
      <c r="DQ37" s="87">
        <f t="shared" si="38"/>
        <v>0</v>
      </c>
      <c r="DT37" s="87">
        <f t="shared" si="39"/>
        <v>0</v>
      </c>
      <c r="DW37" s="87">
        <f t="shared" si="40"/>
        <v>0</v>
      </c>
      <c r="DZ37" s="87"/>
      <c r="EA37" s="87"/>
      <c r="EB37" s="122">
        <f t="shared" si="41"/>
        <v>233400000</v>
      </c>
      <c r="EC37" s="122">
        <f t="shared" si="42"/>
        <v>0</v>
      </c>
      <c r="ED37" s="87">
        <f t="shared" si="43"/>
        <v>1445.3472222222222</v>
      </c>
      <c r="EE37" s="88">
        <f t="shared" si="44"/>
        <v>2.2293273350471295E-3</v>
      </c>
      <c r="EG37" s="122">
        <f t="shared" si="45"/>
        <v>0</v>
      </c>
      <c r="EH37" s="87">
        <f t="shared" si="46"/>
        <v>0</v>
      </c>
      <c r="EI37" s="88">
        <f t="shared" si="47"/>
        <v>0</v>
      </c>
      <c r="EJ37" s="88"/>
      <c r="EK37" s="122">
        <f t="shared" si="48"/>
        <v>233400000</v>
      </c>
      <c r="EL37" s="122">
        <f t="shared" si="49"/>
        <v>0</v>
      </c>
      <c r="EM37" s="122">
        <f t="shared" si="50"/>
        <v>1445.3472222222222</v>
      </c>
      <c r="EN37" s="88">
        <f t="shared" si="51"/>
        <v>2.2293273350471295E-3</v>
      </c>
      <c r="EP37" s="87"/>
      <c r="ER37" s="87"/>
    </row>
    <row r="38" spans="1:148" x14ac:dyDescent="0.25">
      <c r="A38" s="35">
        <f t="shared" si="52"/>
        <v>44314</v>
      </c>
      <c r="B38" s="87">
        <v>0</v>
      </c>
      <c r="D38" s="87">
        <f t="shared" si="1"/>
        <v>0</v>
      </c>
      <c r="G38" s="87">
        <f t="shared" si="2"/>
        <v>0</v>
      </c>
      <c r="J38" s="87">
        <f t="shared" si="3"/>
        <v>0</v>
      </c>
      <c r="M38" s="87">
        <f t="shared" si="4"/>
        <v>0</v>
      </c>
      <c r="P38" s="87">
        <f t="shared" si="5"/>
        <v>0</v>
      </c>
      <c r="S38" s="87">
        <f t="shared" si="6"/>
        <v>0</v>
      </c>
      <c r="V38" s="87">
        <f t="shared" si="7"/>
        <v>0</v>
      </c>
      <c r="Y38" s="87">
        <f t="shared" si="8"/>
        <v>0</v>
      </c>
      <c r="AB38" s="87">
        <f t="shared" si="9"/>
        <v>0</v>
      </c>
      <c r="AE38" s="87">
        <v>0</v>
      </c>
      <c r="AH38" s="87">
        <v>0</v>
      </c>
      <c r="AI38" s="120">
        <f>40000000+52800000</f>
        <v>92800000</v>
      </c>
      <c r="AJ38" s="121">
        <v>1.8E-3</v>
      </c>
      <c r="AK38" s="87">
        <f t="shared" si="10"/>
        <v>464</v>
      </c>
      <c r="AL38" s="120">
        <f t="shared" si="54"/>
        <v>103150000</v>
      </c>
      <c r="AM38" s="121">
        <v>2.5000000000000001E-3</v>
      </c>
      <c r="AN38" s="87">
        <f t="shared" si="11"/>
        <v>716.31944444444446</v>
      </c>
      <c r="AO38" s="120">
        <f t="shared" si="53"/>
        <v>40000000</v>
      </c>
      <c r="AP38" s="121">
        <v>2.5000000000000001E-3</v>
      </c>
      <c r="AQ38" s="87">
        <f t="shared" si="12"/>
        <v>277.77777777777777</v>
      </c>
      <c r="AR38" s="120"/>
      <c r="AS38" s="121"/>
      <c r="AT38" s="87">
        <f t="shared" si="13"/>
        <v>0</v>
      </c>
      <c r="AW38" s="87">
        <f t="shared" si="14"/>
        <v>0</v>
      </c>
      <c r="AZ38" s="87">
        <f t="shared" si="15"/>
        <v>0</v>
      </c>
      <c r="BC38" s="87">
        <f t="shared" si="16"/>
        <v>0</v>
      </c>
      <c r="BF38" s="87">
        <f t="shared" si="17"/>
        <v>0</v>
      </c>
      <c r="BI38" s="87">
        <f t="shared" si="18"/>
        <v>0</v>
      </c>
      <c r="BL38" s="87">
        <f t="shared" si="19"/>
        <v>0</v>
      </c>
      <c r="BO38" s="87">
        <f t="shared" si="20"/>
        <v>0</v>
      </c>
      <c r="BR38" s="87">
        <f t="shared" si="21"/>
        <v>0</v>
      </c>
      <c r="BU38" s="87">
        <f t="shared" si="22"/>
        <v>0</v>
      </c>
      <c r="BX38" s="87">
        <f t="shared" si="23"/>
        <v>0</v>
      </c>
      <c r="CA38" s="87">
        <f t="shared" si="24"/>
        <v>0</v>
      </c>
      <c r="CD38" s="87">
        <f t="shared" si="25"/>
        <v>0</v>
      </c>
      <c r="CG38" s="87">
        <f t="shared" si="26"/>
        <v>0</v>
      </c>
      <c r="CJ38" s="87">
        <f t="shared" si="27"/>
        <v>0</v>
      </c>
      <c r="CM38" s="87">
        <f t="shared" si="28"/>
        <v>0</v>
      </c>
      <c r="CP38" s="87">
        <f t="shared" si="29"/>
        <v>0</v>
      </c>
      <c r="CS38" s="87">
        <f t="shared" si="30"/>
        <v>0</v>
      </c>
      <c r="CV38" s="87">
        <f t="shared" si="31"/>
        <v>0</v>
      </c>
      <c r="CY38" s="87">
        <f t="shared" si="32"/>
        <v>0</v>
      </c>
      <c r="DB38" s="87">
        <f t="shared" si="33"/>
        <v>0</v>
      </c>
      <c r="DE38" s="87">
        <f t="shared" si="34"/>
        <v>0</v>
      </c>
      <c r="DH38" s="87">
        <f t="shared" si="35"/>
        <v>0</v>
      </c>
      <c r="DK38" s="87">
        <f t="shared" si="36"/>
        <v>0</v>
      </c>
      <c r="DN38" s="87">
        <f t="shared" si="37"/>
        <v>0</v>
      </c>
      <c r="DQ38" s="87">
        <f t="shared" si="38"/>
        <v>0</v>
      </c>
      <c r="DT38" s="87">
        <f t="shared" si="39"/>
        <v>0</v>
      </c>
      <c r="DW38" s="87">
        <f t="shared" si="40"/>
        <v>0</v>
      </c>
      <c r="DZ38" s="87"/>
      <c r="EA38" s="87"/>
      <c r="EB38" s="122">
        <f t="shared" si="41"/>
        <v>235950000</v>
      </c>
      <c r="EC38" s="122">
        <f t="shared" si="42"/>
        <v>0</v>
      </c>
      <c r="ED38" s="87">
        <f t="shared" si="43"/>
        <v>1458.0972222222222</v>
      </c>
      <c r="EE38" s="88">
        <f t="shared" si="44"/>
        <v>2.2246874337783426E-3</v>
      </c>
      <c r="EG38" s="122">
        <f t="shared" si="45"/>
        <v>0</v>
      </c>
      <c r="EH38" s="87">
        <f t="shared" si="46"/>
        <v>0</v>
      </c>
      <c r="EI38" s="88">
        <f t="shared" si="47"/>
        <v>0</v>
      </c>
      <c r="EJ38" s="88"/>
      <c r="EK38" s="122">
        <f t="shared" si="48"/>
        <v>235950000</v>
      </c>
      <c r="EL38" s="122">
        <f t="shared" si="49"/>
        <v>0</v>
      </c>
      <c r="EM38" s="122">
        <f t="shared" si="50"/>
        <v>1458.0972222222222</v>
      </c>
      <c r="EN38" s="88">
        <f t="shared" si="51"/>
        <v>2.2246874337783426E-3</v>
      </c>
      <c r="EP38" s="87"/>
      <c r="ER38" s="87"/>
    </row>
    <row r="39" spans="1:148" x14ac:dyDescent="0.25">
      <c r="A39" s="35">
        <f t="shared" si="52"/>
        <v>44315</v>
      </c>
      <c r="B39" s="87">
        <v>0</v>
      </c>
      <c r="D39" s="87">
        <f t="shared" si="1"/>
        <v>0</v>
      </c>
      <c r="G39" s="87">
        <f t="shared" si="2"/>
        <v>0</v>
      </c>
      <c r="J39" s="87">
        <f t="shared" si="3"/>
        <v>0</v>
      </c>
      <c r="M39" s="87">
        <f t="shared" si="4"/>
        <v>0</v>
      </c>
      <c r="P39" s="87">
        <f t="shared" si="5"/>
        <v>0</v>
      </c>
      <c r="S39" s="87">
        <f t="shared" si="6"/>
        <v>0</v>
      </c>
      <c r="V39" s="87">
        <f t="shared" si="7"/>
        <v>0</v>
      </c>
      <c r="Y39" s="87">
        <f t="shared" si="8"/>
        <v>0</v>
      </c>
      <c r="AB39" s="87">
        <f t="shared" si="9"/>
        <v>0</v>
      </c>
      <c r="AE39" s="87">
        <v>0</v>
      </c>
      <c r="AH39" s="87">
        <v>0</v>
      </c>
      <c r="AI39" s="120">
        <f>40000000+52025000</f>
        <v>92025000</v>
      </c>
      <c r="AJ39" s="121">
        <v>1.8E-3</v>
      </c>
      <c r="AK39" s="87">
        <f t="shared" si="10"/>
        <v>460.125</v>
      </c>
      <c r="AL39" s="120">
        <f t="shared" si="54"/>
        <v>103150000</v>
      </c>
      <c r="AM39" s="121">
        <v>2.5000000000000001E-3</v>
      </c>
      <c r="AN39" s="87">
        <f t="shared" si="11"/>
        <v>716.31944444444446</v>
      </c>
      <c r="AO39" s="120">
        <f t="shared" si="53"/>
        <v>40000000</v>
      </c>
      <c r="AP39" s="121">
        <v>2.5000000000000001E-3</v>
      </c>
      <c r="AQ39" s="87">
        <f t="shared" si="12"/>
        <v>277.77777777777777</v>
      </c>
      <c r="AR39" s="120"/>
      <c r="AS39" s="121"/>
      <c r="AT39" s="87">
        <f t="shared" si="13"/>
        <v>0</v>
      </c>
      <c r="AW39" s="87">
        <f t="shared" si="14"/>
        <v>0</v>
      </c>
      <c r="AZ39" s="87">
        <f t="shared" si="15"/>
        <v>0</v>
      </c>
      <c r="BC39" s="87">
        <f t="shared" si="16"/>
        <v>0</v>
      </c>
      <c r="BF39" s="87">
        <f t="shared" si="17"/>
        <v>0</v>
      </c>
      <c r="BI39" s="87">
        <f t="shared" si="18"/>
        <v>0</v>
      </c>
      <c r="BL39" s="87">
        <f t="shared" si="19"/>
        <v>0</v>
      </c>
      <c r="BO39" s="87">
        <f t="shared" si="20"/>
        <v>0</v>
      </c>
      <c r="BR39" s="87">
        <f t="shared" si="21"/>
        <v>0</v>
      </c>
      <c r="BU39" s="87">
        <f t="shared" si="22"/>
        <v>0</v>
      </c>
      <c r="BX39" s="87">
        <f t="shared" si="23"/>
        <v>0</v>
      </c>
      <c r="CA39" s="87">
        <f t="shared" si="24"/>
        <v>0</v>
      </c>
      <c r="CD39" s="87">
        <f t="shared" si="25"/>
        <v>0</v>
      </c>
      <c r="CG39" s="87">
        <f t="shared" si="26"/>
        <v>0</v>
      </c>
      <c r="CJ39" s="87">
        <f t="shared" si="27"/>
        <v>0</v>
      </c>
      <c r="CM39" s="87">
        <f t="shared" si="28"/>
        <v>0</v>
      </c>
      <c r="CP39" s="87">
        <f t="shared" si="29"/>
        <v>0</v>
      </c>
      <c r="CS39" s="87">
        <f t="shared" si="30"/>
        <v>0</v>
      </c>
      <c r="CV39" s="87">
        <f t="shared" si="31"/>
        <v>0</v>
      </c>
      <c r="CY39" s="87">
        <f t="shared" si="32"/>
        <v>0</v>
      </c>
      <c r="DB39" s="87">
        <f t="shared" si="33"/>
        <v>0</v>
      </c>
      <c r="DE39" s="87">
        <f t="shared" si="34"/>
        <v>0</v>
      </c>
      <c r="DH39" s="87">
        <f t="shared" si="35"/>
        <v>0</v>
      </c>
      <c r="DK39" s="87">
        <f t="shared" si="36"/>
        <v>0</v>
      </c>
      <c r="DN39" s="87">
        <f t="shared" si="37"/>
        <v>0</v>
      </c>
      <c r="DQ39" s="87">
        <f t="shared" si="38"/>
        <v>0</v>
      </c>
      <c r="DT39" s="87">
        <f t="shared" si="39"/>
        <v>0</v>
      </c>
      <c r="DW39" s="87">
        <f t="shared" si="40"/>
        <v>0</v>
      </c>
      <c r="DZ39" s="87"/>
      <c r="EA39" s="87"/>
      <c r="EB39" s="122">
        <f t="shared" si="41"/>
        <v>235175000</v>
      </c>
      <c r="EC39" s="122">
        <f t="shared" si="42"/>
        <v>0</v>
      </c>
      <c r="ED39" s="87">
        <f t="shared" si="43"/>
        <v>1454.2222222222222</v>
      </c>
      <c r="EE39" s="88">
        <f t="shared" si="44"/>
        <v>2.2260869565217389E-3</v>
      </c>
      <c r="EG39" s="122">
        <f t="shared" si="45"/>
        <v>0</v>
      </c>
      <c r="EH39" s="87">
        <f t="shared" si="46"/>
        <v>0</v>
      </c>
      <c r="EI39" s="88">
        <f t="shared" si="47"/>
        <v>0</v>
      </c>
      <c r="EJ39" s="88"/>
      <c r="EK39" s="122">
        <f t="shared" si="48"/>
        <v>235175000</v>
      </c>
      <c r="EL39" s="122">
        <f t="shared" si="49"/>
        <v>0</v>
      </c>
      <c r="EM39" s="122">
        <f t="shared" si="50"/>
        <v>1454.2222222222222</v>
      </c>
      <c r="EN39" s="88">
        <f t="shared" si="51"/>
        <v>2.2260869565217389E-3</v>
      </c>
      <c r="EP39" s="87"/>
      <c r="EQ39" s="87"/>
      <c r="ER39" s="87"/>
    </row>
    <row r="40" spans="1:148" x14ac:dyDescent="0.25">
      <c r="A40" s="35">
        <f t="shared" si="52"/>
        <v>44316</v>
      </c>
      <c r="B40" s="87">
        <v>0</v>
      </c>
      <c r="D40" s="87">
        <f t="shared" si="1"/>
        <v>0</v>
      </c>
      <c r="G40" s="87">
        <f t="shared" si="2"/>
        <v>0</v>
      </c>
      <c r="J40" s="87">
        <f t="shared" si="3"/>
        <v>0</v>
      </c>
      <c r="M40" s="87">
        <f t="shared" si="4"/>
        <v>0</v>
      </c>
      <c r="P40" s="87">
        <f t="shared" si="5"/>
        <v>0</v>
      </c>
      <c r="S40" s="87">
        <f t="shared" si="6"/>
        <v>0</v>
      </c>
      <c r="V40" s="87">
        <f t="shared" si="7"/>
        <v>0</v>
      </c>
      <c r="Y40" s="87">
        <f t="shared" si="8"/>
        <v>0</v>
      </c>
      <c r="AB40" s="87">
        <f t="shared" si="9"/>
        <v>0</v>
      </c>
      <c r="AE40" s="87">
        <v>0</v>
      </c>
      <c r="AH40" s="87">
        <v>0</v>
      </c>
      <c r="AI40" s="120">
        <f>55000000+65725000</f>
        <v>120725000</v>
      </c>
      <c r="AJ40" s="121">
        <v>1.8E-3</v>
      </c>
      <c r="AK40" s="87">
        <f t="shared" si="10"/>
        <v>603.625</v>
      </c>
      <c r="AL40" s="120">
        <f t="shared" si="54"/>
        <v>103150000</v>
      </c>
      <c r="AM40" s="121">
        <v>2.5000000000000001E-3</v>
      </c>
      <c r="AN40" s="87">
        <f t="shared" si="11"/>
        <v>716.31944444444446</v>
      </c>
      <c r="AO40" s="120">
        <f t="shared" si="53"/>
        <v>40000000</v>
      </c>
      <c r="AP40" s="121">
        <v>2.5000000000000001E-3</v>
      </c>
      <c r="AQ40" s="87">
        <f t="shared" si="12"/>
        <v>277.77777777777777</v>
      </c>
      <c r="AR40" s="120"/>
      <c r="AS40" s="121"/>
      <c r="AT40" s="87">
        <f t="shared" si="13"/>
        <v>0</v>
      </c>
      <c r="AW40" s="87">
        <f t="shared" si="14"/>
        <v>0</v>
      </c>
      <c r="AZ40" s="87">
        <f t="shared" si="15"/>
        <v>0</v>
      </c>
      <c r="BC40" s="87">
        <f t="shared" si="16"/>
        <v>0</v>
      </c>
      <c r="BF40" s="87">
        <f t="shared" si="17"/>
        <v>0</v>
      </c>
      <c r="BI40" s="87">
        <f t="shared" si="18"/>
        <v>0</v>
      </c>
      <c r="BL40" s="87">
        <f t="shared" si="19"/>
        <v>0</v>
      </c>
      <c r="BO40" s="87">
        <f t="shared" si="20"/>
        <v>0</v>
      </c>
      <c r="BR40" s="87">
        <f t="shared" si="21"/>
        <v>0</v>
      </c>
      <c r="BU40" s="87">
        <f t="shared" si="22"/>
        <v>0</v>
      </c>
      <c r="BX40" s="87">
        <f t="shared" si="23"/>
        <v>0</v>
      </c>
      <c r="CA40" s="87">
        <f t="shared" si="24"/>
        <v>0</v>
      </c>
      <c r="CD40" s="87">
        <f t="shared" si="25"/>
        <v>0</v>
      </c>
      <c r="CG40" s="87">
        <f t="shared" si="26"/>
        <v>0</v>
      </c>
      <c r="CJ40" s="87">
        <f t="shared" si="27"/>
        <v>0</v>
      </c>
      <c r="CM40" s="87">
        <f t="shared" si="28"/>
        <v>0</v>
      </c>
      <c r="CP40" s="87">
        <f t="shared" si="29"/>
        <v>0</v>
      </c>
      <c r="CS40" s="87">
        <f t="shared" si="30"/>
        <v>0</v>
      </c>
      <c r="CV40" s="87">
        <f t="shared" si="31"/>
        <v>0</v>
      </c>
      <c r="CY40" s="87">
        <f t="shared" si="32"/>
        <v>0</v>
      </c>
      <c r="DB40" s="87">
        <f t="shared" si="33"/>
        <v>0</v>
      </c>
      <c r="DE40" s="87">
        <f t="shared" si="34"/>
        <v>0</v>
      </c>
      <c r="DH40" s="87">
        <f t="shared" si="35"/>
        <v>0</v>
      </c>
      <c r="DK40" s="87">
        <f t="shared" si="36"/>
        <v>0</v>
      </c>
      <c r="DN40" s="87">
        <f t="shared" si="37"/>
        <v>0</v>
      </c>
      <c r="DQ40" s="87">
        <f t="shared" si="38"/>
        <v>0</v>
      </c>
      <c r="DT40" s="87">
        <f t="shared" si="39"/>
        <v>0</v>
      </c>
      <c r="DW40" s="87">
        <f t="shared" si="40"/>
        <v>0</v>
      </c>
      <c r="DZ40" s="85"/>
      <c r="EA40" s="87"/>
      <c r="EB40" s="122">
        <f t="shared" si="41"/>
        <v>263875000</v>
      </c>
      <c r="EC40" s="122">
        <f t="shared" si="42"/>
        <v>0</v>
      </c>
      <c r="ED40" s="87">
        <f t="shared" si="43"/>
        <v>1597.7222222222222</v>
      </c>
      <c r="EE40" s="88">
        <f t="shared" si="44"/>
        <v>2.1797441970630035E-3</v>
      </c>
      <c r="EG40" s="122">
        <f t="shared" si="45"/>
        <v>0</v>
      </c>
      <c r="EH40" s="87">
        <f t="shared" si="46"/>
        <v>0</v>
      </c>
      <c r="EI40" s="88">
        <f t="shared" si="47"/>
        <v>0</v>
      </c>
      <c r="EJ40" s="88"/>
      <c r="EK40" s="122">
        <f t="shared" si="48"/>
        <v>263875000</v>
      </c>
      <c r="EL40" s="122">
        <f t="shared" si="49"/>
        <v>0</v>
      </c>
      <c r="EM40" s="122">
        <f t="shared" si="50"/>
        <v>1597.7222222222222</v>
      </c>
      <c r="EN40" s="88">
        <f t="shared" si="51"/>
        <v>2.1797441970630035E-3</v>
      </c>
      <c r="EP40" s="87"/>
    </row>
    <row r="41" spans="1:148" x14ac:dyDescent="0.25">
      <c r="A41" s="123" t="s">
        <v>76</v>
      </c>
      <c r="D41" s="124">
        <f>SUM(D11:D40)</f>
        <v>166.47116666666668</v>
      </c>
      <c r="G41" s="124">
        <f>SUM(G11:G40)</f>
        <v>0</v>
      </c>
      <c r="J41" s="124">
        <f>SUM(J11:J40)</f>
        <v>0</v>
      </c>
      <c r="M41" s="124">
        <f>SUM(M11:M40)</f>
        <v>0</v>
      </c>
      <c r="P41" s="124">
        <f>SUM(P11:P40)</f>
        <v>0</v>
      </c>
      <c r="S41" s="124">
        <f>SUM(S11:S40)</f>
        <v>0</v>
      </c>
      <c r="V41" s="124">
        <f>SUM(V11:V40)</f>
        <v>0</v>
      </c>
      <c r="Y41" s="124">
        <f>SUM(Y11:Y40)</f>
        <v>0</v>
      </c>
      <c r="AB41" s="124">
        <f>SUM(AB11:AB40)</f>
        <v>0</v>
      </c>
      <c r="AE41" s="124">
        <f>SUM(AE11:AE40)</f>
        <v>0</v>
      </c>
      <c r="AH41" s="124">
        <f>SUM(AH11:AH40)</f>
        <v>0</v>
      </c>
      <c r="AK41" s="124">
        <f>SUM(AK11:AK40)</f>
        <v>11434.75</v>
      </c>
      <c r="AN41" s="124">
        <f>SUM(AN11:AN40)</f>
        <v>10561.111111111113</v>
      </c>
      <c r="AQ41" s="124">
        <f>SUM(AQ11:AQ40)</f>
        <v>18750</v>
      </c>
      <c r="AT41" s="124">
        <f>SUM(AT11:AT40)</f>
        <v>0</v>
      </c>
      <c r="AW41" s="124">
        <f>SUM(AW11:AW40)</f>
        <v>0</v>
      </c>
      <c r="AZ41" s="124">
        <f>SUM(AZ11:AZ40)</f>
        <v>0</v>
      </c>
      <c r="BC41" s="124">
        <f>SUM(BC11:BC40)</f>
        <v>0</v>
      </c>
      <c r="BF41" s="124">
        <f>SUM(BF11:BF40)</f>
        <v>0</v>
      </c>
      <c r="BI41" s="124">
        <f>SUM(BI11:BI40)</f>
        <v>0</v>
      </c>
      <c r="BL41" s="124">
        <f>SUM(BL11:BL40)</f>
        <v>0</v>
      </c>
      <c r="BO41" s="124">
        <f>SUM(BO11:BO40)</f>
        <v>0</v>
      </c>
      <c r="BR41" s="124">
        <f>SUM(BR11:BR40)</f>
        <v>0</v>
      </c>
      <c r="BU41" s="124">
        <f>SUM(BU11:BU40)</f>
        <v>0</v>
      </c>
      <c r="BX41" s="124">
        <f>SUM(BX11:BX40)</f>
        <v>0</v>
      </c>
      <c r="CA41" s="124">
        <f>SUM(CA11:CA40)</f>
        <v>0</v>
      </c>
      <c r="CD41" s="124">
        <f>SUM(CD11:CD40)</f>
        <v>0</v>
      </c>
      <c r="CG41" s="124">
        <f>SUM(CG11:CG40)</f>
        <v>0</v>
      </c>
      <c r="CJ41" s="124">
        <f>SUM(CJ11:CJ40)</f>
        <v>0</v>
      </c>
      <c r="CM41" s="124">
        <f>SUM(CM11:CM40)</f>
        <v>0</v>
      </c>
      <c r="CP41" s="124">
        <f>SUM(CP11:CP40)</f>
        <v>0</v>
      </c>
      <c r="CS41" s="124">
        <f>SUM(CS11:CS40)</f>
        <v>0</v>
      </c>
      <c r="CV41" s="124">
        <f>SUM(CV11:CV40)</f>
        <v>0</v>
      </c>
      <c r="CY41" s="124">
        <f>SUM(CY11:CY40)</f>
        <v>0</v>
      </c>
      <c r="DB41" s="124">
        <f>SUM(DB11:DB40)</f>
        <v>0</v>
      </c>
      <c r="DE41" s="124">
        <f>SUM(DE11:DE40)</f>
        <v>0</v>
      </c>
      <c r="DH41" s="124">
        <f>SUM(DH11:DH40)</f>
        <v>0</v>
      </c>
      <c r="DK41" s="124">
        <f>SUM(DK11:DK40)</f>
        <v>0</v>
      </c>
      <c r="DN41" s="124">
        <f>SUM(DN11:DN40)</f>
        <v>0</v>
      </c>
      <c r="DQ41" s="124">
        <f>SUM(DQ11:DQ40)</f>
        <v>0</v>
      </c>
      <c r="DT41" s="124">
        <f>SUM(DT11:DT40)</f>
        <v>0</v>
      </c>
      <c r="DW41" s="124">
        <f>SUM(DW11:DW40)</f>
        <v>0</v>
      </c>
      <c r="DZ41" s="85"/>
      <c r="EA41" s="85"/>
      <c r="EB41" s="87"/>
      <c r="EC41" s="87"/>
      <c r="ED41" s="124">
        <f>SUM(ED11:ED40)</f>
        <v>40912.332277777765</v>
      </c>
      <c r="EE41" s="88"/>
      <c r="EG41" s="87"/>
      <c r="EH41" s="124">
        <f>SUM(EH11:EH40)</f>
        <v>0</v>
      </c>
      <c r="EI41" s="88"/>
      <c r="EJ41" s="88"/>
      <c r="EK41" s="87"/>
      <c r="EL41" s="87"/>
      <c r="EM41" s="124">
        <f>SUM(EM11:EM40)</f>
        <v>40745.861111111102</v>
      </c>
      <c r="EN41" s="88"/>
      <c r="EQ41" s="125"/>
      <c r="ER41" s="87"/>
    </row>
    <row r="43" spans="1:148" x14ac:dyDescent="0.25">
      <c r="EM43" s="125">
        <v>40745.9</v>
      </c>
    </row>
    <row r="45" spans="1:148" x14ac:dyDescent="0.25">
      <c r="EM45" s="87">
        <f>EM43-EM41</f>
        <v>3.8888888899236917E-2</v>
      </c>
    </row>
    <row r="46" spans="1:148" x14ac:dyDescent="0.25">
      <c r="EM46" s="87"/>
    </row>
    <row r="47" spans="1:148" x14ac:dyDescent="0.25">
      <c r="EM47" s="87"/>
    </row>
    <row r="48" spans="1:148" x14ac:dyDescent="0.25">
      <c r="EM48" s="8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selection activeCell="A4" sqref="A4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374650000</v>
      </c>
      <c r="EI2" s="85">
        <f>EG40</f>
        <v>0</v>
      </c>
      <c r="EM2" s="85"/>
      <c r="EN2" s="85">
        <f>EK41</f>
        <v>374650000</v>
      </c>
      <c r="EO2" s="78">
        <v>-29680.03</v>
      </c>
      <c r="EP2" s="78">
        <f>EN2+EO2</f>
        <v>374620319.97000003</v>
      </c>
      <c r="EQ2" s="78">
        <f>EE2+EO2</f>
        <v>374620319.97000003</v>
      </c>
    </row>
    <row r="3" spans="1:147" ht="16.5" thickTop="1" x14ac:dyDescent="0.25">
      <c r="A3" s="86" t="s">
        <v>199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282733870.96774191</v>
      </c>
      <c r="EI3" s="85">
        <f>AVERAGE(EG11:EG40)</f>
        <v>0</v>
      </c>
      <c r="EM3" s="85"/>
      <c r="EN3" s="85">
        <f>AVERAGE(EK11:EK41)</f>
        <v>282733870.96774191</v>
      </c>
    </row>
    <row r="4" spans="1:147" x14ac:dyDescent="0.25">
      <c r="D4" s="33"/>
      <c r="E4" s="95" t="s">
        <v>102</v>
      </c>
      <c r="F4" s="85"/>
      <c r="G4" s="96">
        <f>EQ2</f>
        <v>374620319.97000003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2.2427199863087935E-3</v>
      </c>
      <c r="EI4" s="93">
        <f>IF(EI3=0,0,360*(AVERAGE(EH11:EH40)/EI3))</f>
        <v>0</v>
      </c>
      <c r="EM4" s="93"/>
      <c r="EN4" s="93">
        <f>IF(EN3=0,0,360*(AVERAGE(EM11:EM41)/EN3))</f>
        <v>2.2427199863087935E-3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282733870.96774191</v>
      </c>
      <c r="AI5" s="100" t="s">
        <v>97</v>
      </c>
      <c r="EB5" s="101" t="s">
        <v>109</v>
      </c>
      <c r="EC5" s="101"/>
      <c r="ED5" s="85"/>
      <c r="EE5" s="85">
        <f>MAX(EB11:EB41)</f>
        <v>374650000</v>
      </c>
      <c r="EI5" s="85">
        <f>MAX(EG11:EG40)</f>
        <v>0</v>
      </c>
      <c r="EM5" s="85"/>
      <c r="EN5" s="85">
        <f>MAX(EK11:EK41)</f>
        <v>374650000</v>
      </c>
    </row>
    <row r="6" spans="1:147" x14ac:dyDescent="0.25">
      <c r="D6" s="33"/>
      <c r="E6" s="95" t="s">
        <v>107</v>
      </c>
      <c r="F6" s="85"/>
      <c r="G6" s="102">
        <f>EE4</f>
        <v>2.2427199863087935E-3</v>
      </c>
    </row>
    <row r="7" spans="1:147" ht="16.5" thickBot="1" x14ac:dyDescent="0.3">
      <c r="D7" s="33"/>
      <c r="E7" s="103" t="s">
        <v>109</v>
      </c>
      <c r="F7" s="104"/>
      <c r="G7" s="105">
        <f>EE5</f>
        <v>374650000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44317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55000000+65725000</f>
        <v>120725000</v>
      </c>
      <c r="AJ11" s="121">
        <v>1.8E-3</v>
      </c>
      <c r="AK11" s="87">
        <f>(AI11*AJ11)/360</f>
        <v>603.625</v>
      </c>
      <c r="AL11" s="120">
        <f>50000000+53150000+40000000</f>
        <v>143150000</v>
      </c>
      <c r="AM11" s="121">
        <v>2.5000000000000001E-3</v>
      </c>
      <c r="AN11" s="87">
        <f>(AL11*AM11)/360</f>
        <v>994.09722222222217</v>
      </c>
      <c r="AO11" s="120"/>
      <c r="AP11" s="121"/>
      <c r="AQ11" s="87">
        <f>(AO11*AP11)/360</f>
        <v>0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263875000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1597.7222222222222</v>
      </c>
      <c r="EE11" s="88">
        <f>IF(EB11&lt;&gt;0,((ED11/EB11)*360),0)</f>
        <v>2.1797441970630035E-3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263875000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1597.7222222222222</v>
      </c>
      <c r="EN11" s="88">
        <f>IF(EK11&lt;&gt;0,((EM11/EK11)*360),0)</f>
        <v>2.1797441970630035E-3</v>
      </c>
      <c r="EP11" s="87"/>
    </row>
    <row r="12" spans="1:147" x14ac:dyDescent="0.25">
      <c r="A12" s="35">
        <f>1+A11</f>
        <v>44318</v>
      </c>
      <c r="B12" s="87">
        <v>0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>
        <f>55000000+65725000</f>
        <v>120725000</v>
      </c>
      <c r="AJ12" s="121">
        <v>1.8E-3</v>
      </c>
      <c r="AK12" s="87">
        <f t="shared" ref="AK12:AK41" si="9">(AI12*AJ12)/360</f>
        <v>603.625</v>
      </c>
      <c r="AL12" s="120">
        <f>50000000+53150000+40000000</f>
        <v>143150000</v>
      </c>
      <c r="AM12" s="121">
        <v>2.5000000000000001E-3</v>
      </c>
      <c r="AN12" s="87">
        <f t="shared" ref="AN12:AN41" si="10">(AL12*AM12)/360</f>
        <v>994.09722222222217</v>
      </c>
      <c r="AO12" s="120"/>
      <c r="AP12" s="121"/>
      <c r="AQ12" s="87">
        <f t="shared" ref="AQ12:AQ41" si="11">(AO12*AP12)/360</f>
        <v>0</v>
      </c>
      <c r="AR12" s="120"/>
      <c r="AS12" s="121"/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263875000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1597.7222222222222</v>
      </c>
      <c r="EE12" s="88">
        <f t="shared" ref="EE12:EE41" si="43">IF(EB12&lt;&gt;0,((ED12/EB12)*360),0)</f>
        <v>2.1797441970630035E-3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263875000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1597.7222222222222</v>
      </c>
      <c r="EN12" s="88">
        <f t="shared" ref="EN12:EN41" si="50">IF(EK12&lt;&gt;0,((EM12/EK12)*360),0)</f>
        <v>2.1797441970630035E-3</v>
      </c>
      <c r="EP12" s="87"/>
    </row>
    <row r="13" spans="1:147" x14ac:dyDescent="0.25">
      <c r="A13" s="35">
        <f t="shared" ref="A13:A41" si="51">1+A12</f>
        <v>44319</v>
      </c>
      <c r="B13" s="87">
        <v>0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>
        <f>55000000+68725000</f>
        <v>123725000</v>
      </c>
      <c r="AJ13" s="121">
        <v>1.8E-3</v>
      </c>
      <c r="AK13" s="87">
        <f t="shared" si="9"/>
        <v>618.625</v>
      </c>
      <c r="AL13" s="120">
        <f>50000000+53150000+40000000</f>
        <v>143150000</v>
      </c>
      <c r="AM13" s="121">
        <v>2.5000000000000001E-3</v>
      </c>
      <c r="AN13" s="87">
        <f t="shared" si="10"/>
        <v>994.09722222222217</v>
      </c>
      <c r="AO13" s="120"/>
      <c r="AP13" s="121"/>
      <c r="AQ13" s="87">
        <f t="shared" si="11"/>
        <v>0</v>
      </c>
      <c r="AR13" s="120"/>
      <c r="AS13" s="121"/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266875000</v>
      </c>
      <c r="EC13" s="122">
        <f t="shared" si="41"/>
        <v>0</v>
      </c>
      <c r="ED13" s="87">
        <f t="shared" si="42"/>
        <v>1612.7222222222222</v>
      </c>
      <c r="EE13" s="88">
        <f t="shared" si="43"/>
        <v>2.1754754098360653E-3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266875000</v>
      </c>
      <c r="EL13" s="122">
        <f t="shared" si="48"/>
        <v>0</v>
      </c>
      <c r="EM13" s="122">
        <f t="shared" si="49"/>
        <v>1612.7222222222222</v>
      </c>
      <c r="EN13" s="88">
        <f t="shared" si="50"/>
        <v>2.1754754098360653E-3</v>
      </c>
      <c r="EP13" s="87"/>
    </row>
    <row r="14" spans="1:147" x14ac:dyDescent="0.25">
      <c r="A14" s="35">
        <f t="shared" si="51"/>
        <v>44320</v>
      </c>
      <c r="B14" s="87">
        <v>0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>
        <f>51175000</f>
        <v>51175000</v>
      </c>
      <c r="AJ14" s="121">
        <v>1.8E-3</v>
      </c>
      <c r="AK14" s="87">
        <f t="shared" si="9"/>
        <v>255.875</v>
      </c>
      <c r="AL14" s="120">
        <f>50000000+53150000+40000000</f>
        <v>143150000</v>
      </c>
      <c r="AM14" s="121">
        <v>2.5000000000000001E-3</v>
      </c>
      <c r="AN14" s="87">
        <f t="shared" si="10"/>
        <v>994.09722222222217</v>
      </c>
      <c r="AO14" s="120">
        <f t="shared" ref="AO14:AO30" si="52">70000000</f>
        <v>70000000</v>
      </c>
      <c r="AP14" s="121">
        <v>2.2000000000000001E-3</v>
      </c>
      <c r="AQ14" s="87">
        <f t="shared" si="11"/>
        <v>427.77777777777777</v>
      </c>
      <c r="AR14" s="120"/>
      <c r="AS14" s="121"/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264325000</v>
      </c>
      <c r="EC14" s="122">
        <f t="shared" si="41"/>
        <v>0</v>
      </c>
      <c r="ED14" s="87">
        <f t="shared" si="42"/>
        <v>1677.75</v>
      </c>
      <c r="EE14" s="88">
        <f t="shared" si="43"/>
        <v>2.285027901257921E-3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264325000</v>
      </c>
      <c r="EL14" s="122">
        <f t="shared" si="48"/>
        <v>0</v>
      </c>
      <c r="EM14" s="122">
        <f t="shared" si="49"/>
        <v>1677.75</v>
      </c>
      <c r="EN14" s="88">
        <f t="shared" si="50"/>
        <v>2.285027901257921E-3</v>
      </c>
      <c r="EP14" s="87"/>
    </row>
    <row r="15" spans="1:147" x14ac:dyDescent="0.25">
      <c r="A15" s="35">
        <f t="shared" si="51"/>
        <v>44321</v>
      </c>
      <c r="B15" s="87">
        <v>0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>
        <f>43575000</f>
        <v>43575000</v>
      </c>
      <c r="AJ15" s="121">
        <v>1.8E-3</v>
      </c>
      <c r="AK15" s="87">
        <f t="shared" si="9"/>
        <v>217.875</v>
      </c>
      <c r="AL15" s="120">
        <f>50000000+53150000+40000000</f>
        <v>143150000</v>
      </c>
      <c r="AM15" s="121">
        <v>2.5000000000000001E-3</v>
      </c>
      <c r="AN15" s="87">
        <f t="shared" si="10"/>
        <v>994.09722222222217</v>
      </c>
      <c r="AO15" s="120">
        <f t="shared" si="52"/>
        <v>70000000</v>
      </c>
      <c r="AP15" s="121">
        <v>2.2000000000000001E-3</v>
      </c>
      <c r="AQ15" s="87">
        <f t="shared" si="11"/>
        <v>427.77777777777777</v>
      </c>
      <c r="AR15" s="120"/>
      <c r="AS15" s="121"/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256725000</v>
      </c>
      <c r="EC15" s="122">
        <f t="shared" si="41"/>
        <v>0</v>
      </c>
      <c r="ED15" s="87">
        <f t="shared" si="42"/>
        <v>1639.75</v>
      </c>
      <c r="EE15" s="88">
        <f t="shared" si="43"/>
        <v>2.2993865030674849E-3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256725000</v>
      </c>
      <c r="EL15" s="122">
        <f t="shared" si="48"/>
        <v>0</v>
      </c>
      <c r="EM15" s="122">
        <f t="shared" si="49"/>
        <v>1639.75</v>
      </c>
      <c r="EN15" s="88">
        <f t="shared" si="50"/>
        <v>2.2993865030674849E-3</v>
      </c>
      <c r="EP15" s="87"/>
    </row>
    <row r="16" spans="1:147" x14ac:dyDescent="0.25">
      <c r="A16" s="35">
        <f t="shared" si="51"/>
        <v>44322</v>
      </c>
      <c r="B16" s="87">
        <v>0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>
        <f>83975000</f>
        <v>83975000</v>
      </c>
      <c r="AJ16" s="121">
        <v>1.8E-3</v>
      </c>
      <c r="AK16" s="87">
        <f t="shared" si="9"/>
        <v>419.875</v>
      </c>
      <c r="AL16" s="120">
        <f t="shared" ref="AL16:AL26" si="53">50000000+53150000</f>
        <v>103150000</v>
      </c>
      <c r="AM16" s="121">
        <v>2.5000000000000001E-3</v>
      </c>
      <c r="AN16" s="87">
        <f t="shared" si="10"/>
        <v>716.31944444444446</v>
      </c>
      <c r="AO16" s="120">
        <f t="shared" si="52"/>
        <v>70000000</v>
      </c>
      <c r="AP16" s="121">
        <v>2.2000000000000001E-3</v>
      </c>
      <c r="AQ16" s="87">
        <f t="shared" si="11"/>
        <v>427.77777777777777</v>
      </c>
      <c r="AR16" s="120"/>
      <c r="AS16" s="121"/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257125000</v>
      </c>
      <c r="EC16" s="122">
        <f t="shared" si="41"/>
        <v>0</v>
      </c>
      <c r="ED16" s="87">
        <f t="shared" si="42"/>
        <v>1563.9722222222222</v>
      </c>
      <c r="EE16" s="88">
        <f t="shared" si="43"/>
        <v>2.1897131745260085E-3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257125000</v>
      </c>
      <c r="EL16" s="122">
        <f t="shared" si="48"/>
        <v>0</v>
      </c>
      <c r="EM16" s="122">
        <f t="shared" si="49"/>
        <v>1563.9722222222222</v>
      </c>
      <c r="EN16" s="88">
        <f t="shared" si="50"/>
        <v>2.1897131745260085E-3</v>
      </c>
      <c r="EP16" s="87"/>
    </row>
    <row r="17" spans="1:146" x14ac:dyDescent="0.25">
      <c r="A17" s="35">
        <f t="shared" si="51"/>
        <v>44323</v>
      </c>
      <c r="B17" s="87">
        <v>0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>
        <f>88350000</f>
        <v>88350000</v>
      </c>
      <c r="AJ17" s="121">
        <v>1.8E-3</v>
      </c>
      <c r="AK17" s="87">
        <f t="shared" si="9"/>
        <v>441.75</v>
      </c>
      <c r="AL17" s="120">
        <f t="shared" si="53"/>
        <v>103150000</v>
      </c>
      <c r="AM17" s="121">
        <v>2.5000000000000001E-3</v>
      </c>
      <c r="AN17" s="87">
        <f t="shared" si="10"/>
        <v>716.31944444444446</v>
      </c>
      <c r="AO17" s="120">
        <f t="shared" si="52"/>
        <v>70000000</v>
      </c>
      <c r="AP17" s="121">
        <v>2.2000000000000001E-3</v>
      </c>
      <c r="AQ17" s="87">
        <f t="shared" si="11"/>
        <v>427.77777777777777</v>
      </c>
      <c r="AR17" s="120"/>
      <c r="AS17" s="121"/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261500000</v>
      </c>
      <c r="EC17" s="122">
        <f t="shared" si="41"/>
        <v>0</v>
      </c>
      <c r="ED17" s="87">
        <f t="shared" si="42"/>
        <v>1585.8472222222222</v>
      </c>
      <c r="EE17" s="88">
        <f t="shared" si="43"/>
        <v>2.183193116634799E-3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261500000</v>
      </c>
      <c r="EL17" s="122">
        <f t="shared" si="48"/>
        <v>0</v>
      </c>
      <c r="EM17" s="122">
        <f t="shared" si="49"/>
        <v>1585.8472222222222</v>
      </c>
      <c r="EN17" s="88">
        <f t="shared" si="50"/>
        <v>2.183193116634799E-3</v>
      </c>
      <c r="EP17" s="87"/>
    </row>
    <row r="18" spans="1:146" x14ac:dyDescent="0.25">
      <c r="A18" s="35">
        <f t="shared" si="51"/>
        <v>44324</v>
      </c>
      <c r="B18" s="87">
        <v>0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>
        <f>88350000</f>
        <v>88350000</v>
      </c>
      <c r="AJ18" s="121">
        <v>1.8E-3</v>
      </c>
      <c r="AK18" s="87">
        <f t="shared" si="9"/>
        <v>441.75</v>
      </c>
      <c r="AL18" s="120">
        <f t="shared" si="53"/>
        <v>103150000</v>
      </c>
      <c r="AM18" s="121">
        <v>2.5000000000000001E-3</v>
      </c>
      <c r="AN18" s="87">
        <f t="shared" si="10"/>
        <v>716.31944444444446</v>
      </c>
      <c r="AO18" s="120">
        <f t="shared" si="52"/>
        <v>70000000</v>
      </c>
      <c r="AP18" s="121">
        <v>2.2000000000000001E-3</v>
      </c>
      <c r="AQ18" s="87">
        <f t="shared" si="11"/>
        <v>427.77777777777777</v>
      </c>
      <c r="AR18" s="120"/>
      <c r="AS18" s="121"/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261500000</v>
      </c>
      <c r="EC18" s="122">
        <f t="shared" si="41"/>
        <v>0</v>
      </c>
      <c r="ED18" s="87">
        <f t="shared" si="42"/>
        <v>1585.8472222222222</v>
      </c>
      <c r="EE18" s="88">
        <f t="shared" si="43"/>
        <v>2.183193116634799E-3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261500000</v>
      </c>
      <c r="EL18" s="122">
        <f t="shared" si="48"/>
        <v>0</v>
      </c>
      <c r="EM18" s="122">
        <f t="shared" si="49"/>
        <v>1585.8472222222222</v>
      </c>
      <c r="EN18" s="88">
        <f t="shared" si="50"/>
        <v>2.183193116634799E-3</v>
      </c>
      <c r="EP18" s="87"/>
    </row>
    <row r="19" spans="1:146" x14ac:dyDescent="0.25">
      <c r="A19" s="35">
        <f t="shared" si="51"/>
        <v>44325</v>
      </c>
      <c r="B19" s="87">
        <v>0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>
        <f>88350000</f>
        <v>88350000</v>
      </c>
      <c r="AJ19" s="121">
        <v>1.8E-3</v>
      </c>
      <c r="AK19" s="87">
        <f t="shared" si="9"/>
        <v>441.75</v>
      </c>
      <c r="AL19" s="120">
        <f t="shared" si="53"/>
        <v>103150000</v>
      </c>
      <c r="AM19" s="121">
        <v>2.5000000000000001E-3</v>
      </c>
      <c r="AN19" s="87">
        <f t="shared" si="10"/>
        <v>716.31944444444446</v>
      </c>
      <c r="AO19" s="120">
        <f t="shared" si="52"/>
        <v>70000000</v>
      </c>
      <c r="AP19" s="121">
        <v>2.2000000000000001E-3</v>
      </c>
      <c r="AQ19" s="87">
        <f t="shared" si="11"/>
        <v>427.77777777777777</v>
      </c>
      <c r="AR19" s="120"/>
      <c r="AS19" s="121"/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261500000</v>
      </c>
      <c r="EC19" s="122">
        <f t="shared" si="41"/>
        <v>0</v>
      </c>
      <c r="ED19" s="87">
        <f t="shared" si="42"/>
        <v>1585.8472222222222</v>
      </c>
      <c r="EE19" s="88">
        <f t="shared" si="43"/>
        <v>2.183193116634799E-3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261500000</v>
      </c>
      <c r="EL19" s="122">
        <f t="shared" si="48"/>
        <v>0</v>
      </c>
      <c r="EM19" s="122">
        <f t="shared" si="49"/>
        <v>1585.8472222222222</v>
      </c>
      <c r="EN19" s="88">
        <f t="shared" si="50"/>
        <v>2.183193116634799E-3</v>
      </c>
      <c r="EP19" s="87"/>
    </row>
    <row r="20" spans="1:146" x14ac:dyDescent="0.25">
      <c r="A20" s="35">
        <f t="shared" si="51"/>
        <v>44326</v>
      </c>
      <c r="B20" s="87">
        <v>0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>
        <f>92500000</f>
        <v>92500000</v>
      </c>
      <c r="AJ20" s="121">
        <v>1.8E-3</v>
      </c>
      <c r="AK20" s="87">
        <f t="shared" si="9"/>
        <v>462.5</v>
      </c>
      <c r="AL20" s="120">
        <f t="shared" si="53"/>
        <v>103150000</v>
      </c>
      <c r="AM20" s="121">
        <v>2.5000000000000001E-3</v>
      </c>
      <c r="AN20" s="87">
        <f t="shared" si="10"/>
        <v>716.31944444444446</v>
      </c>
      <c r="AO20" s="120">
        <f t="shared" si="52"/>
        <v>70000000</v>
      </c>
      <c r="AP20" s="121">
        <v>2.2000000000000001E-3</v>
      </c>
      <c r="AQ20" s="87">
        <f t="shared" si="11"/>
        <v>427.77777777777777</v>
      </c>
      <c r="AR20" s="120"/>
      <c r="AS20" s="121"/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265650000</v>
      </c>
      <c r="EC20" s="122">
        <f t="shared" si="41"/>
        <v>0</v>
      </c>
      <c r="ED20" s="87">
        <f t="shared" si="42"/>
        <v>1606.5972222222222</v>
      </c>
      <c r="EE20" s="88">
        <f t="shared" si="43"/>
        <v>2.1772068511198947E-3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265650000</v>
      </c>
      <c r="EL20" s="122">
        <f t="shared" si="48"/>
        <v>0</v>
      </c>
      <c r="EM20" s="122">
        <f t="shared" si="49"/>
        <v>1606.5972222222222</v>
      </c>
      <c r="EN20" s="88">
        <f t="shared" si="50"/>
        <v>2.1772068511198947E-3</v>
      </c>
      <c r="EP20" s="87"/>
    </row>
    <row r="21" spans="1:146" x14ac:dyDescent="0.25">
      <c r="A21" s="35">
        <f t="shared" si="51"/>
        <v>44327</v>
      </c>
      <c r="B21" s="87">
        <v>0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>
        <f>86125000</f>
        <v>86125000</v>
      </c>
      <c r="AJ21" s="121">
        <v>1.8E-3</v>
      </c>
      <c r="AK21" s="87">
        <f t="shared" si="9"/>
        <v>430.625</v>
      </c>
      <c r="AL21" s="120">
        <f t="shared" si="53"/>
        <v>103150000</v>
      </c>
      <c r="AM21" s="121">
        <v>2.5000000000000001E-3</v>
      </c>
      <c r="AN21" s="87">
        <f t="shared" si="10"/>
        <v>716.31944444444446</v>
      </c>
      <c r="AO21" s="120">
        <f t="shared" si="52"/>
        <v>70000000</v>
      </c>
      <c r="AP21" s="121">
        <v>2.2000000000000001E-3</v>
      </c>
      <c r="AQ21" s="87">
        <f t="shared" si="11"/>
        <v>427.77777777777777</v>
      </c>
      <c r="AR21" s="120"/>
      <c r="AS21" s="121"/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259275000</v>
      </c>
      <c r="EC21" s="122">
        <f t="shared" si="41"/>
        <v>0</v>
      </c>
      <c r="ED21" s="87">
        <f t="shared" si="42"/>
        <v>1574.7222222222222</v>
      </c>
      <c r="EE21" s="88">
        <f t="shared" si="43"/>
        <v>2.1864815350496575E-3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259275000</v>
      </c>
      <c r="EL21" s="122">
        <f t="shared" si="48"/>
        <v>0</v>
      </c>
      <c r="EM21" s="122">
        <f t="shared" si="49"/>
        <v>1574.7222222222222</v>
      </c>
      <c r="EN21" s="88">
        <f t="shared" si="50"/>
        <v>2.1864815350496575E-3</v>
      </c>
      <c r="EP21" s="87"/>
    </row>
    <row r="22" spans="1:146" x14ac:dyDescent="0.25">
      <c r="A22" s="35">
        <f t="shared" si="51"/>
        <v>44328</v>
      </c>
      <c r="B22" s="87">
        <v>0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>
        <f>79275000</f>
        <v>79275000</v>
      </c>
      <c r="AJ22" s="121">
        <v>1.8E-3</v>
      </c>
      <c r="AK22" s="87">
        <f t="shared" si="9"/>
        <v>396.375</v>
      </c>
      <c r="AL22" s="120">
        <f t="shared" si="53"/>
        <v>103150000</v>
      </c>
      <c r="AM22" s="121">
        <v>2.5000000000000001E-3</v>
      </c>
      <c r="AN22" s="87">
        <f t="shared" si="10"/>
        <v>716.31944444444446</v>
      </c>
      <c r="AO22" s="120">
        <f t="shared" si="52"/>
        <v>70000000</v>
      </c>
      <c r="AP22" s="121">
        <v>2.2000000000000001E-3</v>
      </c>
      <c r="AQ22" s="87">
        <f t="shared" si="11"/>
        <v>427.77777777777777</v>
      </c>
      <c r="AR22" s="120"/>
      <c r="AS22" s="121"/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252425000</v>
      </c>
      <c r="EC22" s="122">
        <f t="shared" si="41"/>
        <v>0</v>
      </c>
      <c r="ED22" s="87">
        <f t="shared" si="42"/>
        <v>1540.4722222222222</v>
      </c>
      <c r="EE22" s="88">
        <f t="shared" si="43"/>
        <v>2.1969693968505494E-3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252425000</v>
      </c>
      <c r="EL22" s="122">
        <f t="shared" si="48"/>
        <v>0</v>
      </c>
      <c r="EM22" s="122">
        <f t="shared" si="49"/>
        <v>1540.4722222222222</v>
      </c>
      <c r="EN22" s="88">
        <f t="shared" si="50"/>
        <v>2.1969693968505494E-3</v>
      </c>
      <c r="EP22" s="87"/>
    </row>
    <row r="23" spans="1:146" x14ac:dyDescent="0.25">
      <c r="A23" s="35">
        <f t="shared" si="51"/>
        <v>44329</v>
      </c>
      <c r="B23" s="87">
        <v>0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>
        <f>89450000</f>
        <v>89450000</v>
      </c>
      <c r="AJ23" s="121">
        <v>1.8E-3</v>
      </c>
      <c r="AK23" s="87">
        <f t="shared" si="9"/>
        <v>447.25</v>
      </c>
      <c r="AL23" s="120">
        <f t="shared" si="53"/>
        <v>103150000</v>
      </c>
      <c r="AM23" s="121">
        <v>2.5000000000000001E-3</v>
      </c>
      <c r="AN23" s="87">
        <f t="shared" si="10"/>
        <v>716.31944444444446</v>
      </c>
      <c r="AO23" s="120">
        <f t="shared" si="52"/>
        <v>70000000</v>
      </c>
      <c r="AP23" s="121">
        <v>2.2000000000000001E-3</v>
      </c>
      <c r="AQ23" s="87">
        <f t="shared" si="11"/>
        <v>427.77777777777777</v>
      </c>
      <c r="AR23" s="120"/>
      <c r="AS23" s="121"/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262600000</v>
      </c>
      <c r="EC23" s="122">
        <f t="shared" si="41"/>
        <v>0</v>
      </c>
      <c r="ED23" s="87">
        <f t="shared" si="42"/>
        <v>1591.3472222222222</v>
      </c>
      <c r="EE23" s="88">
        <f t="shared" si="43"/>
        <v>2.1815879664889566E-3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262600000</v>
      </c>
      <c r="EL23" s="122">
        <f t="shared" si="48"/>
        <v>0</v>
      </c>
      <c r="EM23" s="122">
        <f t="shared" si="49"/>
        <v>1591.3472222222222</v>
      </c>
      <c r="EN23" s="88">
        <f t="shared" si="50"/>
        <v>2.1815879664889566E-3</v>
      </c>
      <c r="EP23" s="87"/>
    </row>
    <row r="24" spans="1:146" x14ac:dyDescent="0.25">
      <c r="A24" s="35">
        <f t="shared" si="51"/>
        <v>44330</v>
      </c>
      <c r="B24" s="87">
        <v>0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/>
      <c r="AJ24" s="121"/>
      <c r="AK24" s="87">
        <f t="shared" si="9"/>
        <v>0</v>
      </c>
      <c r="AL24" s="120">
        <f t="shared" si="53"/>
        <v>103150000</v>
      </c>
      <c r="AM24" s="121">
        <v>2.5000000000000001E-3</v>
      </c>
      <c r="AN24" s="87">
        <f t="shared" si="10"/>
        <v>716.31944444444446</v>
      </c>
      <c r="AO24" s="120">
        <f t="shared" si="52"/>
        <v>70000000</v>
      </c>
      <c r="AP24" s="121">
        <v>2.2000000000000001E-3</v>
      </c>
      <c r="AQ24" s="87">
        <f t="shared" si="11"/>
        <v>427.77777777777777</v>
      </c>
      <c r="AR24" s="120">
        <f>97225000</f>
        <v>97225000</v>
      </c>
      <c r="AS24" s="121">
        <v>2.5000000000000001E-3</v>
      </c>
      <c r="AT24" s="87">
        <f t="shared" si="12"/>
        <v>675.17361111111109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270375000</v>
      </c>
      <c r="EC24" s="122">
        <f t="shared" si="41"/>
        <v>0</v>
      </c>
      <c r="ED24" s="87">
        <f t="shared" si="42"/>
        <v>1819.2708333333333</v>
      </c>
      <c r="EE24" s="88">
        <f t="shared" si="43"/>
        <v>2.4223300970873788E-3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270375000</v>
      </c>
      <c r="EL24" s="122">
        <f t="shared" si="48"/>
        <v>0</v>
      </c>
      <c r="EM24" s="122">
        <f t="shared" si="49"/>
        <v>1819.2708333333335</v>
      </c>
      <c r="EN24" s="88">
        <f t="shared" si="50"/>
        <v>2.4223300970873788E-3</v>
      </c>
      <c r="EP24" s="87"/>
    </row>
    <row r="25" spans="1:146" x14ac:dyDescent="0.25">
      <c r="A25" s="35">
        <f t="shared" si="51"/>
        <v>44331</v>
      </c>
      <c r="B25" s="87">
        <v>0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/>
      <c r="AJ25" s="121"/>
      <c r="AK25" s="87">
        <f t="shared" si="9"/>
        <v>0</v>
      </c>
      <c r="AL25" s="120">
        <f t="shared" si="53"/>
        <v>103150000</v>
      </c>
      <c r="AM25" s="121">
        <v>2.5000000000000001E-3</v>
      </c>
      <c r="AN25" s="87">
        <f t="shared" si="10"/>
        <v>716.31944444444446</v>
      </c>
      <c r="AO25" s="120">
        <f t="shared" si="52"/>
        <v>70000000</v>
      </c>
      <c r="AP25" s="121">
        <v>2.2000000000000001E-3</v>
      </c>
      <c r="AQ25" s="87">
        <f t="shared" si="11"/>
        <v>427.77777777777777</v>
      </c>
      <c r="AR25" s="120">
        <f>97225000</f>
        <v>97225000</v>
      </c>
      <c r="AS25" s="121">
        <v>2.5000000000000001E-3</v>
      </c>
      <c r="AT25" s="87">
        <f t="shared" si="12"/>
        <v>675.17361111111109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270375000</v>
      </c>
      <c r="EC25" s="122">
        <f t="shared" si="41"/>
        <v>0</v>
      </c>
      <c r="ED25" s="87">
        <f t="shared" si="42"/>
        <v>1819.2708333333333</v>
      </c>
      <c r="EE25" s="88">
        <f t="shared" si="43"/>
        <v>2.4223300970873788E-3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270375000</v>
      </c>
      <c r="EL25" s="122">
        <f t="shared" si="48"/>
        <v>0</v>
      </c>
      <c r="EM25" s="122">
        <f t="shared" si="49"/>
        <v>1819.2708333333335</v>
      </c>
      <c r="EN25" s="88">
        <f t="shared" si="50"/>
        <v>2.4223300970873788E-3</v>
      </c>
      <c r="EP25" s="87"/>
    </row>
    <row r="26" spans="1:146" x14ac:dyDescent="0.25">
      <c r="A26" s="35">
        <f t="shared" si="51"/>
        <v>44332</v>
      </c>
      <c r="B26" s="87">
        <v>0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/>
      <c r="AJ26" s="121"/>
      <c r="AK26" s="87">
        <f t="shared" si="9"/>
        <v>0</v>
      </c>
      <c r="AL26" s="120">
        <f t="shared" si="53"/>
        <v>103150000</v>
      </c>
      <c r="AM26" s="121">
        <v>2.5000000000000001E-3</v>
      </c>
      <c r="AN26" s="87">
        <f t="shared" si="10"/>
        <v>716.31944444444446</v>
      </c>
      <c r="AO26" s="120">
        <f t="shared" si="52"/>
        <v>70000000</v>
      </c>
      <c r="AP26" s="121">
        <v>2.2000000000000001E-3</v>
      </c>
      <c r="AQ26" s="87">
        <f t="shared" si="11"/>
        <v>427.77777777777777</v>
      </c>
      <c r="AR26" s="120">
        <f>97225000</f>
        <v>97225000</v>
      </c>
      <c r="AS26" s="121">
        <v>2.5000000000000001E-3</v>
      </c>
      <c r="AT26" s="87">
        <f t="shared" si="12"/>
        <v>675.17361111111109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270375000</v>
      </c>
      <c r="EC26" s="122">
        <f t="shared" si="41"/>
        <v>0</v>
      </c>
      <c r="ED26" s="87">
        <f t="shared" si="42"/>
        <v>1819.2708333333333</v>
      </c>
      <c r="EE26" s="88">
        <f t="shared" si="43"/>
        <v>2.4223300970873788E-3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270375000</v>
      </c>
      <c r="EL26" s="122">
        <f t="shared" si="48"/>
        <v>0</v>
      </c>
      <c r="EM26" s="122">
        <f t="shared" si="49"/>
        <v>1819.2708333333335</v>
      </c>
      <c r="EN26" s="88">
        <f t="shared" si="50"/>
        <v>2.4223300970873788E-3</v>
      </c>
      <c r="EP26" s="87"/>
    </row>
    <row r="27" spans="1:146" x14ac:dyDescent="0.25">
      <c r="A27" s="35">
        <f t="shared" si="51"/>
        <v>44333</v>
      </c>
      <c r="B27" s="87">
        <v>0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>
        <f>82975000</f>
        <v>82975000</v>
      </c>
      <c r="AJ27" s="121">
        <v>1.8E-3</v>
      </c>
      <c r="AK27" s="87">
        <f t="shared" si="9"/>
        <v>414.875</v>
      </c>
      <c r="AL27" s="120"/>
      <c r="AM27" s="121"/>
      <c r="AN27" s="87">
        <f t="shared" si="10"/>
        <v>0</v>
      </c>
      <c r="AO27" s="120">
        <f t="shared" si="52"/>
        <v>70000000</v>
      </c>
      <c r="AP27" s="121">
        <v>2.2000000000000001E-3</v>
      </c>
      <c r="AQ27" s="87">
        <f t="shared" si="11"/>
        <v>427.77777777777777</v>
      </c>
      <c r="AR27" s="120">
        <f t="shared" ref="AR27:AR41" si="54">97225000+50000000</f>
        <v>147225000</v>
      </c>
      <c r="AS27" s="121">
        <v>2.5000000000000001E-3</v>
      </c>
      <c r="AT27" s="87">
        <f t="shared" si="12"/>
        <v>1022.3958333333334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300200000</v>
      </c>
      <c r="EC27" s="122">
        <f t="shared" si="41"/>
        <v>0</v>
      </c>
      <c r="ED27" s="87">
        <f t="shared" si="42"/>
        <v>1865.0486111111113</v>
      </c>
      <c r="EE27" s="88">
        <f t="shared" si="43"/>
        <v>2.2365672884743508E-3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300200000</v>
      </c>
      <c r="EL27" s="122">
        <f t="shared" si="48"/>
        <v>0</v>
      </c>
      <c r="EM27" s="122">
        <f t="shared" si="49"/>
        <v>1865.0486111111111</v>
      </c>
      <c r="EN27" s="88">
        <f t="shared" si="50"/>
        <v>2.2365672884743504E-3</v>
      </c>
      <c r="EP27" s="87"/>
    </row>
    <row r="28" spans="1:146" x14ac:dyDescent="0.25">
      <c r="A28" s="35">
        <f t="shared" si="51"/>
        <v>44334</v>
      </c>
      <c r="B28" s="87">
        <v>0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>
        <f>74050000</f>
        <v>74050000</v>
      </c>
      <c r="AJ28" s="121">
        <v>1.8E-3</v>
      </c>
      <c r="AK28" s="87">
        <f t="shared" si="9"/>
        <v>370.25</v>
      </c>
      <c r="AL28" s="120"/>
      <c r="AM28" s="121"/>
      <c r="AN28" s="87">
        <f t="shared" si="10"/>
        <v>0</v>
      </c>
      <c r="AO28" s="120">
        <f t="shared" si="52"/>
        <v>70000000</v>
      </c>
      <c r="AP28" s="121">
        <v>2.2000000000000001E-3</v>
      </c>
      <c r="AQ28" s="87">
        <f t="shared" si="11"/>
        <v>427.77777777777777</v>
      </c>
      <c r="AR28" s="120">
        <f t="shared" si="54"/>
        <v>147225000</v>
      </c>
      <c r="AS28" s="121">
        <v>2.5000000000000001E-3</v>
      </c>
      <c r="AT28" s="87">
        <f t="shared" si="12"/>
        <v>1022.3958333333334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291275000</v>
      </c>
      <c r="EC28" s="122">
        <f t="shared" si="41"/>
        <v>0</v>
      </c>
      <c r="ED28" s="87">
        <f t="shared" si="42"/>
        <v>1820.4236111111113</v>
      </c>
      <c r="EE28" s="88">
        <f t="shared" si="43"/>
        <v>2.2499442107973568E-3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291275000</v>
      </c>
      <c r="EL28" s="122">
        <f t="shared" si="48"/>
        <v>0</v>
      </c>
      <c r="EM28" s="122">
        <f t="shared" si="49"/>
        <v>1820.4236111111111</v>
      </c>
      <c r="EN28" s="88">
        <f t="shared" si="50"/>
        <v>2.2499442107973564E-3</v>
      </c>
      <c r="EP28" s="87"/>
    </row>
    <row r="29" spans="1:146" x14ac:dyDescent="0.25">
      <c r="A29" s="35">
        <f t="shared" si="51"/>
        <v>44335</v>
      </c>
      <c r="B29" s="87">
        <v>0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71300000</f>
        <v>71300000</v>
      </c>
      <c r="AJ29" s="121">
        <v>1.8E-3</v>
      </c>
      <c r="AK29" s="87">
        <f t="shared" si="9"/>
        <v>356.5</v>
      </c>
      <c r="AL29" s="120"/>
      <c r="AM29" s="121"/>
      <c r="AN29" s="87">
        <f t="shared" si="10"/>
        <v>0</v>
      </c>
      <c r="AO29" s="120">
        <f t="shared" si="52"/>
        <v>70000000</v>
      </c>
      <c r="AP29" s="121">
        <v>2.2000000000000001E-3</v>
      </c>
      <c r="AQ29" s="87">
        <f t="shared" si="11"/>
        <v>427.77777777777777</v>
      </c>
      <c r="AR29" s="120">
        <f t="shared" si="54"/>
        <v>147225000</v>
      </c>
      <c r="AS29" s="121">
        <v>2.5000000000000001E-3</v>
      </c>
      <c r="AT29" s="87">
        <f t="shared" si="12"/>
        <v>1022.3958333333334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288525000</v>
      </c>
      <c r="EC29" s="122">
        <f t="shared" si="41"/>
        <v>0</v>
      </c>
      <c r="ED29" s="87">
        <f t="shared" si="42"/>
        <v>1806.6736111111113</v>
      </c>
      <c r="EE29" s="88">
        <f t="shared" si="43"/>
        <v>2.2542327354648645E-3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288525000</v>
      </c>
      <c r="EL29" s="122">
        <f t="shared" si="48"/>
        <v>0</v>
      </c>
      <c r="EM29" s="122">
        <f t="shared" si="49"/>
        <v>1806.6736111111111</v>
      </c>
      <c r="EN29" s="88">
        <f t="shared" si="50"/>
        <v>2.2542327354648645E-3</v>
      </c>
      <c r="EP29" s="87"/>
    </row>
    <row r="30" spans="1:146" x14ac:dyDescent="0.25">
      <c r="A30" s="35">
        <f t="shared" si="51"/>
        <v>44336</v>
      </c>
      <c r="B30" s="87">
        <v>0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77175000</f>
        <v>77175000</v>
      </c>
      <c r="AJ30" s="121">
        <v>1.8E-3</v>
      </c>
      <c r="AK30" s="87">
        <f t="shared" si="9"/>
        <v>385.875</v>
      </c>
      <c r="AL30" s="120"/>
      <c r="AM30" s="121"/>
      <c r="AN30" s="87">
        <f t="shared" si="10"/>
        <v>0</v>
      </c>
      <c r="AO30" s="120">
        <f t="shared" si="52"/>
        <v>70000000</v>
      </c>
      <c r="AP30" s="121">
        <v>2.2000000000000001E-3</v>
      </c>
      <c r="AQ30" s="87">
        <f t="shared" si="11"/>
        <v>427.77777777777777</v>
      </c>
      <c r="AR30" s="120">
        <f t="shared" si="54"/>
        <v>147225000</v>
      </c>
      <c r="AS30" s="121">
        <v>2.5000000000000001E-3</v>
      </c>
      <c r="AT30" s="87">
        <f t="shared" si="12"/>
        <v>1022.3958333333334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294400000</v>
      </c>
      <c r="EC30" s="122">
        <f t="shared" si="41"/>
        <v>0</v>
      </c>
      <c r="ED30" s="87">
        <f t="shared" si="42"/>
        <v>1836.0486111111113</v>
      </c>
      <c r="EE30" s="88">
        <f t="shared" si="43"/>
        <v>2.2451681385869567E-3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294400000</v>
      </c>
      <c r="EL30" s="122">
        <f t="shared" si="48"/>
        <v>0</v>
      </c>
      <c r="EM30" s="122">
        <f t="shared" si="49"/>
        <v>1836.0486111111111</v>
      </c>
      <c r="EN30" s="88">
        <f t="shared" si="50"/>
        <v>2.2451681385869567E-3</v>
      </c>
      <c r="EP30" s="87"/>
    </row>
    <row r="31" spans="1:146" x14ac:dyDescent="0.25">
      <c r="A31" s="35">
        <f t="shared" si="51"/>
        <v>44337</v>
      </c>
      <c r="B31" s="87">
        <v>0</v>
      </c>
      <c r="D31" s="87">
        <f t="shared" si="0"/>
        <v>0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>
        <f>75200000</f>
        <v>75200000</v>
      </c>
      <c r="AJ31" s="121">
        <v>1.8E-3</v>
      </c>
      <c r="AK31" s="87">
        <f t="shared" si="9"/>
        <v>376</v>
      </c>
      <c r="AL31" s="120">
        <f t="shared" ref="AL31:AL41" si="55">50000000</f>
        <v>50000000</v>
      </c>
      <c r="AM31" s="121">
        <v>2.5000000000000001E-3</v>
      </c>
      <c r="AN31" s="87">
        <f t="shared" si="10"/>
        <v>347.22222222222223</v>
      </c>
      <c r="AO31" s="120"/>
      <c r="AP31" s="121"/>
      <c r="AQ31" s="87">
        <f t="shared" si="11"/>
        <v>0</v>
      </c>
      <c r="AR31" s="120">
        <f t="shared" si="54"/>
        <v>147225000</v>
      </c>
      <c r="AS31" s="121">
        <v>2.5000000000000001E-3</v>
      </c>
      <c r="AT31" s="87">
        <f t="shared" si="12"/>
        <v>1022.3958333333334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272425000</v>
      </c>
      <c r="EC31" s="122">
        <f t="shared" si="41"/>
        <v>0</v>
      </c>
      <c r="ED31" s="87">
        <f t="shared" si="42"/>
        <v>1745.6180555555557</v>
      </c>
      <c r="EE31" s="88">
        <f t="shared" si="43"/>
        <v>2.3067725061943654E-3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272425000</v>
      </c>
      <c r="EL31" s="122">
        <f t="shared" si="48"/>
        <v>0</v>
      </c>
      <c r="EM31" s="122">
        <f t="shared" si="49"/>
        <v>1745.6180555555557</v>
      </c>
      <c r="EN31" s="88">
        <f t="shared" si="50"/>
        <v>2.3067725061943654E-3</v>
      </c>
      <c r="EP31" s="87"/>
    </row>
    <row r="32" spans="1:146" x14ac:dyDescent="0.25">
      <c r="A32" s="35">
        <f t="shared" si="51"/>
        <v>44338</v>
      </c>
      <c r="B32" s="87">
        <v>0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>
        <f>75200000</f>
        <v>75200000</v>
      </c>
      <c r="AJ32" s="121">
        <v>1.8E-3</v>
      </c>
      <c r="AK32" s="87">
        <f t="shared" si="9"/>
        <v>376</v>
      </c>
      <c r="AL32" s="120">
        <f t="shared" si="55"/>
        <v>50000000</v>
      </c>
      <c r="AM32" s="121">
        <v>2.5000000000000001E-3</v>
      </c>
      <c r="AN32" s="87">
        <f t="shared" si="10"/>
        <v>347.22222222222223</v>
      </c>
      <c r="AO32" s="120"/>
      <c r="AP32" s="121"/>
      <c r="AQ32" s="87">
        <f t="shared" si="11"/>
        <v>0</v>
      </c>
      <c r="AR32" s="120">
        <f t="shared" si="54"/>
        <v>147225000</v>
      </c>
      <c r="AS32" s="121">
        <v>2.5000000000000001E-3</v>
      </c>
      <c r="AT32" s="87">
        <f t="shared" si="12"/>
        <v>1022.3958333333334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272425000</v>
      </c>
      <c r="EC32" s="122">
        <f t="shared" si="41"/>
        <v>0</v>
      </c>
      <c r="ED32" s="87">
        <f t="shared" si="42"/>
        <v>1745.6180555555557</v>
      </c>
      <c r="EE32" s="88">
        <f t="shared" si="43"/>
        <v>2.3067725061943654E-3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272425000</v>
      </c>
      <c r="EL32" s="122">
        <f t="shared" si="48"/>
        <v>0</v>
      </c>
      <c r="EM32" s="122">
        <f t="shared" si="49"/>
        <v>1745.6180555555557</v>
      </c>
      <c r="EN32" s="88">
        <f t="shared" si="50"/>
        <v>2.3067725061943654E-3</v>
      </c>
      <c r="EP32" s="87"/>
    </row>
    <row r="33" spans="1:146" x14ac:dyDescent="0.25">
      <c r="A33" s="35">
        <f t="shared" si="51"/>
        <v>44339</v>
      </c>
      <c r="B33" s="87">
        <v>0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>
        <f>75200000</f>
        <v>75200000</v>
      </c>
      <c r="AJ33" s="121">
        <v>1.8E-3</v>
      </c>
      <c r="AK33" s="87">
        <f t="shared" si="9"/>
        <v>376</v>
      </c>
      <c r="AL33" s="120">
        <f t="shared" si="55"/>
        <v>50000000</v>
      </c>
      <c r="AM33" s="121">
        <v>2.5000000000000001E-3</v>
      </c>
      <c r="AN33" s="87">
        <f t="shared" si="10"/>
        <v>347.22222222222223</v>
      </c>
      <c r="AO33" s="120"/>
      <c r="AP33" s="121"/>
      <c r="AQ33" s="87">
        <f t="shared" si="11"/>
        <v>0</v>
      </c>
      <c r="AR33" s="120">
        <f t="shared" si="54"/>
        <v>147225000</v>
      </c>
      <c r="AS33" s="121">
        <v>2.5000000000000001E-3</v>
      </c>
      <c r="AT33" s="87">
        <f t="shared" si="12"/>
        <v>1022.3958333333334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272425000</v>
      </c>
      <c r="EC33" s="122">
        <f t="shared" si="41"/>
        <v>0</v>
      </c>
      <c r="ED33" s="87">
        <f t="shared" si="42"/>
        <v>1745.6180555555557</v>
      </c>
      <c r="EE33" s="88">
        <f t="shared" si="43"/>
        <v>2.3067725061943654E-3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272425000</v>
      </c>
      <c r="EL33" s="122">
        <f t="shared" si="48"/>
        <v>0</v>
      </c>
      <c r="EM33" s="122">
        <f t="shared" si="49"/>
        <v>1745.6180555555557</v>
      </c>
      <c r="EN33" s="88">
        <f t="shared" si="50"/>
        <v>2.3067725061943654E-3</v>
      </c>
      <c r="EP33" s="87"/>
    </row>
    <row r="34" spans="1:146" x14ac:dyDescent="0.25">
      <c r="A34" s="35">
        <f t="shared" si="51"/>
        <v>44340</v>
      </c>
      <c r="B34" s="87">
        <v>0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>
        <f>75125000+1625000</f>
        <v>76750000</v>
      </c>
      <c r="AJ34" s="121">
        <v>1.8E-3</v>
      </c>
      <c r="AK34" s="87">
        <f t="shared" si="9"/>
        <v>383.75</v>
      </c>
      <c r="AL34" s="120">
        <f t="shared" si="55"/>
        <v>50000000</v>
      </c>
      <c r="AM34" s="121">
        <v>2.5000000000000001E-3</v>
      </c>
      <c r="AN34" s="87">
        <f t="shared" si="10"/>
        <v>347.22222222222223</v>
      </c>
      <c r="AO34" s="120"/>
      <c r="AP34" s="121"/>
      <c r="AQ34" s="87">
        <f t="shared" si="11"/>
        <v>0</v>
      </c>
      <c r="AR34" s="120">
        <f t="shared" si="54"/>
        <v>147225000</v>
      </c>
      <c r="AS34" s="121">
        <v>2.5000000000000001E-3</v>
      </c>
      <c r="AT34" s="87">
        <f t="shared" si="12"/>
        <v>1022.3958333333334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273975000</v>
      </c>
      <c r="EC34" s="122">
        <f t="shared" si="41"/>
        <v>0</v>
      </c>
      <c r="ED34" s="87">
        <f t="shared" si="42"/>
        <v>1753.3680555555557</v>
      </c>
      <c r="EE34" s="88">
        <f t="shared" si="43"/>
        <v>2.3039054658271743E-3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273975000</v>
      </c>
      <c r="EL34" s="122">
        <f t="shared" si="48"/>
        <v>0</v>
      </c>
      <c r="EM34" s="122">
        <f t="shared" si="49"/>
        <v>1753.3680555555557</v>
      </c>
      <c r="EN34" s="88">
        <f t="shared" si="50"/>
        <v>2.3039054658271743E-3</v>
      </c>
      <c r="EP34" s="87"/>
    </row>
    <row r="35" spans="1:146" x14ac:dyDescent="0.25">
      <c r="A35" s="35">
        <f t="shared" si="51"/>
        <v>44341</v>
      </c>
      <c r="B35" s="87">
        <v>0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>
        <f>66800000</f>
        <v>66800000</v>
      </c>
      <c r="AJ35" s="121">
        <v>1.6999999999999999E-3</v>
      </c>
      <c r="AK35" s="87">
        <f t="shared" si="9"/>
        <v>315.44444444444446</v>
      </c>
      <c r="AL35" s="120">
        <f t="shared" si="55"/>
        <v>50000000</v>
      </c>
      <c r="AM35" s="121">
        <v>2.5000000000000001E-3</v>
      </c>
      <c r="AN35" s="87">
        <f t="shared" si="10"/>
        <v>347.22222222222223</v>
      </c>
      <c r="AO35" s="120"/>
      <c r="AP35" s="121"/>
      <c r="AQ35" s="87">
        <f t="shared" si="11"/>
        <v>0</v>
      </c>
      <c r="AR35" s="120">
        <f t="shared" si="54"/>
        <v>147225000</v>
      </c>
      <c r="AS35" s="121">
        <v>2.5000000000000001E-3</v>
      </c>
      <c r="AT35" s="87">
        <f t="shared" si="12"/>
        <v>1022.3958333333334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264025000</v>
      </c>
      <c r="EC35" s="122">
        <f t="shared" si="41"/>
        <v>0</v>
      </c>
      <c r="ED35" s="87">
        <f t="shared" si="42"/>
        <v>1685.0625</v>
      </c>
      <c r="EE35" s="88">
        <f t="shared" si="43"/>
        <v>2.2975949247230373E-3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264025000</v>
      </c>
      <c r="EL35" s="122">
        <f t="shared" si="48"/>
        <v>0</v>
      </c>
      <c r="EM35" s="122">
        <f t="shared" si="49"/>
        <v>1685.0625</v>
      </c>
      <c r="EN35" s="88">
        <f t="shared" si="50"/>
        <v>2.2975949247230373E-3</v>
      </c>
      <c r="EP35" s="87"/>
    </row>
    <row r="36" spans="1:146" x14ac:dyDescent="0.25">
      <c r="A36" s="35">
        <f t="shared" si="51"/>
        <v>44342</v>
      </c>
      <c r="B36" s="87">
        <v>0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>
        <f>64450000</f>
        <v>64450000</v>
      </c>
      <c r="AJ36" s="121">
        <v>1.6999999999999999E-3</v>
      </c>
      <c r="AK36" s="87">
        <f t="shared" si="9"/>
        <v>304.34722222222223</v>
      </c>
      <c r="AL36" s="120">
        <f t="shared" si="55"/>
        <v>50000000</v>
      </c>
      <c r="AM36" s="121">
        <v>2.5000000000000001E-3</v>
      </c>
      <c r="AN36" s="87">
        <f t="shared" si="10"/>
        <v>347.22222222222223</v>
      </c>
      <c r="AO36" s="120"/>
      <c r="AP36" s="121"/>
      <c r="AQ36" s="87">
        <f t="shared" si="11"/>
        <v>0</v>
      </c>
      <c r="AR36" s="120">
        <f t="shared" si="54"/>
        <v>147225000</v>
      </c>
      <c r="AS36" s="121">
        <v>2.5000000000000001E-3</v>
      </c>
      <c r="AT36" s="87">
        <f t="shared" si="12"/>
        <v>1022.3958333333334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261675000</v>
      </c>
      <c r="EC36" s="122">
        <f t="shared" si="41"/>
        <v>0</v>
      </c>
      <c r="ED36" s="87">
        <f t="shared" si="42"/>
        <v>1673.9652777777778</v>
      </c>
      <c r="EE36" s="88">
        <f t="shared" si="43"/>
        <v>2.302961689118181E-3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261675000</v>
      </c>
      <c r="EL36" s="122">
        <f t="shared" si="48"/>
        <v>0</v>
      </c>
      <c r="EM36" s="122">
        <f t="shared" si="49"/>
        <v>1673.9652777777778</v>
      </c>
      <c r="EN36" s="88">
        <f t="shared" si="50"/>
        <v>2.302961689118181E-3</v>
      </c>
      <c r="EP36" s="87"/>
    </row>
    <row r="37" spans="1:146" x14ac:dyDescent="0.25">
      <c r="A37" s="35">
        <f t="shared" si="51"/>
        <v>44343</v>
      </c>
      <c r="B37" s="87">
        <v>0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>
        <f>69200000</f>
        <v>69200000</v>
      </c>
      <c r="AJ37" s="121">
        <v>1.6999999999999999E-3</v>
      </c>
      <c r="AK37" s="87">
        <f t="shared" si="9"/>
        <v>326.77777777777777</v>
      </c>
      <c r="AL37" s="120">
        <f t="shared" si="55"/>
        <v>50000000</v>
      </c>
      <c r="AM37" s="121">
        <v>2.5000000000000001E-3</v>
      </c>
      <c r="AN37" s="87">
        <f t="shared" si="10"/>
        <v>347.22222222222223</v>
      </c>
      <c r="AO37" s="120"/>
      <c r="AP37" s="121"/>
      <c r="AQ37" s="87">
        <f t="shared" si="11"/>
        <v>0</v>
      </c>
      <c r="AR37" s="120">
        <f t="shared" si="54"/>
        <v>147225000</v>
      </c>
      <c r="AS37" s="121">
        <v>2.5000000000000001E-3</v>
      </c>
      <c r="AT37" s="87">
        <f t="shared" si="12"/>
        <v>1022.3958333333334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266425000</v>
      </c>
      <c r="EC37" s="122">
        <f t="shared" si="41"/>
        <v>0</v>
      </c>
      <c r="ED37" s="87">
        <f t="shared" si="42"/>
        <v>1696.3958333333335</v>
      </c>
      <c r="EE37" s="88">
        <f t="shared" si="43"/>
        <v>2.2922116918457354E-3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266425000</v>
      </c>
      <c r="EL37" s="122">
        <f t="shared" si="48"/>
        <v>0</v>
      </c>
      <c r="EM37" s="122">
        <f t="shared" si="49"/>
        <v>1696.3958333333335</v>
      </c>
      <c r="EN37" s="88">
        <f t="shared" si="50"/>
        <v>2.2922116918457354E-3</v>
      </c>
      <c r="EP37" s="87"/>
    </row>
    <row r="38" spans="1:146" x14ac:dyDescent="0.25">
      <c r="A38" s="35">
        <f t="shared" si="51"/>
        <v>44344</v>
      </c>
      <c r="B38" s="87">
        <v>0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>
        <v>92425000</v>
      </c>
      <c r="AJ38" s="121">
        <v>1.6000000000000001E-3</v>
      </c>
      <c r="AK38" s="87">
        <f t="shared" si="9"/>
        <v>410.77777777777777</v>
      </c>
      <c r="AL38" s="120">
        <f t="shared" si="55"/>
        <v>50000000</v>
      </c>
      <c r="AM38" s="121">
        <v>2.5000000000000001E-3</v>
      </c>
      <c r="AN38" s="87">
        <f t="shared" si="10"/>
        <v>347.22222222222223</v>
      </c>
      <c r="AO38" s="120">
        <f>85000000</f>
        <v>85000000</v>
      </c>
      <c r="AP38" s="121">
        <v>2E-3</v>
      </c>
      <c r="AQ38" s="87">
        <f t="shared" si="11"/>
        <v>472.22222222222223</v>
      </c>
      <c r="AR38" s="120">
        <f t="shared" si="54"/>
        <v>147225000</v>
      </c>
      <c r="AS38" s="121">
        <v>2.5000000000000001E-3</v>
      </c>
      <c r="AT38" s="87">
        <f t="shared" si="12"/>
        <v>1022.3958333333334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374650000</v>
      </c>
      <c r="EC38" s="122">
        <f t="shared" si="41"/>
        <v>0</v>
      </c>
      <c r="ED38" s="87">
        <f t="shared" si="42"/>
        <v>2252.6180555555557</v>
      </c>
      <c r="EE38" s="88">
        <f t="shared" si="43"/>
        <v>2.1645335646603495E-3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374650000</v>
      </c>
      <c r="EL38" s="122">
        <f t="shared" si="48"/>
        <v>0</v>
      </c>
      <c r="EM38" s="122">
        <f t="shared" si="49"/>
        <v>2252.6180555555557</v>
      </c>
      <c r="EN38" s="88">
        <f t="shared" si="50"/>
        <v>2.1645335646603495E-3</v>
      </c>
      <c r="EP38" s="87"/>
    </row>
    <row r="39" spans="1:146" x14ac:dyDescent="0.25">
      <c r="A39" s="35">
        <f t="shared" si="51"/>
        <v>44345</v>
      </c>
      <c r="B39" s="87">
        <v>0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>
        <v>92425000</v>
      </c>
      <c r="AJ39" s="121">
        <v>1.6000000000000001E-3</v>
      </c>
      <c r="AK39" s="87">
        <f t="shared" si="9"/>
        <v>410.77777777777777</v>
      </c>
      <c r="AL39" s="120">
        <f t="shared" si="55"/>
        <v>50000000</v>
      </c>
      <c r="AM39" s="121">
        <v>2.5000000000000001E-3</v>
      </c>
      <c r="AN39" s="87">
        <f t="shared" si="10"/>
        <v>347.22222222222223</v>
      </c>
      <c r="AO39" s="120">
        <f>85000000</f>
        <v>85000000</v>
      </c>
      <c r="AP39" s="121">
        <v>2E-3</v>
      </c>
      <c r="AQ39" s="87">
        <f t="shared" si="11"/>
        <v>472.22222222222223</v>
      </c>
      <c r="AR39" s="120">
        <f t="shared" si="54"/>
        <v>147225000</v>
      </c>
      <c r="AS39" s="121">
        <v>2.5000000000000001E-3</v>
      </c>
      <c r="AT39" s="87">
        <f t="shared" si="12"/>
        <v>1022.3958333333334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374650000</v>
      </c>
      <c r="EC39" s="122">
        <f t="shared" si="41"/>
        <v>0</v>
      </c>
      <c r="ED39" s="87">
        <f t="shared" si="42"/>
        <v>2252.6180555555557</v>
      </c>
      <c r="EE39" s="88">
        <f t="shared" si="43"/>
        <v>2.1645335646603495E-3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374650000</v>
      </c>
      <c r="EL39" s="122">
        <f t="shared" si="48"/>
        <v>0</v>
      </c>
      <c r="EM39" s="122">
        <f t="shared" si="49"/>
        <v>2252.6180555555557</v>
      </c>
      <c r="EN39" s="88">
        <f t="shared" si="50"/>
        <v>2.1645335646603495E-3</v>
      </c>
      <c r="EP39" s="87"/>
    </row>
    <row r="40" spans="1:146" x14ac:dyDescent="0.25">
      <c r="A40" s="35">
        <f t="shared" si="51"/>
        <v>44346</v>
      </c>
      <c r="B40" s="87">
        <v>0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>
        <v>92425000</v>
      </c>
      <c r="AJ40" s="121">
        <v>1.6000000000000001E-3</v>
      </c>
      <c r="AK40" s="87">
        <f t="shared" si="9"/>
        <v>410.77777777777777</v>
      </c>
      <c r="AL40" s="120">
        <f t="shared" si="55"/>
        <v>50000000</v>
      </c>
      <c r="AM40" s="121">
        <v>2.5000000000000001E-3</v>
      </c>
      <c r="AN40" s="87">
        <f t="shared" si="10"/>
        <v>347.22222222222223</v>
      </c>
      <c r="AO40" s="120">
        <f>85000000</f>
        <v>85000000</v>
      </c>
      <c r="AP40" s="121">
        <v>2E-3</v>
      </c>
      <c r="AQ40" s="87">
        <f t="shared" si="11"/>
        <v>472.22222222222223</v>
      </c>
      <c r="AR40" s="120">
        <f t="shared" si="54"/>
        <v>147225000</v>
      </c>
      <c r="AS40" s="121">
        <v>2.5000000000000001E-3</v>
      </c>
      <c r="AT40" s="87">
        <f t="shared" si="12"/>
        <v>1022.3958333333334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374650000</v>
      </c>
      <c r="EC40" s="122">
        <f t="shared" si="41"/>
        <v>0</v>
      </c>
      <c r="ED40" s="87">
        <f t="shared" si="42"/>
        <v>2252.6180555555557</v>
      </c>
      <c r="EE40" s="88">
        <f t="shared" si="43"/>
        <v>2.1645335646603495E-3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374650000</v>
      </c>
      <c r="EL40" s="122">
        <f t="shared" si="48"/>
        <v>0</v>
      </c>
      <c r="EM40" s="122">
        <f t="shared" si="49"/>
        <v>2252.6180555555557</v>
      </c>
      <c r="EN40" s="88">
        <f t="shared" si="50"/>
        <v>2.1645335646603495E-3</v>
      </c>
      <c r="EP40" s="87"/>
    </row>
    <row r="41" spans="1:146" x14ac:dyDescent="0.25">
      <c r="A41" s="35">
        <f t="shared" si="51"/>
        <v>44347</v>
      </c>
      <c r="B41" s="87">
        <v>0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>
        <v>92425000</v>
      </c>
      <c r="AJ41" s="121">
        <v>1.6000000000000001E-3</v>
      </c>
      <c r="AK41" s="87">
        <f t="shared" si="9"/>
        <v>410.77777777777777</v>
      </c>
      <c r="AL41" s="120">
        <f t="shared" si="55"/>
        <v>50000000</v>
      </c>
      <c r="AM41" s="121">
        <v>2.5000000000000001E-3</v>
      </c>
      <c r="AN41" s="87">
        <f t="shared" si="10"/>
        <v>347.22222222222223</v>
      </c>
      <c r="AO41" s="120">
        <f>85000000</f>
        <v>85000000</v>
      </c>
      <c r="AP41" s="121">
        <v>2E-3</v>
      </c>
      <c r="AQ41" s="87">
        <f t="shared" si="11"/>
        <v>472.22222222222223</v>
      </c>
      <c r="AR41" s="120">
        <f t="shared" si="54"/>
        <v>147225000</v>
      </c>
      <c r="AS41" s="121">
        <v>2.5000000000000001E-3</v>
      </c>
      <c r="AT41" s="87">
        <f t="shared" si="12"/>
        <v>1022.3958333333334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374650000</v>
      </c>
      <c r="EC41" s="122">
        <f t="shared" si="41"/>
        <v>0</v>
      </c>
      <c r="ED41" s="87">
        <f t="shared" si="42"/>
        <v>2252.6180555555557</v>
      </c>
      <c r="EE41" s="88">
        <f t="shared" si="43"/>
        <v>2.1645335646603495E-3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374650000</v>
      </c>
      <c r="EL41" s="122">
        <f t="shared" si="48"/>
        <v>0</v>
      </c>
      <c r="EM41" s="122">
        <f t="shared" si="49"/>
        <v>2252.6180555555557</v>
      </c>
      <c r="EN41" s="88">
        <f t="shared" si="50"/>
        <v>2.1645335646603495E-3</v>
      </c>
      <c r="EP41" s="87"/>
    </row>
    <row r="42" spans="1:146" x14ac:dyDescent="0.25">
      <c r="A42" s="123" t="s">
        <v>76</v>
      </c>
      <c r="D42" s="124">
        <f>SUM(D11:D41)</f>
        <v>0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11410.430555555555</v>
      </c>
      <c r="AN42" s="124">
        <f>SUM(AN11:AN41)</f>
        <v>16669.444444444453</v>
      </c>
      <c r="AO42" s="120">
        <f>85000000</f>
        <v>85000000</v>
      </c>
      <c r="AP42" s="121">
        <v>2E-3</v>
      </c>
      <c r="AQ42" s="124">
        <f>SUM(AQ11:AQ41)</f>
        <v>9161.1111111111095</v>
      </c>
      <c r="AT42" s="124">
        <f>SUM(AT11:AT41)</f>
        <v>17361.458333333336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54602.444444444438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54602.444444444438</v>
      </c>
      <c r="EN42" s="88"/>
    </row>
    <row r="44" spans="1:146" x14ac:dyDescent="0.25">
      <c r="EM44" s="125"/>
    </row>
    <row r="46" spans="1:146" x14ac:dyDescent="0.25">
      <c r="EM46" s="87"/>
    </row>
    <row r="48" spans="1:146" x14ac:dyDescent="0.25">
      <c r="EM48" s="8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EB40</f>
        <v>0</v>
      </c>
      <c r="EI2" s="85">
        <f>EG40</f>
        <v>0</v>
      </c>
      <c r="EM2" s="85"/>
      <c r="EN2" s="85">
        <f>EK40</f>
        <v>0</v>
      </c>
      <c r="EO2" s="78">
        <v>0</v>
      </c>
      <c r="EP2" s="78">
        <f>EN2+EO2</f>
        <v>0</v>
      </c>
      <c r="EQ2" s="78">
        <f>EE2+EO2</f>
        <v>0</v>
      </c>
    </row>
    <row r="3" spans="1:147" ht="16.5" thickTop="1" x14ac:dyDescent="0.25">
      <c r="A3" s="86" t="s">
        <v>200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AVERAGE(EB11:EB40)</f>
        <v>293566666.66666669</v>
      </c>
      <c r="EI3" s="85">
        <f>AVERAGE(EG11:EG40)</f>
        <v>0</v>
      </c>
      <c r="EM3" s="85"/>
      <c r="EN3" s="85">
        <f>AVERAGE(EK11:EK40)</f>
        <v>293566666.66666669</v>
      </c>
    </row>
    <row r="4" spans="1:147" x14ac:dyDescent="0.25">
      <c r="D4" s="33"/>
      <c r="E4" s="95" t="s">
        <v>102</v>
      </c>
      <c r="F4" s="85"/>
      <c r="G4" s="96">
        <f>EQ2</f>
        <v>0</v>
      </c>
      <c r="AI4" s="97" t="s">
        <v>106</v>
      </c>
      <c r="EB4" s="33" t="s">
        <v>107</v>
      </c>
      <c r="EC4" s="33"/>
      <c r="ED4" s="93"/>
      <c r="EE4" s="93">
        <f>IF(EE3=0,0,360*(AVERAGE(ED11:ED40)/EE3))</f>
        <v>2.0165890768706709E-3</v>
      </c>
      <c r="EI4" s="93">
        <f>IF(EI3=0,0,360*(AVERAGE(EH11:EH40)/EI3))</f>
        <v>0</v>
      </c>
      <c r="EM4" s="93"/>
      <c r="EN4" s="93">
        <f>IF(EN3=0,0,360*(AVERAGE(EM11:EM40)/EN3))</f>
        <v>2.0165890768706709E-3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293566666.66666669</v>
      </c>
      <c r="AI5" s="100" t="s">
        <v>97</v>
      </c>
      <c r="EB5" s="101" t="s">
        <v>109</v>
      </c>
      <c r="EC5" s="101"/>
      <c r="ED5" s="85"/>
      <c r="EE5" s="85">
        <f>MAX(EB11:EB40)</f>
        <v>545600000</v>
      </c>
      <c r="EI5" s="85">
        <f>MAX(EG11:EG40)</f>
        <v>0</v>
      </c>
      <c r="EM5" s="85"/>
      <c r="EN5" s="85">
        <f>MAX(EK11:EK40)</f>
        <v>545600000</v>
      </c>
    </row>
    <row r="6" spans="1:147" x14ac:dyDescent="0.25">
      <c r="D6" s="33"/>
      <c r="E6" s="95" t="s">
        <v>107</v>
      </c>
      <c r="F6" s="85"/>
      <c r="G6" s="102">
        <f>EE4</f>
        <v>2.0165890768706709E-3</v>
      </c>
    </row>
    <row r="7" spans="1:147" ht="16.5" thickBot="1" x14ac:dyDescent="0.3">
      <c r="D7" s="33"/>
      <c r="E7" s="103" t="s">
        <v>109</v>
      </c>
      <c r="F7" s="104"/>
      <c r="G7" s="105">
        <f>EE5</f>
        <v>545600000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44348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>
        <f>106675000</f>
        <v>106675000</v>
      </c>
      <c r="AJ11" s="121">
        <v>1.6000000000000001E-3</v>
      </c>
      <c r="AK11" s="87">
        <f>(AI11*AJ11)/360</f>
        <v>474.11111111111109</v>
      </c>
      <c r="AL11" s="120">
        <f t="shared" ref="AL11:AL23" si="0">50000000+50000000+97225000</f>
        <v>197225000</v>
      </c>
      <c r="AM11" s="121">
        <v>2.5000000000000001E-3</v>
      </c>
      <c r="AN11" s="87">
        <f>(AL11*AM11)/360</f>
        <v>1369.6180555555557</v>
      </c>
      <c r="AO11" s="120">
        <f t="shared" ref="AO11:AO30" si="1">85000000</f>
        <v>85000000</v>
      </c>
      <c r="AP11" s="121">
        <v>2E-3</v>
      </c>
      <c r="AQ11" s="87">
        <f>(AO11*AP11)/360</f>
        <v>472.22222222222223</v>
      </c>
      <c r="AR11" s="120"/>
      <c r="AS11" s="121"/>
      <c r="AT11" s="87">
        <f>(AR11*AS11)/360</f>
        <v>0</v>
      </c>
      <c r="AU11" s="120"/>
      <c r="AV11" s="121"/>
      <c r="AW11" s="87">
        <f>(AU11*AV11)/360</f>
        <v>0</v>
      </c>
      <c r="AX11" s="120"/>
      <c r="AY11" s="121"/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388900000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2315.9513888888891</v>
      </c>
      <c r="EE11" s="88">
        <f>IF(EB11&lt;&gt;0,((ED11/EB11)*360),0)</f>
        <v>2.1438480329133455E-3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388900000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2315.9513888888887</v>
      </c>
      <c r="EN11" s="88">
        <f>IF(EK11&lt;&gt;0,((EM11/EK11)*360),0)</f>
        <v>2.1438480329133451E-3</v>
      </c>
      <c r="EP11" s="87"/>
    </row>
    <row r="12" spans="1:147" x14ac:dyDescent="0.25">
      <c r="A12" s="35">
        <f>1+A11</f>
        <v>44349</v>
      </c>
      <c r="B12" s="87">
        <v>0</v>
      </c>
      <c r="D12" s="87">
        <f t="shared" ref="D12:D40" si="2">(B12*C12)/360</f>
        <v>0</v>
      </c>
      <c r="G12" s="87">
        <f t="shared" ref="G12:G40" si="3">(E12*F12)/360</f>
        <v>0</v>
      </c>
      <c r="J12" s="87">
        <f t="shared" ref="J12:J40" si="4">(H12*I12)/360</f>
        <v>0</v>
      </c>
      <c r="M12" s="87">
        <f t="shared" ref="M12:M40" si="5">(K12*L12)/360</f>
        <v>0</v>
      </c>
      <c r="P12" s="87">
        <f t="shared" ref="P12:P40" si="6">(N12*O12)/360</f>
        <v>0</v>
      </c>
      <c r="S12" s="87">
        <f t="shared" ref="S12:S40" si="7">(Q12*R12)/360</f>
        <v>0</v>
      </c>
      <c r="V12" s="87">
        <f t="shared" ref="V12:V40" si="8">(T12*U12)/360</f>
        <v>0</v>
      </c>
      <c r="Y12" s="87">
        <f t="shared" ref="Y12:Y40" si="9">(W12*X12)/360</f>
        <v>0</v>
      </c>
      <c r="AB12" s="87">
        <f t="shared" ref="AB12:AB40" si="10">(Z12*AA12)/360</f>
        <v>0</v>
      </c>
      <c r="AE12" s="87">
        <v>0</v>
      </c>
      <c r="AH12" s="87">
        <v>0</v>
      </c>
      <c r="AI12" s="120">
        <f>102050000</f>
        <v>102050000</v>
      </c>
      <c r="AJ12" s="121">
        <v>1.6000000000000001E-3</v>
      </c>
      <c r="AK12" s="87">
        <f t="shared" ref="AK12:AK40" si="11">(AI12*AJ12)/360</f>
        <v>453.55555555555554</v>
      </c>
      <c r="AL12" s="120">
        <f t="shared" si="0"/>
        <v>197225000</v>
      </c>
      <c r="AM12" s="121">
        <v>2.5000000000000001E-3</v>
      </c>
      <c r="AN12" s="87">
        <f t="shared" ref="AN12:AN40" si="12">(AL12*AM12)/360</f>
        <v>1369.6180555555557</v>
      </c>
      <c r="AO12" s="120">
        <f t="shared" si="1"/>
        <v>85000000</v>
      </c>
      <c r="AP12" s="121">
        <v>2E-3</v>
      </c>
      <c r="AQ12" s="87">
        <f t="shared" ref="AQ12:AQ40" si="13">(AO12*AP12)/360</f>
        <v>472.22222222222223</v>
      </c>
      <c r="AR12" s="120"/>
      <c r="AS12" s="121"/>
      <c r="AT12" s="87">
        <f t="shared" ref="AT12:AT40" si="14">(AR12*AS12)/360</f>
        <v>0</v>
      </c>
      <c r="AU12" s="120"/>
      <c r="AV12" s="121"/>
      <c r="AW12" s="87">
        <f t="shared" ref="AW12:AW40" si="15">(AU12*AV12)/360</f>
        <v>0</v>
      </c>
      <c r="AX12" s="120"/>
      <c r="AY12" s="121"/>
      <c r="AZ12" s="87">
        <f t="shared" ref="AZ12:AZ40" si="16">(AX12*AY12)/360</f>
        <v>0</v>
      </c>
      <c r="BC12" s="87">
        <f t="shared" ref="BC12:BC40" si="17">(BA12*BB12)/360</f>
        <v>0</v>
      </c>
      <c r="BF12" s="87">
        <f t="shared" ref="BF12:BF40" si="18">(BD12*BE12)/360</f>
        <v>0</v>
      </c>
      <c r="BI12" s="87">
        <f t="shared" ref="BI12:BI40" si="19">(BG12*BH12)/360</f>
        <v>0</v>
      </c>
      <c r="BL12" s="87">
        <f t="shared" ref="BL12:BL40" si="20">(BJ12*BK12)/360</f>
        <v>0</v>
      </c>
      <c r="BO12" s="87">
        <f t="shared" ref="BO12:BO40" si="21">(BM12*BN12)/360</f>
        <v>0</v>
      </c>
      <c r="BR12" s="87">
        <f t="shared" ref="BR12:BR40" si="22">(BP12*BQ12)/360</f>
        <v>0</v>
      </c>
      <c r="BU12" s="87">
        <f t="shared" ref="BU12:BU40" si="23">(BS12*BT12)/360</f>
        <v>0</v>
      </c>
      <c r="BX12" s="87">
        <f t="shared" ref="BX12:BX40" si="24">(BV12*BW12)/360</f>
        <v>0</v>
      </c>
      <c r="CA12" s="87">
        <f t="shared" ref="CA12:CA40" si="25">(BY12*BZ12)/360</f>
        <v>0</v>
      </c>
      <c r="CD12" s="87">
        <f t="shared" ref="CD12:CD40" si="26">(CB12*CC12)/360</f>
        <v>0</v>
      </c>
      <c r="CG12" s="87">
        <f t="shared" ref="CG12:CG40" si="27">(CE12*CF12)/360</f>
        <v>0</v>
      </c>
      <c r="CJ12" s="87">
        <f t="shared" ref="CJ12:CJ40" si="28">(CH12*CI12)/360</f>
        <v>0</v>
      </c>
      <c r="CM12" s="87">
        <f t="shared" ref="CM12:CM40" si="29">(CK12*CL12)/360</f>
        <v>0</v>
      </c>
      <c r="CP12" s="87">
        <f t="shared" ref="CP12:CP40" si="30">(CN12*CO12)/360</f>
        <v>0</v>
      </c>
      <c r="CS12" s="87">
        <f t="shared" ref="CS12:CS40" si="31">(CQ12*CR12)/360</f>
        <v>0</v>
      </c>
      <c r="CV12" s="87">
        <f t="shared" ref="CV12:CV40" si="32">(CT12*CU12)/360</f>
        <v>0</v>
      </c>
      <c r="CY12" s="87">
        <f t="shared" ref="CY12:CY40" si="33">(CW12*CX12)/360</f>
        <v>0</v>
      </c>
      <c r="DB12" s="87">
        <f t="shared" ref="DB12:DB40" si="34">(CZ12*DA12)/360</f>
        <v>0</v>
      </c>
      <c r="DE12" s="87">
        <f t="shared" ref="DE12:DE40" si="35">(DC12*DD12)/360</f>
        <v>0</v>
      </c>
      <c r="DH12" s="87">
        <f t="shared" ref="DH12:DH40" si="36">(DF12*DG12)/360</f>
        <v>0</v>
      </c>
      <c r="DK12" s="87">
        <f t="shared" ref="DK12:DK40" si="37">(DI12*DJ12)/360</f>
        <v>0</v>
      </c>
      <c r="DN12" s="87">
        <f t="shared" ref="DN12:DN40" si="38">(DL12*DM12)/360</f>
        <v>0</v>
      </c>
      <c r="DQ12" s="87">
        <f t="shared" ref="DQ12:DQ40" si="39">(DO12*DP12)/360</f>
        <v>0</v>
      </c>
      <c r="DT12" s="87">
        <f t="shared" ref="DT12:DT40" si="40">(DR12*DS12)/360</f>
        <v>0</v>
      </c>
      <c r="DW12" s="87">
        <f t="shared" ref="DW12:DW40" si="41">(DU12*DV12)/360</f>
        <v>0</v>
      </c>
      <c r="DZ12" s="87"/>
      <c r="EA12" s="87"/>
      <c r="EB12" s="122">
        <f t="shared" ref="EB12:EB40" si="42">B12+E12+H12+K12+N12+Q12+T12+W12+Z12+AC12+AF12+AL12+AO12+AR12+AU12+AX12+BA12+BD12+BG12+DU12+AI12+DR12+DO12+DL12+DI12+DF12+DC12+CZ12+CW12+CT12+CQ12+CN12+CK12+CH12+CE12+CB12+BY12+BV12+BS12+BP12+BM12+BJ12</f>
        <v>384275000</v>
      </c>
      <c r="EC12" s="122">
        <f t="shared" ref="EC12:EC40" si="43">EB12-EK12+EL12</f>
        <v>0</v>
      </c>
      <c r="ED12" s="87">
        <f t="shared" ref="ED12:ED40" si="44">D12+G12+J12+M12+P12+S12+V12+Y12+AB12+AE12+AH12+AK12+AN12+AQ12+AT12+AW12+AZ12+BC12+BF12+BI12+DW12+DT12+DQ12+DN12+DK12+DH12+DE12+DB12+CY12+CV12+CS12+CP12+CM12+CJ12+CG12+CD12+CA12+BX12+BU12+BR12+BO12+BL12</f>
        <v>2295.3958333333335</v>
      </c>
      <c r="EE12" s="88">
        <f t="shared" ref="EE12:EE40" si="45">IF(EB12&lt;&gt;0,((ED12/EB12)*360),0)</f>
        <v>2.150393598334526E-3</v>
      </c>
      <c r="EG12" s="122">
        <f t="shared" ref="EG12:EG40" si="46">Q12+T12+W12+Z12+AC12+AF12</f>
        <v>0</v>
      </c>
      <c r="EH12" s="87">
        <f t="shared" ref="EH12:EH40" si="47">S12+V12+Y12+AB12+AE12+AH12</f>
        <v>0</v>
      </c>
      <c r="EI12" s="88">
        <f t="shared" ref="EI12:EI40" si="48">IF(EG12&lt;&gt;0,((EH12/EG12)*360),0)</f>
        <v>0</v>
      </c>
      <c r="EJ12" s="88"/>
      <c r="EK12" s="122">
        <f t="shared" ref="EK12:EK40" si="49">DR12+DL12+DI12+DF12+DC12+CZ12+CW12+CT12+CQ12+CN12+CK12+CH12+CE12+CB12+BY12+BV12+BS12+BP12+BM12+BJ12+BG12+BD12+BA12+AX12+AU12+AR12+AO12+AL12+AI12+DO12</f>
        <v>384275000</v>
      </c>
      <c r="EL12" s="122">
        <f t="shared" ref="EL12:EL40" si="50">DX12</f>
        <v>0</v>
      </c>
      <c r="EM12" s="122">
        <f t="shared" ref="EM12:EM40" si="51">DT12+DQ12+DN12+DK12+DH12+DE12+DB12+CY12+CV12+CS12+CP12+CM12+CJ12+CG12+CD12+CA12+BX12+BU12+BR12+BO12+BL12+BI12+BF12+BC12+AZ12+AW12+AT12+AQ12+AN12+AK12</f>
        <v>2295.3958333333335</v>
      </c>
      <c r="EN12" s="88">
        <f t="shared" ref="EN12:EN40" si="52">IF(EK12&lt;&gt;0,((EM12/EK12)*360),0)</f>
        <v>2.150393598334526E-3</v>
      </c>
      <c r="EP12" s="87"/>
    </row>
    <row r="13" spans="1:147" x14ac:dyDescent="0.25">
      <c r="A13" s="35">
        <f t="shared" ref="A13:A40" si="53">1+A12</f>
        <v>44350</v>
      </c>
      <c r="B13" s="87">
        <v>0</v>
      </c>
      <c r="D13" s="87">
        <f t="shared" si="2"/>
        <v>0</v>
      </c>
      <c r="G13" s="87">
        <f t="shared" si="3"/>
        <v>0</v>
      </c>
      <c r="J13" s="87">
        <f t="shared" si="4"/>
        <v>0</v>
      </c>
      <c r="M13" s="87">
        <f t="shared" si="5"/>
        <v>0</v>
      </c>
      <c r="P13" s="87">
        <f t="shared" si="6"/>
        <v>0</v>
      </c>
      <c r="S13" s="87">
        <f t="shared" si="7"/>
        <v>0</v>
      </c>
      <c r="V13" s="87">
        <f t="shared" si="8"/>
        <v>0</v>
      </c>
      <c r="Y13" s="87">
        <f t="shared" si="9"/>
        <v>0</v>
      </c>
      <c r="AB13" s="87">
        <f t="shared" si="10"/>
        <v>0</v>
      </c>
      <c r="AE13" s="87">
        <v>0</v>
      </c>
      <c r="AH13" s="87">
        <v>0</v>
      </c>
      <c r="AI13" s="120">
        <f>96925000</f>
        <v>96925000</v>
      </c>
      <c r="AJ13" s="121">
        <v>1.6000000000000001E-3</v>
      </c>
      <c r="AK13" s="87">
        <f t="shared" si="11"/>
        <v>430.77777777777777</v>
      </c>
      <c r="AL13" s="120">
        <f t="shared" si="0"/>
        <v>197225000</v>
      </c>
      <c r="AM13" s="121">
        <v>2.5000000000000001E-3</v>
      </c>
      <c r="AN13" s="87">
        <f t="shared" si="12"/>
        <v>1369.6180555555557</v>
      </c>
      <c r="AO13" s="120">
        <f t="shared" si="1"/>
        <v>85000000</v>
      </c>
      <c r="AP13" s="121">
        <v>2E-3</v>
      </c>
      <c r="AQ13" s="87">
        <f t="shared" si="13"/>
        <v>472.22222222222223</v>
      </c>
      <c r="AR13" s="120"/>
      <c r="AS13" s="121"/>
      <c r="AT13" s="87">
        <f t="shared" si="14"/>
        <v>0</v>
      </c>
      <c r="AU13" s="120"/>
      <c r="AV13" s="121"/>
      <c r="AW13" s="87">
        <f t="shared" si="15"/>
        <v>0</v>
      </c>
      <c r="AX13" s="120"/>
      <c r="AY13" s="121"/>
      <c r="AZ13" s="87">
        <f t="shared" si="16"/>
        <v>0</v>
      </c>
      <c r="BC13" s="87">
        <f t="shared" si="17"/>
        <v>0</v>
      </c>
      <c r="BF13" s="87">
        <f t="shared" si="18"/>
        <v>0</v>
      </c>
      <c r="BI13" s="87">
        <f t="shared" si="19"/>
        <v>0</v>
      </c>
      <c r="BL13" s="87">
        <f t="shared" si="20"/>
        <v>0</v>
      </c>
      <c r="BO13" s="87">
        <f t="shared" si="21"/>
        <v>0</v>
      </c>
      <c r="BR13" s="87">
        <f t="shared" si="22"/>
        <v>0</v>
      </c>
      <c r="BU13" s="87">
        <f t="shared" si="23"/>
        <v>0</v>
      </c>
      <c r="BX13" s="87">
        <f t="shared" si="24"/>
        <v>0</v>
      </c>
      <c r="CA13" s="87">
        <f t="shared" si="25"/>
        <v>0</v>
      </c>
      <c r="CD13" s="87">
        <f t="shared" si="26"/>
        <v>0</v>
      </c>
      <c r="CG13" s="87">
        <f t="shared" si="27"/>
        <v>0</v>
      </c>
      <c r="CJ13" s="87">
        <f t="shared" si="28"/>
        <v>0</v>
      </c>
      <c r="CM13" s="87">
        <f t="shared" si="29"/>
        <v>0</v>
      </c>
      <c r="CP13" s="87">
        <f t="shared" si="30"/>
        <v>0</v>
      </c>
      <c r="CS13" s="87">
        <f t="shared" si="31"/>
        <v>0</v>
      </c>
      <c r="CV13" s="87">
        <f t="shared" si="32"/>
        <v>0</v>
      </c>
      <c r="CY13" s="87">
        <f t="shared" si="33"/>
        <v>0</v>
      </c>
      <c r="DB13" s="87">
        <f t="shared" si="34"/>
        <v>0</v>
      </c>
      <c r="DE13" s="87">
        <f t="shared" si="35"/>
        <v>0</v>
      </c>
      <c r="DH13" s="87">
        <f t="shared" si="36"/>
        <v>0</v>
      </c>
      <c r="DK13" s="87">
        <f t="shared" si="37"/>
        <v>0</v>
      </c>
      <c r="DN13" s="87">
        <f t="shared" si="38"/>
        <v>0</v>
      </c>
      <c r="DQ13" s="87">
        <f t="shared" si="39"/>
        <v>0</v>
      </c>
      <c r="DT13" s="87">
        <f t="shared" si="40"/>
        <v>0</v>
      </c>
      <c r="DW13" s="87">
        <f t="shared" si="41"/>
        <v>0</v>
      </c>
      <c r="DZ13" s="87"/>
      <c r="EA13" s="87"/>
      <c r="EB13" s="122">
        <f t="shared" si="42"/>
        <v>379150000</v>
      </c>
      <c r="EC13" s="122">
        <f t="shared" si="43"/>
        <v>0</v>
      </c>
      <c r="ED13" s="87">
        <f t="shared" si="44"/>
        <v>2272.6180555555557</v>
      </c>
      <c r="EE13" s="88">
        <f t="shared" si="45"/>
        <v>2.1578333113543456E-3</v>
      </c>
      <c r="EG13" s="122">
        <f t="shared" si="46"/>
        <v>0</v>
      </c>
      <c r="EH13" s="87">
        <f t="shared" si="47"/>
        <v>0</v>
      </c>
      <c r="EI13" s="88">
        <f t="shared" si="48"/>
        <v>0</v>
      </c>
      <c r="EJ13" s="88"/>
      <c r="EK13" s="122">
        <f t="shared" si="49"/>
        <v>379150000</v>
      </c>
      <c r="EL13" s="122">
        <f t="shared" si="50"/>
        <v>0</v>
      </c>
      <c r="EM13" s="122">
        <f t="shared" si="51"/>
        <v>2272.6180555555557</v>
      </c>
      <c r="EN13" s="88">
        <f t="shared" si="52"/>
        <v>2.1578333113543456E-3</v>
      </c>
      <c r="EP13" s="87"/>
    </row>
    <row r="14" spans="1:147" x14ac:dyDescent="0.25">
      <c r="A14" s="35">
        <f t="shared" si="53"/>
        <v>44351</v>
      </c>
      <c r="B14" s="87">
        <v>0</v>
      </c>
      <c r="D14" s="87">
        <f t="shared" si="2"/>
        <v>0</v>
      </c>
      <c r="G14" s="87">
        <f t="shared" si="3"/>
        <v>0</v>
      </c>
      <c r="J14" s="87">
        <f t="shared" si="4"/>
        <v>0</v>
      </c>
      <c r="M14" s="87">
        <f t="shared" si="5"/>
        <v>0</v>
      </c>
      <c r="P14" s="87">
        <f t="shared" si="6"/>
        <v>0</v>
      </c>
      <c r="S14" s="87">
        <f t="shared" si="7"/>
        <v>0</v>
      </c>
      <c r="V14" s="87">
        <f t="shared" si="8"/>
        <v>0</v>
      </c>
      <c r="Y14" s="87">
        <f t="shared" si="9"/>
        <v>0</v>
      </c>
      <c r="AB14" s="87">
        <f t="shared" si="10"/>
        <v>0</v>
      </c>
      <c r="AE14" s="87">
        <v>0</v>
      </c>
      <c r="AH14" s="87">
        <v>0</v>
      </c>
      <c r="AI14" s="120">
        <f>103950000</f>
        <v>103950000</v>
      </c>
      <c r="AJ14" s="121">
        <v>1.6000000000000001E-3</v>
      </c>
      <c r="AK14" s="87">
        <f t="shared" si="11"/>
        <v>462</v>
      </c>
      <c r="AL14" s="120">
        <f t="shared" si="0"/>
        <v>197225000</v>
      </c>
      <c r="AM14" s="121">
        <v>2.5000000000000001E-3</v>
      </c>
      <c r="AN14" s="87">
        <f t="shared" si="12"/>
        <v>1369.6180555555557</v>
      </c>
      <c r="AO14" s="120">
        <f t="shared" si="1"/>
        <v>85000000</v>
      </c>
      <c r="AP14" s="121">
        <v>2E-3</v>
      </c>
      <c r="AQ14" s="87">
        <f t="shared" si="13"/>
        <v>472.22222222222223</v>
      </c>
      <c r="AR14" s="120"/>
      <c r="AS14" s="121"/>
      <c r="AT14" s="87">
        <f t="shared" si="14"/>
        <v>0</v>
      </c>
      <c r="AU14" s="120"/>
      <c r="AV14" s="121"/>
      <c r="AW14" s="87">
        <f t="shared" si="15"/>
        <v>0</v>
      </c>
      <c r="AX14" s="120"/>
      <c r="AY14" s="121"/>
      <c r="AZ14" s="87">
        <f t="shared" si="16"/>
        <v>0</v>
      </c>
      <c r="BC14" s="87">
        <f t="shared" si="17"/>
        <v>0</v>
      </c>
      <c r="BF14" s="87">
        <f t="shared" si="18"/>
        <v>0</v>
      </c>
      <c r="BI14" s="87">
        <f t="shared" si="19"/>
        <v>0</v>
      </c>
      <c r="BL14" s="87">
        <f t="shared" si="20"/>
        <v>0</v>
      </c>
      <c r="BO14" s="87">
        <f t="shared" si="21"/>
        <v>0</v>
      </c>
      <c r="BR14" s="87">
        <f t="shared" si="22"/>
        <v>0</v>
      </c>
      <c r="BU14" s="87">
        <f t="shared" si="23"/>
        <v>0</v>
      </c>
      <c r="BX14" s="87">
        <f t="shared" si="24"/>
        <v>0</v>
      </c>
      <c r="CA14" s="87">
        <f t="shared" si="25"/>
        <v>0</v>
      </c>
      <c r="CD14" s="87">
        <f t="shared" si="26"/>
        <v>0</v>
      </c>
      <c r="CG14" s="87">
        <f t="shared" si="27"/>
        <v>0</v>
      </c>
      <c r="CJ14" s="87">
        <f t="shared" si="28"/>
        <v>0</v>
      </c>
      <c r="CM14" s="87">
        <f t="shared" si="29"/>
        <v>0</v>
      </c>
      <c r="CP14" s="87">
        <f t="shared" si="30"/>
        <v>0</v>
      </c>
      <c r="CS14" s="87">
        <f t="shared" si="31"/>
        <v>0</v>
      </c>
      <c r="CV14" s="87">
        <f t="shared" si="32"/>
        <v>0</v>
      </c>
      <c r="CY14" s="87">
        <f t="shared" si="33"/>
        <v>0</v>
      </c>
      <c r="DB14" s="87">
        <f t="shared" si="34"/>
        <v>0</v>
      </c>
      <c r="DE14" s="87">
        <f t="shared" si="35"/>
        <v>0</v>
      </c>
      <c r="DH14" s="87">
        <f t="shared" si="36"/>
        <v>0</v>
      </c>
      <c r="DK14" s="87">
        <f t="shared" si="37"/>
        <v>0</v>
      </c>
      <c r="DN14" s="87">
        <f t="shared" si="38"/>
        <v>0</v>
      </c>
      <c r="DQ14" s="87">
        <f t="shared" si="39"/>
        <v>0</v>
      </c>
      <c r="DT14" s="87">
        <f t="shared" si="40"/>
        <v>0</v>
      </c>
      <c r="DW14" s="87">
        <f t="shared" si="41"/>
        <v>0</v>
      </c>
      <c r="DZ14" s="87"/>
      <c r="EA14" s="87"/>
      <c r="EB14" s="122">
        <f t="shared" si="42"/>
        <v>386175000</v>
      </c>
      <c r="EC14" s="122">
        <f t="shared" si="43"/>
        <v>0</v>
      </c>
      <c r="ED14" s="87">
        <f t="shared" si="44"/>
        <v>2303.8402777777778</v>
      </c>
      <c r="EE14" s="88">
        <f t="shared" si="45"/>
        <v>2.1476856347510845E-3</v>
      </c>
      <c r="EG14" s="122">
        <f t="shared" si="46"/>
        <v>0</v>
      </c>
      <c r="EH14" s="87">
        <f t="shared" si="47"/>
        <v>0</v>
      </c>
      <c r="EI14" s="88">
        <f t="shared" si="48"/>
        <v>0</v>
      </c>
      <c r="EJ14" s="88"/>
      <c r="EK14" s="122">
        <f t="shared" si="49"/>
        <v>386175000</v>
      </c>
      <c r="EL14" s="122">
        <f t="shared" si="50"/>
        <v>0</v>
      </c>
      <c r="EM14" s="122">
        <f t="shared" si="51"/>
        <v>2303.8402777777778</v>
      </c>
      <c r="EN14" s="88">
        <f t="shared" si="52"/>
        <v>2.1476856347510845E-3</v>
      </c>
      <c r="EP14" s="87"/>
    </row>
    <row r="15" spans="1:147" x14ac:dyDescent="0.25">
      <c r="A15" s="35">
        <f t="shared" si="53"/>
        <v>44352</v>
      </c>
      <c r="B15" s="87">
        <v>0</v>
      </c>
      <c r="D15" s="87">
        <f t="shared" si="2"/>
        <v>0</v>
      </c>
      <c r="G15" s="87">
        <f t="shared" si="3"/>
        <v>0</v>
      </c>
      <c r="J15" s="87">
        <f t="shared" si="4"/>
        <v>0</v>
      </c>
      <c r="M15" s="87">
        <f t="shared" si="5"/>
        <v>0</v>
      </c>
      <c r="P15" s="87">
        <f t="shared" si="6"/>
        <v>0</v>
      </c>
      <c r="S15" s="87">
        <f t="shared" si="7"/>
        <v>0</v>
      </c>
      <c r="V15" s="87">
        <f t="shared" si="8"/>
        <v>0</v>
      </c>
      <c r="Y15" s="87">
        <f t="shared" si="9"/>
        <v>0</v>
      </c>
      <c r="AB15" s="87">
        <f t="shared" si="10"/>
        <v>0</v>
      </c>
      <c r="AE15" s="87">
        <v>0</v>
      </c>
      <c r="AH15" s="87">
        <v>0</v>
      </c>
      <c r="AI15" s="120">
        <f>103950000</f>
        <v>103950000</v>
      </c>
      <c r="AJ15" s="121">
        <v>1.6000000000000001E-3</v>
      </c>
      <c r="AK15" s="87">
        <f t="shared" si="11"/>
        <v>462</v>
      </c>
      <c r="AL15" s="120">
        <f t="shared" si="0"/>
        <v>197225000</v>
      </c>
      <c r="AM15" s="121">
        <v>2.5000000000000001E-3</v>
      </c>
      <c r="AN15" s="87">
        <f t="shared" si="12"/>
        <v>1369.6180555555557</v>
      </c>
      <c r="AO15" s="120">
        <f t="shared" si="1"/>
        <v>85000000</v>
      </c>
      <c r="AP15" s="121">
        <v>2E-3</v>
      </c>
      <c r="AQ15" s="87">
        <f t="shared" si="13"/>
        <v>472.22222222222223</v>
      </c>
      <c r="AR15" s="120"/>
      <c r="AS15" s="121"/>
      <c r="AT15" s="87">
        <f t="shared" si="14"/>
        <v>0</v>
      </c>
      <c r="AU15" s="120"/>
      <c r="AV15" s="121"/>
      <c r="AW15" s="87">
        <f t="shared" si="15"/>
        <v>0</v>
      </c>
      <c r="AX15" s="120"/>
      <c r="AY15" s="121"/>
      <c r="AZ15" s="87">
        <f t="shared" si="16"/>
        <v>0</v>
      </c>
      <c r="BC15" s="87">
        <f t="shared" si="17"/>
        <v>0</v>
      </c>
      <c r="BF15" s="87">
        <f t="shared" si="18"/>
        <v>0</v>
      </c>
      <c r="BI15" s="87">
        <f t="shared" si="19"/>
        <v>0</v>
      </c>
      <c r="BL15" s="87">
        <f t="shared" si="20"/>
        <v>0</v>
      </c>
      <c r="BO15" s="87">
        <f t="shared" si="21"/>
        <v>0</v>
      </c>
      <c r="BR15" s="87">
        <f t="shared" si="22"/>
        <v>0</v>
      </c>
      <c r="BU15" s="87">
        <f t="shared" si="23"/>
        <v>0</v>
      </c>
      <c r="BX15" s="87">
        <f t="shared" si="24"/>
        <v>0</v>
      </c>
      <c r="CA15" s="87">
        <f t="shared" si="25"/>
        <v>0</v>
      </c>
      <c r="CD15" s="87">
        <f t="shared" si="26"/>
        <v>0</v>
      </c>
      <c r="CG15" s="87">
        <f t="shared" si="27"/>
        <v>0</v>
      </c>
      <c r="CJ15" s="87">
        <f t="shared" si="28"/>
        <v>0</v>
      </c>
      <c r="CM15" s="87">
        <f t="shared" si="29"/>
        <v>0</v>
      </c>
      <c r="CP15" s="87">
        <f t="shared" si="30"/>
        <v>0</v>
      </c>
      <c r="CS15" s="87">
        <f t="shared" si="31"/>
        <v>0</v>
      </c>
      <c r="CV15" s="87">
        <f t="shared" si="32"/>
        <v>0</v>
      </c>
      <c r="CY15" s="87">
        <f t="shared" si="33"/>
        <v>0</v>
      </c>
      <c r="DB15" s="87">
        <f t="shared" si="34"/>
        <v>0</v>
      </c>
      <c r="DE15" s="87">
        <f t="shared" si="35"/>
        <v>0</v>
      </c>
      <c r="DH15" s="87">
        <f t="shared" si="36"/>
        <v>0</v>
      </c>
      <c r="DK15" s="87">
        <f t="shared" si="37"/>
        <v>0</v>
      </c>
      <c r="DN15" s="87">
        <f t="shared" si="38"/>
        <v>0</v>
      </c>
      <c r="DQ15" s="87">
        <f t="shared" si="39"/>
        <v>0</v>
      </c>
      <c r="DT15" s="87">
        <f t="shared" si="40"/>
        <v>0</v>
      </c>
      <c r="DW15" s="87">
        <f t="shared" si="41"/>
        <v>0</v>
      </c>
      <c r="DZ15" s="87"/>
      <c r="EA15" s="87"/>
      <c r="EB15" s="122">
        <f t="shared" si="42"/>
        <v>386175000</v>
      </c>
      <c r="EC15" s="122">
        <f t="shared" si="43"/>
        <v>0</v>
      </c>
      <c r="ED15" s="87">
        <f t="shared" si="44"/>
        <v>2303.8402777777778</v>
      </c>
      <c r="EE15" s="88">
        <f t="shared" si="45"/>
        <v>2.1476856347510845E-3</v>
      </c>
      <c r="EG15" s="122">
        <f t="shared" si="46"/>
        <v>0</v>
      </c>
      <c r="EH15" s="87">
        <f t="shared" si="47"/>
        <v>0</v>
      </c>
      <c r="EI15" s="88">
        <f t="shared" si="48"/>
        <v>0</v>
      </c>
      <c r="EJ15" s="88"/>
      <c r="EK15" s="122">
        <f t="shared" si="49"/>
        <v>386175000</v>
      </c>
      <c r="EL15" s="122">
        <f t="shared" si="50"/>
        <v>0</v>
      </c>
      <c r="EM15" s="122">
        <f t="shared" si="51"/>
        <v>2303.8402777777778</v>
      </c>
      <c r="EN15" s="88">
        <f t="shared" si="52"/>
        <v>2.1476856347510845E-3</v>
      </c>
      <c r="EP15" s="87"/>
    </row>
    <row r="16" spans="1:147" x14ac:dyDescent="0.25">
      <c r="A16" s="35">
        <f t="shared" si="53"/>
        <v>44353</v>
      </c>
      <c r="B16" s="87">
        <v>0</v>
      </c>
      <c r="D16" s="87">
        <f t="shared" si="2"/>
        <v>0</v>
      </c>
      <c r="G16" s="87">
        <f t="shared" si="3"/>
        <v>0</v>
      </c>
      <c r="J16" s="87">
        <f t="shared" si="4"/>
        <v>0</v>
      </c>
      <c r="M16" s="87">
        <f t="shared" si="5"/>
        <v>0</v>
      </c>
      <c r="P16" s="87">
        <f t="shared" si="6"/>
        <v>0</v>
      </c>
      <c r="S16" s="87">
        <f t="shared" si="7"/>
        <v>0</v>
      </c>
      <c r="V16" s="87">
        <f t="shared" si="8"/>
        <v>0</v>
      </c>
      <c r="Y16" s="87">
        <f t="shared" si="9"/>
        <v>0</v>
      </c>
      <c r="AB16" s="87">
        <f t="shared" si="10"/>
        <v>0</v>
      </c>
      <c r="AE16" s="87">
        <v>0</v>
      </c>
      <c r="AH16" s="87">
        <v>0</v>
      </c>
      <c r="AI16" s="120">
        <f>103950000</f>
        <v>103950000</v>
      </c>
      <c r="AJ16" s="121">
        <v>1.6000000000000001E-3</v>
      </c>
      <c r="AK16" s="87">
        <f t="shared" si="11"/>
        <v>462</v>
      </c>
      <c r="AL16" s="120">
        <f t="shared" si="0"/>
        <v>197225000</v>
      </c>
      <c r="AM16" s="121">
        <v>2.5000000000000001E-3</v>
      </c>
      <c r="AN16" s="87">
        <f t="shared" si="12"/>
        <v>1369.6180555555557</v>
      </c>
      <c r="AO16" s="120">
        <f t="shared" si="1"/>
        <v>85000000</v>
      </c>
      <c r="AP16" s="121">
        <v>2E-3</v>
      </c>
      <c r="AQ16" s="87">
        <f t="shared" si="13"/>
        <v>472.22222222222223</v>
      </c>
      <c r="AR16" s="120"/>
      <c r="AS16" s="121"/>
      <c r="AT16" s="87">
        <f t="shared" si="14"/>
        <v>0</v>
      </c>
      <c r="AU16" s="120"/>
      <c r="AV16" s="121"/>
      <c r="AW16" s="87">
        <f t="shared" si="15"/>
        <v>0</v>
      </c>
      <c r="AX16" s="120"/>
      <c r="AY16" s="121"/>
      <c r="AZ16" s="87">
        <f t="shared" si="16"/>
        <v>0</v>
      </c>
      <c r="BC16" s="87">
        <f t="shared" si="17"/>
        <v>0</v>
      </c>
      <c r="BF16" s="87">
        <f t="shared" si="18"/>
        <v>0</v>
      </c>
      <c r="BI16" s="87">
        <f t="shared" si="19"/>
        <v>0</v>
      </c>
      <c r="BL16" s="87">
        <f t="shared" si="20"/>
        <v>0</v>
      </c>
      <c r="BO16" s="87">
        <f t="shared" si="21"/>
        <v>0</v>
      </c>
      <c r="BR16" s="87">
        <f t="shared" si="22"/>
        <v>0</v>
      </c>
      <c r="BU16" s="87">
        <f t="shared" si="23"/>
        <v>0</v>
      </c>
      <c r="BX16" s="87">
        <f t="shared" si="24"/>
        <v>0</v>
      </c>
      <c r="CA16" s="87">
        <f t="shared" si="25"/>
        <v>0</v>
      </c>
      <c r="CD16" s="87">
        <f t="shared" si="26"/>
        <v>0</v>
      </c>
      <c r="CG16" s="87">
        <f t="shared" si="27"/>
        <v>0</v>
      </c>
      <c r="CJ16" s="87">
        <f t="shared" si="28"/>
        <v>0</v>
      </c>
      <c r="CM16" s="87">
        <f t="shared" si="29"/>
        <v>0</v>
      </c>
      <c r="CP16" s="87">
        <f t="shared" si="30"/>
        <v>0</v>
      </c>
      <c r="CS16" s="87">
        <f t="shared" si="31"/>
        <v>0</v>
      </c>
      <c r="CV16" s="87">
        <f t="shared" si="32"/>
        <v>0</v>
      </c>
      <c r="CY16" s="87">
        <f t="shared" si="33"/>
        <v>0</v>
      </c>
      <c r="DB16" s="87">
        <f t="shared" si="34"/>
        <v>0</v>
      </c>
      <c r="DE16" s="87">
        <f t="shared" si="35"/>
        <v>0</v>
      </c>
      <c r="DH16" s="87">
        <f t="shared" si="36"/>
        <v>0</v>
      </c>
      <c r="DK16" s="87">
        <f t="shared" si="37"/>
        <v>0</v>
      </c>
      <c r="DN16" s="87">
        <f t="shared" si="38"/>
        <v>0</v>
      </c>
      <c r="DQ16" s="87">
        <f t="shared" si="39"/>
        <v>0</v>
      </c>
      <c r="DT16" s="87">
        <f t="shared" si="40"/>
        <v>0</v>
      </c>
      <c r="DW16" s="87">
        <f t="shared" si="41"/>
        <v>0</v>
      </c>
      <c r="DZ16" s="87"/>
      <c r="EA16" s="87"/>
      <c r="EB16" s="122">
        <f t="shared" si="42"/>
        <v>386175000</v>
      </c>
      <c r="EC16" s="122">
        <f t="shared" si="43"/>
        <v>0</v>
      </c>
      <c r="ED16" s="87">
        <f t="shared" si="44"/>
        <v>2303.8402777777778</v>
      </c>
      <c r="EE16" s="88">
        <f t="shared" si="45"/>
        <v>2.1476856347510845E-3</v>
      </c>
      <c r="EG16" s="122">
        <f t="shared" si="46"/>
        <v>0</v>
      </c>
      <c r="EH16" s="87">
        <f t="shared" si="47"/>
        <v>0</v>
      </c>
      <c r="EI16" s="88">
        <f t="shared" si="48"/>
        <v>0</v>
      </c>
      <c r="EJ16" s="88"/>
      <c r="EK16" s="122">
        <f t="shared" si="49"/>
        <v>386175000</v>
      </c>
      <c r="EL16" s="122">
        <f t="shared" si="50"/>
        <v>0</v>
      </c>
      <c r="EM16" s="122">
        <f t="shared" si="51"/>
        <v>2303.8402777777778</v>
      </c>
      <c r="EN16" s="88">
        <f t="shared" si="52"/>
        <v>2.1476856347510845E-3</v>
      </c>
      <c r="EP16" s="87"/>
    </row>
    <row r="17" spans="1:146" x14ac:dyDescent="0.25">
      <c r="A17" s="35">
        <f t="shared" si="53"/>
        <v>44354</v>
      </c>
      <c r="B17" s="87">
        <v>0</v>
      </c>
      <c r="D17" s="87">
        <f t="shared" si="2"/>
        <v>0</v>
      </c>
      <c r="G17" s="87">
        <f t="shared" si="3"/>
        <v>0</v>
      </c>
      <c r="J17" s="87">
        <f t="shared" si="4"/>
        <v>0</v>
      </c>
      <c r="M17" s="87">
        <f t="shared" si="5"/>
        <v>0</v>
      </c>
      <c r="P17" s="87">
        <f t="shared" si="6"/>
        <v>0</v>
      </c>
      <c r="S17" s="87">
        <f t="shared" si="7"/>
        <v>0</v>
      </c>
      <c r="V17" s="87">
        <f t="shared" si="8"/>
        <v>0</v>
      </c>
      <c r="Y17" s="87">
        <f t="shared" si="9"/>
        <v>0</v>
      </c>
      <c r="AB17" s="87">
        <f t="shared" si="10"/>
        <v>0</v>
      </c>
      <c r="AE17" s="87">
        <v>0</v>
      </c>
      <c r="AH17" s="87">
        <v>0</v>
      </c>
      <c r="AI17" s="120">
        <f>108400000</f>
        <v>108400000</v>
      </c>
      <c r="AJ17" s="121">
        <v>1.6000000000000001E-3</v>
      </c>
      <c r="AK17" s="87">
        <f t="shared" si="11"/>
        <v>481.77777777777777</v>
      </c>
      <c r="AL17" s="120">
        <f t="shared" si="0"/>
        <v>197225000</v>
      </c>
      <c r="AM17" s="121">
        <v>2.5000000000000001E-3</v>
      </c>
      <c r="AN17" s="87">
        <f t="shared" si="12"/>
        <v>1369.6180555555557</v>
      </c>
      <c r="AO17" s="120">
        <f t="shared" si="1"/>
        <v>85000000</v>
      </c>
      <c r="AP17" s="121">
        <v>2E-3</v>
      </c>
      <c r="AQ17" s="87">
        <f t="shared" si="13"/>
        <v>472.22222222222223</v>
      </c>
      <c r="AR17" s="120"/>
      <c r="AS17" s="121"/>
      <c r="AT17" s="87">
        <f t="shared" si="14"/>
        <v>0</v>
      </c>
      <c r="AU17" s="120"/>
      <c r="AV17" s="121"/>
      <c r="AW17" s="87">
        <f t="shared" si="15"/>
        <v>0</v>
      </c>
      <c r="AX17" s="120"/>
      <c r="AY17" s="121"/>
      <c r="AZ17" s="87">
        <f t="shared" si="16"/>
        <v>0</v>
      </c>
      <c r="BC17" s="87">
        <f t="shared" si="17"/>
        <v>0</v>
      </c>
      <c r="BF17" s="87">
        <f t="shared" si="18"/>
        <v>0</v>
      </c>
      <c r="BI17" s="87">
        <f t="shared" si="19"/>
        <v>0</v>
      </c>
      <c r="BL17" s="87">
        <f t="shared" si="20"/>
        <v>0</v>
      </c>
      <c r="BO17" s="87">
        <f t="shared" si="21"/>
        <v>0</v>
      </c>
      <c r="BR17" s="87">
        <f t="shared" si="22"/>
        <v>0</v>
      </c>
      <c r="BU17" s="87">
        <f t="shared" si="23"/>
        <v>0</v>
      </c>
      <c r="BX17" s="87">
        <f t="shared" si="24"/>
        <v>0</v>
      </c>
      <c r="CA17" s="87">
        <f t="shared" si="25"/>
        <v>0</v>
      </c>
      <c r="CD17" s="87">
        <f t="shared" si="26"/>
        <v>0</v>
      </c>
      <c r="CG17" s="87">
        <f t="shared" si="27"/>
        <v>0</v>
      </c>
      <c r="CJ17" s="87">
        <f t="shared" si="28"/>
        <v>0</v>
      </c>
      <c r="CM17" s="87">
        <f t="shared" si="29"/>
        <v>0</v>
      </c>
      <c r="CP17" s="87">
        <f t="shared" si="30"/>
        <v>0</v>
      </c>
      <c r="CS17" s="87">
        <f t="shared" si="31"/>
        <v>0</v>
      </c>
      <c r="CV17" s="87">
        <f t="shared" si="32"/>
        <v>0</v>
      </c>
      <c r="CY17" s="87">
        <f t="shared" si="33"/>
        <v>0</v>
      </c>
      <c r="DB17" s="87">
        <f t="shared" si="34"/>
        <v>0</v>
      </c>
      <c r="DE17" s="87">
        <f t="shared" si="35"/>
        <v>0</v>
      </c>
      <c r="DH17" s="87">
        <f t="shared" si="36"/>
        <v>0</v>
      </c>
      <c r="DK17" s="87">
        <f t="shared" si="37"/>
        <v>0</v>
      </c>
      <c r="DN17" s="87">
        <f t="shared" si="38"/>
        <v>0</v>
      </c>
      <c r="DQ17" s="87">
        <f t="shared" si="39"/>
        <v>0</v>
      </c>
      <c r="DT17" s="87">
        <f t="shared" si="40"/>
        <v>0</v>
      </c>
      <c r="DW17" s="87">
        <f t="shared" si="41"/>
        <v>0</v>
      </c>
      <c r="DZ17" s="87"/>
      <c r="EA17" s="87"/>
      <c r="EB17" s="122">
        <f t="shared" si="42"/>
        <v>390625000</v>
      </c>
      <c r="EC17" s="122">
        <f t="shared" si="43"/>
        <v>0</v>
      </c>
      <c r="ED17" s="87">
        <f t="shared" si="44"/>
        <v>2323.6180555555557</v>
      </c>
      <c r="EE17" s="88">
        <f t="shared" si="45"/>
        <v>2.1414464000000001E-3</v>
      </c>
      <c r="EG17" s="122">
        <f t="shared" si="46"/>
        <v>0</v>
      </c>
      <c r="EH17" s="87">
        <f t="shared" si="47"/>
        <v>0</v>
      </c>
      <c r="EI17" s="88">
        <f t="shared" si="48"/>
        <v>0</v>
      </c>
      <c r="EJ17" s="88"/>
      <c r="EK17" s="122">
        <f t="shared" si="49"/>
        <v>390625000</v>
      </c>
      <c r="EL17" s="122">
        <f t="shared" si="50"/>
        <v>0</v>
      </c>
      <c r="EM17" s="122">
        <f t="shared" si="51"/>
        <v>2323.6180555555557</v>
      </c>
      <c r="EN17" s="88">
        <f t="shared" si="52"/>
        <v>2.1414464000000001E-3</v>
      </c>
      <c r="EP17" s="87"/>
    </row>
    <row r="18" spans="1:146" x14ac:dyDescent="0.25">
      <c r="A18" s="35">
        <f t="shared" si="53"/>
        <v>44355</v>
      </c>
      <c r="B18" s="87">
        <v>0</v>
      </c>
      <c r="D18" s="87">
        <f t="shared" si="2"/>
        <v>0</v>
      </c>
      <c r="G18" s="87">
        <f t="shared" si="3"/>
        <v>0</v>
      </c>
      <c r="J18" s="87">
        <f t="shared" si="4"/>
        <v>0</v>
      </c>
      <c r="M18" s="87">
        <f t="shared" si="5"/>
        <v>0</v>
      </c>
      <c r="P18" s="87">
        <f t="shared" si="6"/>
        <v>0</v>
      </c>
      <c r="S18" s="87">
        <f t="shared" si="7"/>
        <v>0</v>
      </c>
      <c r="V18" s="87">
        <f t="shared" si="8"/>
        <v>0</v>
      </c>
      <c r="Y18" s="87">
        <f t="shared" si="9"/>
        <v>0</v>
      </c>
      <c r="AB18" s="87">
        <f t="shared" si="10"/>
        <v>0</v>
      </c>
      <c r="AE18" s="87">
        <v>0</v>
      </c>
      <c r="AH18" s="87">
        <v>0</v>
      </c>
      <c r="AI18" s="120">
        <f>102675000</f>
        <v>102675000</v>
      </c>
      <c r="AJ18" s="121">
        <v>1.6000000000000001E-3</v>
      </c>
      <c r="AK18" s="87">
        <f t="shared" si="11"/>
        <v>456.33333333333331</v>
      </c>
      <c r="AL18" s="120">
        <f t="shared" si="0"/>
        <v>197225000</v>
      </c>
      <c r="AM18" s="121">
        <v>2.5000000000000001E-3</v>
      </c>
      <c r="AN18" s="87">
        <f t="shared" si="12"/>
        <v>1369.6180555555557</v>
      </c>
      <c r="AO18" s="120">
        <f t="shared" si="1"/>
        <v>85000000</v>
      </c>
      <c r="AP18" s="121">
        <v>2E-3</v>
      </c>
      <c r="AQ18" s="87">
        <f t="shared" si="13"/>
        <v>472.22222222222223</v>
      </c>
      <c r="AR18" s="120"/>
      <c r="AS18" s="121"/>
      <c r="AT18" s="87">
        <f t="shared" si="14"/>
        <v>0</v>
      </c>
      <c r="AU18" s="120"/>
      <c r="AV18" s="121"/>
      <c r="AW18" s="87">
        <f t="shared" si="15"/>
        <v>0</v>
      </c>
      <c r="AX18" s="120"/>
      <c r="AY18" s="121"/>
      <c r="AZ18" s="87">
        <f t="shared" si="16"/>
        <v>0</v>
      </c>
      <c r="BC18" s="87">
        <f t="shared" si="17"/>
        <v>0</v>
      </c>
      <c r="BF18" s="87">
        <f t="shared" si="18"/>
        <v>0</v>
      </c>
      <c r="BI18" s="87">
        <f t="shared" si="19"/>
        <v>0</v>
      </c>
      <c r="BL18" s="87">
        <f t="shared" si="20"/>
        <v>0</v>
      </c>
      <c r="BO18" s="87">
        <f t="shared" si="21"/>
        <v>0</v>
      </c>
      <c r="BR18" s="87">
        <f t="shared" si="22"/>
        <v>0</v>
      </c>
      <c r="BU18" s="87">
        <f t="shared" si="23"/>
        <v>0</v>
      </c>
      <c r="BX18" s="87">
        <f t="shared" si="24"/>
        <v>0</v>
      </c>
      <c r="CA18" s="87">
        <f t="shared" si="25"/>
        <v>0</v>
      </c>
      <c r="CD18" s="87">
        <f t="shared" si="26"/>
        <v>0</v>
      </c>
      <c r="CG18" s="87">
        <f t="shared" si="27"/>
        <v>0</v>
      </c>
      <c r="CJ18" s="87">
        <f t="shared" si="28"/>
        <v>0</v>
      </c>
      <c r="CM18" s="87">
        <f t="shared" si="29"/>
        <v>0</v>
      </c>
      <c r="CP18" s="87">
        <f t="shared" si="30"/>
        <v>0</v>
      </c>
      <c r="CS18" s="87">
        <f t="shared" si="31"/>
        <v>0</v>
      </c>
      <c r="CV18" s="87">
        <f t="shared" si="32"/>
        <v>0</v>
      </c>
      <c r="CY18" s="87">
        <f t="shared" si="33"/>
        <v>0</v>
      </c>
      <c r="DB18" s="87">
        <f t="shared" si="34"/>
        <v>0</v>
      </c>
      <c r="DE18" s="87">
        <f t="shared" si="35"/>
        <v>0</v>
      </c>
      <c r="DH18" s="87">
        <f t="shared" si="36"/>
        <v>0</v>
      </c>
      <c r="DK18" s="87">
        <f t="shared" si="37"/>
        <v>0</v>
      </c>
      <c r="DN18" s="87">
        <f t="shared" si="38"/>
        <v>0</v>
      </c>
      <c r="DQ18" s="87">
        <f t="shared" si="39"/>
        <v>0</v>
      </c>
      <c r="DT18" s="87">
        <f t="shared" si="40"/>
        <v>0</v>
      </c>
      <c r="DW18" s="87">
        <f t="shared" si="41"/>
        <v>0</v>
      </c>
      <c r="DZ18" s="87"/>
      <c r="EA18" s="87"/>
      <c r="EB18" s="122">
        <f t="shared" si="42"/>
        <v>384900000</v>
      </c>
      <c r="EC18" s="122">
        <f t="shared" si="43"/>
        <v>0</v>
      </c>
      <c r="ED18" s="87">
        <f t="shared" si="44"/>
        <v>2298.1736111111113</v>
      </c>
      <c r="EE18" s="88">
        <f t="shared" si="45"/>
        <v>2.1494998700961289E-3</v>
      </c>
      <c r="EG18" s="122">
        <f t="shared" si="46"/>
        <v>0</v>
      </c>
      <c r="EH18" s="87">
        <f t="shared" si="47"/>
        <v>0</v>
      </c>
      <c r="EI18" s="88">
        <f t="shared" si="48"/>
        <v>0</v>
      </c>
      <c r="EJ18" s="88"/>
      <c r="EK18" s="122">
        <f t="shared" si="49"/>
        <v>384900000</v>
      </c>
      <c r="EL18" s="122">
        <f t="shared" si="50"/>
        <v>0</v>
      </c>
      <c r="EM18" s="122">
        <f t="shared" si="51"/>
        <v>2298.1736111111113</v>
      </c>
      <c r="EN18" s="88">
        <f t="shared" si="52"/>
        <v>2.1494998700961289E-3</v>
      </c>
      <c r="EP18" s="87"/>
    </row>
    <row r="19" spans="1:146" x14ac:dyDescent="0.25">
      <c r="A19" s="35">
        <f t="shared" si="53"/>
        <v>44356</v>
      </c>
      <c r="B19" s="87">
        <v>0</v>
      </c>
      <c r="D19" s="87">
        <f t="shared" si="2"/>
        <v>0</v>
      </c>
      <c r="G19" s="87">
        <f t="shared" si="3"/>
        <v>0</v>
      </c>
      <c r="J19" s="87">
        <f t="shared" si="4"/>
        <v>0</v>
      </c>
      <c r="M19" s="87">
        <f t="shared" si="5"/>
        <v>0</v>
      </c>
      <c r="P19" s="87">
        <f t="shared" si="6"/>
        <v>0</v>
      </c>
      <c r="S19" s="87">
        <f t="shared" si="7"/>
        <v>0</v>
      </c>
      <c r="V19" s="87">
        <f t="shared" si="8"/>
        <v>0</v>
      </c>
      <c r="Y19" s="87">
        <f t="shared" si="9"/>
        <v>0</v>
      </c>
      <c r="AB19" s="87">
        <f t="shared" si="10"/>
        <v>0</v>
      </c>
      <c r="AE19" s="87">
        <v>0</v>
      </c>
      <c r="AH19" s="87">
        <v>0</v>
      </c>
      <c r="AI19" s="120">
        <f>98075000</f>
        <v>98075000</v>
      </c>
      <c r="AJ19" s="121">
        <v>1.6000000000000001E-3</v>
      </c>
      <c r="AK19" s="87">
        <f t="shared" si="11"/>
        <v>435.88888888888891</v>
      </c>
      <c r="AL19" s="120">
        <f t="shared" si="0"/>
        <v>197225000</v>
      </c>
      <c r="AM19" s="121">
        <v>2.5000000000000001E-3</v>
      </c>
      <c r="AN19" s="87">
        <f t="shared" si="12"/>
        <v>1369.6180555555557</v>
      </c>
      <c r="AO19" s="120">
        <f t="shared" si="1"/>
        <v>85000000</v>
      </c>
      <c r="AP19" s="121">
        <v>2E-3</v>
      </c>
      <c r="AQ19" s="87">
        <f t="shared" si="13"/>
        <v>472.22222222222223</v>
      </c>
      <c r="AR19" s="120"/>
      <c r="AS19" s="121"/>
      <c r="AT19" s="87">
        <f t="shared" si="14"/>
        <v>0</v>
      </c>
      <c r="AU19" s="120"/>
      <c r="AV19" s="121"/>
      <c r="AW19" s="87">
        <f t="shared" si="15"/>
        <v>0</v>
      </c>
      <c r="AX19" s="120"/>
      <c r="AY19" s="121"/>
      <c r="AZ19" s="87">
        <f t="shared" si="16"/>
        <v>0</v>
      </c>
      <c r="BC19" s="87">
        <f t="shared" si="17"/>
        <v>0</v>
      </c>
      <c r="BF19" s="87">
        <f t="shared" si="18"/>
        <v>0</v>
      </c>
      <c r="BI19" s="87">
        <f t="shared" si="19"/>
        <v>0</v>
      </c>
      <c r="BL19" s="87">
        <f t="shared" si="20"/>
        <v>0</v>
      </c>
      <c r="BO19" s="87">
        <f t="shared" si="21"/>
        <v>0</v>
      </c>
      <c r="BR19" s="87">
        <f t="shared" si="22"/>
        <v>0</v>
      </c>
      <c r="BU19" s="87">
        <f t="shared" si="23"/>
        <v>0</v>
      </c>
      <c r="BX19" s="87">
        <f t="shared" si="24"/>
        <v>0</v>
      </c>
      <c r="CA19" s="87">
        <f t="shared" si="25"/>
        <v>0</v>
      </c>
      <c r="CD19" s="87">
        <f t="shared" si="26"/>
        <v>0</v>
      </c>
      <c r="CG19" s="87">
        <f t="shared" si="27"/>
        <v>0</v>
      </c>
      <c r="CJ19" s="87">
        <f t="shared" si="28"/>
        <v>0</v>
      </c>
      <c r="CM19" s="87">
        <f t="shared" si="29"/>
        <v>0</v>
      </c>
      <c r="CP19" s="87">
        <f t="shared" si="30"/>
        <v>0</v>
      </c>
      <c r="CS19" s="87">
        <f t="shared" si="31"/>
        <v>0</v>
      </c>
      <c r="CV19" s="87">
        <f t="shared" si="32"/>
        <v>0</v>
      </c>
      <c r="CY19" s="87">
        <f t="shared" si="33"/>
        <v>0</v>
      </c>
      <c r="DB19" s="87">
        <f t="shared" si="34"/>
        <v>0</v>
      </c>
      <c r="DE19" s="87">
        <f t="shared" si="35"/>
        <v>0</v>
      </c>
      <c r="DH19" s="87">
        <f t="shared" si="36"/>
        <v>0</v>
      </c>
      <c r="DK19" s="87">
        <f t="shared" si="37"/>
        <v>0</v>
      </c>
      <c r="DN19" s="87">
        <f t="shared" si="38"/>
        <v>0</v>
      </c>
      <c r="DQ19" s="87">
        <f t="shared" si="39"/>
        <v>0</v>
      </c>
      <c r="DT19" s="87">
        <f t="shared" si="40"/>
        <v>0</v>
      </c>
      <c r="DW19" s="87">
        <f t="shared" si="41"/>
        <v>0</v>
      </c>
      <c r="DZ19" s="87"/>
      <c r="EA19" s="87"/>
      <c r="EB19" s="122">
        <f t="shared" si="42"/>
        <v>380300000</v>
      </c>
      <c r="EC19" s="122">
        <f t="shared" si="43"/>
        <v>0</v>
      </c>
      <c r="ED19" s="87">
        <f t="shared" si="44"/>
        <v>2277.729166666667</v>
      </c>
      <c r="EE19" s="88">
        <f t="shared" si="45"/>
        <v>2.1561464633184334E-3</v>
      </c>
      <c r="EG19" s="122">
        <f t="shared" si="46"/>
        <v>0</v>
      </c>
      <c r="EH19" s="87">
        <f t="shared" si="47"/>
        <v>0</v>
      </c>
      <c r="EI19" s="88">
        <f t="shared" si="48"/>
        <v>0</v>
      </c>
      <c r="EJ19" s="88"/>
      <c r="EK19" s="122">
        <f t="shared" si="49"/>
        <v>380300000</v>
      </c>
      <c r="EL19" s="122">
        <f t="shared" si="50"/>
        <v>0</v>
      </c>
      <c r="EM19" s="122">
        <f t="shared" si="51"/>
        <v>2277.729166666667</v>
      </c>
      <c r="EN19" s="88">
        <f t="shared" si="52"/>
        <v>2.1561464633184334E-3</v>
      </c>
      <c r="EP19" s="87"/>
    </row>
    <row r="20" spans="1:146" x14ac:dyDescent="0.25">
      <c r="A20" s="35">
        <f t="shared" si="53"/>
        <v>44357</v>
      </c>
      <c r="B20" s="87">
        <v>0</v>
      </c>
      <c r="D20" s="87">
        <f t="shared" si="2"/>
        <v>0</v>
      </c>
      <c r="G20" s="87">
        <f t="shared" si="3"/>
        <v>0</v>
      </c>
      <c r="J20" s="87">
        <f t="shared" si="4"/>
        <v>0</v>
      </c>
      <c r="M20" s="87">
        <f t="shared" si="5"/>
        <v>0</v>
      </c>
      <c r="P20" s="87">
        <f t="shared" si="6"/>
        <v>0</v>
      </c>
      <c r="S20" s="87">
        <f t="shared" si="7"/>
        <v>0</v>
      </c>
      <c r="V20" s="87">
        <f t="shared" si="8"/>
        <v>0</v>
      </c>
      <c r="Y20" s="87">
        <f t="shared" si="9"/>
        <v>0</v>
      </c>
      <c r="AB20" s="87">
        <f t="shared" si="10"/>
        <v>0</v>
      </c>
      <c r="AE20" s="87">
        <v>0</v>
      </c>
      <c r="AH20" s="87">
        <v>0</v>
      </c>
      <c r="AI20" s="120">
        <f>97550000</f>
        <v>97550000</v>
      </c>
      <c r="AJ20" s="121">
        <v>1.6000000000000001E-3</v>
      </c>
      <c r="AK20" s="87">
        <f t="shared" si="11"/>
        <v>433.55555555555554</v>
      </c>
      <c r="AL20" s="120">
        <f t="shared" si="0"/>
        <v>197225000</v>
      </c>
      <c r="AM20" s="121">
        <v>2.5000000000000001E-3</v>
      </c>
      <c r="AN20" s="87">
        <f t="shared" si="12"/>
        <v>1369.6180555555557</v>
      </c>
      <c r="AO20" s="120">
        <f t="shared" si="1"/>
        <v>85000000</v>
      </c>
      <c r="AP20" s="121">
        <v>2E-3</v>
      </c>
      <c r="AQ20" s="87">
        <f t="shared" si="13"/>
        <v>472.22222222222223</v>
      </c>
      <c r="AR20" s="120"/>
      <c r="AS20" s="121"/>
      <c r="AT20" s="87">
        <f t="shared" si="14"/>
        <v>0</v>
      </c>
      <c r="AU20" s="120"/>
      <c r="AV20" s="121"/>
      <c r="AW20" s="87">
        <f t="shared" si="15"/>
        <v>0</v>
      </c>
      <c r="AX20" s="120"/>
      <c r="AY20" s="121"/>
      <c r="AZ20" s="87">
        <f t="shared" si="16"/>
        <v>0</v>
      </c>
      <c r="BC20" s="87">
        <f t="shared" si="17"/>
        <v>0</v>
      </c>
      <c r="BF20" s="87">
        <f t="shared" si="18"/>
        <v>0</v>
      </c>
      <c r="BI20" s="87">
        <f t="shared" si="19"/>
        <v>0</v>
      </c>
      <c r="BL20" s="87">
        <f t="shared" si="20"/>
        <v>0</v>
      </c>
      <c r="BO20" s="87">
        <f t="shared" si="21"/>
        <v>0</v>
      </c>
      <c r="BR20" s="87">
        <f t="shared" si="22"/>
        <v>0</v>
      </c>
      <c r="BU20" s="87">
        <f t="shared" si="23"/>
        <v>0</v>
      </c>
      <c r="BX20" s="87">
        <f t="shared" si="24"/>
        <v>0</v>
      </c>
      <c r="CA20" s="87">
        <f t="shared" si="25"/>
        <v>0</v>
      </c>
      <c r="CD20" s="87">
        <f t="shared" si="26"/>
        <v>0</v>
      </c>
      <c r="CG20" s="87">
        <f t="shared" si="27"/>
        <v>0</v>
      </c>
      <c r="CJ20" s="87">
        <f t="shared" si="28"/>
        <v>0</v>
      </c>
      <c r="CM20" s="87">
        <f t="shared" si="29"/>
        <v>0</v>
      </c>
      <c r="CP20" s="87">
        <f t="shared" si="30"/>
        <v>0</v>
      </c>
      <c r="CS20" s="87">
        <f t="shared" si="31"/>
        <v>0</v>
      </c>
      <c r="CV20" s="87">
        <f t="shared" si="32"/>
        <v>0</v>
      </c>
      <c r="CY20" s="87">
        <f t="shared" si="33"/>
        <v>0</v>
      </c>
      <c r="DB20" s="87">
        <f t="shared" si="34"/>
        <v>0</v>
      </c>
      <c r="DE20" s="87">
        <f t="shared" si="35"/>
        <v>0</v>
      </c>
      <c r="DH20" s="87">
        <f t="shared" si="36"/>
        <v>0</v>
      </c>
      <c r="DK20" s="87">
        <f t="shared" si="37"/>
        <v>0</v>
      </c>
      <c r="DN20" s="87">
        <f t="shared" si="38"/>
        <v>0</v>
      </c>
      <c r="DQ20" s="87">
        <f t="shared" si="39"/>
        <v>0</v>
      </c>
      <c r="DT20" s="87">
        <f t="shared" si="40"/>
        <v>0</v>
      </c>
      <c r="DW20" s="87">
        <f t="shared" si="41"/>
        <v>0</v>
      </c>
      <c r="DZ20" s="87"/>
      <c r="EA20" s="87"/>
      <c r="EB20" s="122">
        <f t="shared" si="42"/>
        <v>379775000</v>
      </c>
      <c r="EC20" s="122">
        <f t="shared" si="43"/>
        <v>0</v>
      </c>
      <c r="ED20" s="87">
        <f t="shared" si="44"/>
        <v>2275.3958333333335</v>
      </c>
      <c r="EE20" s="88">
        <f t="shared" si="45"/>
        <v>2.1569152787834904E-3</v>
      </c>
      <c r="EG20" s="122">
        <f t="shared" si="46"/>
        <v>0</v>
      </c>
      <c r="EH20" s="87">
        <f t="shared" si="47"/>
        <v>0</v>
      </c>
      <c r="EI20" s="88">
        <f t="shared" si="48"/>
        <v>0</v>
      </c>
      <c r="EJ20" s="88"/>
      <c r="EK20" s="122">
        <f t="shared" si="49"/>
        <v>379775000</v>
      </c>
      <c r="EL20" s="122">
        <f t="shared" si="50"/>
        <v>0</v>
      </c>
      <c r="EM20" s="122">
        <f t="shared" si="51"/>
        <v>2275.3958333333335</v>
      </c>
      <c r="EN20" s="88">
        <f t="shared" si="52"/>
        <v>2.1569152787834904E-3</v>
      </c>
      <c r="EP20" s="87"/>
    </row>
    <row r="21" spans="1:146" x14ac:dyDescent="0.25">
      <c r="A21" s="35">
        <f t="shared" si="53"/>
        <v>44358</v>
      </c>
      <c r="B21" s="87">
        <v>0</v>
      </c>
      <c r="D21" s="87">
        <f t="shared" si="2"/>
        <v>0</v>
      </c>
      <c r="G21" s="87">
        <f t="shared" si="3"/>
        <v>0</v>
      </c>
      <c r="J21" s="87">
        <f t="shared" si="4"/>
        <v>0</v>
      </c>
      <c r="M21" s="87">
        <f t="shared" si="5"/>
        <v>0</v>
      </c>
      <c r="P21" s="87">
        <f t="shared" si="6"/>
        <v>0</v>
      </c>
      <c r="S21" s="87">
        <f t="shared" si="7"/>
        <v>0</v>
      </c>
      <c r="V21" s="87">
        <f t="shared" si="8"/>
        <v>0</v>
      </c>
      <c r="Y21" s="87">
        <f t="shared" si="9"/>
        <v>0</v>
      </c>
      <c r="AB21" s="87">
        <f t="shared" si="10"/>
        <v>0</v>
      </c>
      <c r="AE21" s="87">
        <v>0</v>
      </c>
      <c r="AH21" s="87">
        <v>0</v>
      </c>
      <c r="AI21" s="120"/>
      <c r="AJ21" s="121"/>
      <c r="AK21" s="87">
        <f t="shared" si="11"/>
        <v>0</v>
      </c>
      <c r="AL21" s="120">
        <f t="shared" si="0"/>
        <v>197225000</v>
      </c>
      <c r="AM21" s="121">
        <v>2.5000000000000001E-3</v>
      </c>
      <c r="AN21" s="87">
        <f t="shared" si="12"/>
        <v>1369.6180555555557</v>
      </c>
      <c r="AO21" s="120">
        <f t="shared" si="1"/>
        <v>85000000</v>
      </c>
      <c r="AP21" s="121">
        <v>2E-3</v>
      </c>
      <c r="AQ21" s="87">
        <f t="shared" si="13"/>
        <v>472.22222222222223</v>
      </c>
      <c r="AR21" s="120">
        <f t="shared" ref="AR21:AR31" si="54">131525000</f>
        <v>131525000</v>
      </c>
      <c r="AS21" s="121">
        <v>1.6999999999999999E-3</v>
      </c>
      <c r="AT21" s="87">
        <f t="shared" si="14"/>
        <v>621.09027777777783</v>
      </c>
      <c r="AU21" s="120"/>
      <c r="AV21" s="121"/>
      <c r="AW21" s="87">
        <f t="shared" si="15"/>
        <v>0</v>
      </c>
      <c r="AX21" s="120"/>
      <c r="AY21" s="121"/>
      <c r="AZ21" s="87">
        <f t="shared" si="16"/>
        <v>0</v>
      </c>
      <c r="BC21" s="87">
        <f t="shared" si="17"/>
        <v>0</v>
      </c>
      <c r="BF21" s="87">
        <f t="shared" si="18"/>
        <v>0</v>
      </c>
      <c r="BI21" s="87">
        <f t="shared" si="19"/>
        <v>0</v>
      </c>
      <c r="BL21" s="87">
        <f t="shared" si="20"/>
        <v>0</v>
      </c>
      <c r="BO21" s="87">
        <f t="shared" si="21"/>
        <v>0</v>
      </c>
      <c r="BR21" s="87">
        <f t="shared" si="22"/>
        <v>0</v>
      </c>
      <c r="BU21" s="87">
        <f t="shared" si="23"/>
        <v>0</v>
      </c>
      <c r="BX21" s="87">
        <f t="shared" si="24"/>
        <v>0</v>
      </c>
      <c r="CA21" s="87">
        <f t="shared" si="25"/>
        <v>0</v>
      </c>
      <c r="CD21" s="87">
        <f t="shared" si="26"/>
        <v>0</v>
      </c>
      <c r="CG21" s="87">
        <f t="shared" si="27"/>
        <v>0</v>
      </c>
      <c r="CJ21" s="87">
        <f t="shared" si="28"/>
        <v>0</v>
      </c>
      <c r="CM21" s="87">
        <f t="shared" si="29"/>
        <v>0</v>
      </c>
      <c r="CP21" s="87">
        <f t="shared" si="30"/>
        <v>0</v>
      </c>
      <c r="CS21" s="87">
        <f t="shared" si="31"/>
        <v>0</v>
      </c>
      <c r="CV21" s="87">
        <f t="shared" si="32"/>
        <v>0</v>
      </c>
      <c r="CY21" s="87">
        <f t="shared" si="33"/>
        <v>0</v>
      </c>
      <c r="DB21" s="87">
        <f t="shared" si="34"/>
        <v>0</v>
      </c>
      <c r="DE21" s="87">
        <f t="shared" si="35"/>
        <v>0</v>
      </c>
      <c r="DH21" s="87">
        <f t="shared" si="36"/>
        <v>0</v>
      </c>
      <c r="DK21" s="87">
        <f t="shared" si="37"/>
        <v>0</v>
      </c>
      <c r="DN21" s="87">
        <f t="shared" si="38"/>
        <v>0</v>
      </c>
      <c r="DQ21" s="87">
        <f t="shared" si="39"/>
        <v>0</v>
      </c>
      <c r="DT21" s="87">
        <f t="shared" si="40"/>
        <v>0</v>
      </c>
      <c r="DW21" s="87">
        <f t="shared" si="41"/>
        <v>0</v>
      </c>
      <c r="DZ21" s="87"/>
      <c r="EA21" s="87"/>
      <c r="EB21" s="122">
        <f t="shared" si="42"/>
        <v>413750000</v>
      </c>
      <c r="EC21" s="122">
        <f t="shared" si="43"/>
        <v>0</v>
      </c>
      <c r="ED21" s="87">
        <f t="shared" si="44"/>
        <v>2462.9305555555557</v>
      </c>
      <c r="EE21" s="88">
        <f t="shared" si="45"/>
        <v>2.1429728096676736E-3</v>
      </c>
      <c r="EG21" s="122">
        <f t="shared" si="46"/>
        <v>0</v>
      </c>
      <c r="EH21" s="87">
        <f t="shared" si="47"/>
        <v>0</v>
      </c>
      <c r="EI21" s="88">
        <f t="shared" si="48"/>
        <v>0</v>
      </c>
      <c r="EJ21" s="88"/>
      <c r="EK21" s="122">
        <f t="shared" si="49"/>
        <v>413750000</v>
      </c>
      <c r="EL21" s="122">
        <f t="shared" si="50"/>
        <v>0</v>
      </c>
      <c r="EM21" s="122">
        <f t="shared" si="51"/>
        <v>2462.9305555555557</v>
      </c>
      <c r="EN21" s="88">
        <f t="shared" si="52"/>
        <v>2.1429728096676736E-3</v>
      </c>
      <c r="EP21" s="87"/>
    </row>
    <row r="22" spans="1:146" x14ac:dyDescent="0.25">
      <c r="A22" s="35">
        <f t="shared" si="53"/>
        <v>44359</v>
      </c>
      <c r="B22" s="87">
        <v>0</v>
      </c>
      <c r="D22" s="87">
        <f t="shared" si="2"/>
        <v>0</v>
      </c>
      <c r="G22" s="87">
        <f t="shared" si="3"/>
        <v>0</v>
      </c>
      <c r="J22" s="87">
        <f t="shared" si="4"/>
        <v>0</v>
      </c>
      <c r="M22" s="87">
        <f t="shared" si="5"/>
        <v>0</v>
      </c>
      <c r="P22" s="87">
        <f t="shared" si="6"/>
        <v>0</v>
      </c>
      <c r="S22" s="87">
        <f t="shared" si="7"/>
        <v>0</v>
      </c>
      <c r="V22" s="87">
        <f t="shared" si="8"/>
        <v>0</v>
      </c>
      <c r="Y22" s="87">
        <f t="shared" si="9"/>
        <v>0</v>
      </c>
      <c r="AB22" s="87">
        <f t="shared" si="10"/>
        <v>0</v>
      </c>
      <c r="AE22" s="87">
        <v>0</v>
      </c>
      <c r="AH22" s="87">
        <v>0</v>
      </c>
      <c r="AI22" s="120"/>
      <c r="AJ22" s="121"/>
      <c r="AK22" s="87">
        <f t="shared" si="11"/>
        <v>0</v>
      </c>
      <c r="AL22" s="120">
        <f t="shared" si="0"/>
        <v>197225000</v>
      </c>
      <c r="AM22" s="121">
        <v>2.5000000000000001E-3</v>
      </c>
      <c r="AN22" s="87">
        <f t="shared" si="12"/>
        <v>1369.6180555555557</v>
      </c>
      <c r="AO22" s="120">
        <f t="shared" si="1"/>
        <v>85000000</v>
      </c>
      <c r="AP22" s="121">
        <v>2E-3</v>
      </c>
      <c r="AQ22" s="87">
        <f t="shared" si="13"/>
        <v>472.22222222222223</v>
      </c>
      <c r="AR22" s="120">
        <f t="shared" si="54"/>
        <v>131525000</v>
      </c>
      <c r="AS22" s="121">
        <v>1.6999999999999999E-3</v>
      </c>
      <c r="AT22" s="87">
        <f t="shared" si="14"/>
        <v>621.09027777777783</v>
      </c>
      <c r="AU22" s="120"/>
      <c r="AV22" s="121"/>
      <c r="AW22" s="87">
        <f t="shared" si="15"/>
        <v>0</v>
      </c>
      <c r="AX22" s="120"/>
      <c r="AY22" s="121"/>
      <c r="AZ22" s="87">
        <f t="shared" si="16"/>
        <v>0</v>
      </c>
      <c r="BC22" s="87">
        <f t="shared" si="17"/>
        <v>0</v>
      </c>
      <c r="BF22" s="87">
        <f t="shared" si="18"/>
        <v>0</v>
      </c>
      <c r="BI22" s="87">
        <f t="shared" si="19"/>
        <v>0</v>
      </c>
      <c r="BL22" s="87">
        <f t="shared" si="20"/>
        <v>0</v>
      </c>
      <c r="BO22" s="87">
        <f t="shared" si="21"/>
        <v>0</v>
      </c>
      <c r="BR22" s="87">
        <f t="shared" si="22"/>
        <v>0</v>
      </c>
      <c r="BU22" s="87">
        <f t="shared" si="23"/>
        <v>0</v>
      </c>
      <c r="BX22" s="87">
        <f t="shared" si="24"/>
        <v>0</v>
      </c>
      <c r="CA22" s="87">
        <f t="shared" si="25"/>
        <v>0</v>
      </c>
      <c r="CD22" s="87">
        <f t="shared" si="26"/>
        <v>0</v>
      </c>
      <c r="CG22" s="87">
        <f t="shared" si="27"/>
        <v>0</v>
      </c>
      <c r="CJ22" s="87">
        <f t="shared" si="28"/>
        <v>0</v>
      </c>
      <c r="CM22" s="87">
        <f t="shared" si="29"/>
        <v>0</v>
      </c>
      <c r="CP22" s="87">
        <f t="shared" si="30"/>
        <v>0</v>
      </c>
      <c r="CS22" s="87">
        <f t="shared" si="31"/>
        <v>0</v>
      </c>
      <c r="CV22" s="87">
        <f t="shared" si="32"/>
        <v>0</v>
      </c>
      <c r="CY22" s="87">
        <f t="shared" si="33"/>
        <v>0</v>
      </c>
      <c r="DB22" s="87">
        <f t="shared" si="34"/>
        <v>0</v>
      </c>
      <c r="DE22" s="87">
        <f t="shared" si="35"/>
        <v>0</v>
      </c>
      <c r="DH22" s="87">
        <f t="shared" si="36"/>
        <v>0</v>
      </c>
      <c r="DK22" s="87">
        <f t="shared" si="37"/>
        <v>0</v>
      </c>
      <c r="DN22" s="87">
        <f t="shared" si="38"/>
        <v>0</v>
      </c>
      <c r="DQ22" s="87">
        <f t="shared" si="39"/>
        <v>0</v>
      </c>
      <c r="DT22" s="87">
        <f t="shared" si="40"/>
        <v>0</v>
      </c>
      <c r="DW22" s="87">
        <f t="shared" si="41"/>
        <v>0</v>
      </c>
      <c r="DZ22" s="87"/>
      <c r="EA22" s="87"/>
      <c r="EB22" s="122">
        <f t="shared" si="42"/>
        <v>413750000</v>
      </c>
      <c r="EC22" s="122">
        <f t="shared" si="43"/>
        <v>0</v>
      </c>
      <c r="ED22" s="87">
        <f t="shared" si="44"/>
        <v>2462.9305555555557</v>
      </c>
      <c r="EE22" s="88">
        <f t="shared" si="45"/>
        <v>2.1429728096676736E-3</v>
      </c>
      <c r="EG22" s="122">
        <f t="shared" si="46"/>
        <v>0</v>
      </c>
      <c r="EH22" s="87">
        <f t="shared" si="47"/>
        <v>0</v>
      </c>
      <c r="EI22" s="88">
        <f t="shared" si="48"/>
        <v>0</v>
      </c>
      <c r="EJ22" s="88"/>
      <c r="EK22" s="122">
        <f t="shared" si="49"/>
        <v>413750000</v>
      </c>
      <c r="EL22" s="122">
        <f t="shared" si="50"/>
        <v>0</v>
      </c>
      <c r="EM22" s="122">
        <f t="shared" si="51"/>
        <v>2462.9305555555557</v>
      </c>
      <c r="EN22" s="88">
        <f t="shared" si="52"/>
        <v>2.1429728096676736E-3</v>
      </c>
      <c r="EP22" s="87"/>
    </row>
    <row r="23" spans="1:146" x14ac:dyDescent="0.25">
      <c r="A23" s="35">
        <f t="shared" si="53"/>
        <v>44360</v>
      </c>
      <c r="B23" s="87">
        <v>0</v>
      </c>
      <c r="D23" s="87">
        <f t="shared" si="2"/>
        <v>0</v>
      </c>
      <c r="G23" s="87">
        <f t="shared" si="3"/>
        <v>0</v>
      </c>
      <c r="J23" s="87">
        <f t="shared" si="4"/>
        <v>0</v>
      </c>
      <c r="M23" s="87">
        <f t="shared" si="5"/>
        <v>0</v>
      </c>
      <c r="P23" s="87">
        <f t="shared" si="6"/>
        <v>0</v>
      </c>
      <c r="S23" s="87">
        <f t="shared" si="7"/>
        <v>0</v>
      </c>
      <c r="V23" s="87">
        <f t="shared" si="8"/>
        <v>0</v>
      </c>
      <c r="Y23" s="87">
        <f t="shared" si="9"/>
        <v>0</v>
      </c>
      <c r="AB23" s="87">
        <f t="shared" si="10"/>
        <v>0</v>
      </c>
      <c r="AE23" s="87">
        <v>0</v>
      </c>
      <c r="AH23" s="87">
        <v>0</v>
      </c>
      <c r="AI23" s="120"/>
      <c r="AJ23" s="121"/>
      <c r="AK23" s="87">
        <f t="shared" si="11"/>
        <v>0</v>
      </c>
      <c r="AL23" s="120">
        <f t="shared" si="0"/>
        <v>197225000</v>
      </c>
      <c r="AM23" s="121">
        <v>2.5000000000000001E-3</v>
      </c>
      <c r="AN23" s="87">
        <f t="shared" si="12"/>
        <v>1369.6180555555557</v>
      </c>
      <c r="AO23" s="120">
        <f t="shared" si="1"/>
        <v>85000000</v>
      </c>
      <c r="AP23" s="121">
        <v>2E-3</v>
      </c>
      <c r="AQ23" s="87">
        <f t="shared" si="13"/>
        <v>472.22222222222223</v>
      </c>
      <c r="AR23" s="120">
        <f t="shared" si="54"/>
        <v>131525000</v>
      </c>
      <c r="AS23" s="121">
        <v>1.6999999999999999E-3</v>
      </c>
      <c r="AT23" s="87">
        <f t="shared" si="14"/>
        <v>621.09027777777783</v>
      </c>
      <c r="AU23" s="120"/>
      <c r="AV23" s="121"/>
      <c r="AW23" s="87">
        <f t="shared" si="15"/>
        <v>0</v>
      </c>
      <c r="AX23" s="120"/>
      <c r="AY23" s="121"/>
      <c r="AZ23" s="87">
        <f t="shared" si="16"/>
        <v>0</v>
      </c>
      <c r="BC23" s="87">
        <f t="shared" si="17"/>
        <v>0</v>
      </c>
      <c r="BF23" s="87">
        <f t="shared" si="18"/>
        <v>0</v>
      </c>
      <c r="BI23" s="87">
        <f t="shared" si="19"/>
        <v>0</v>
      </c>
      <c r="BL23" s="87">
        <f t="shared" si="20"/>
        <v>0</v>
      </c>
      <c r="BO23" s="87">
        <f t="shared" si="21"/>
        <v>0</v>
      </c>
      <c r="BR23" s="87">
        <f t="shared" si="22"/>
        <v>0</v>
      </c>
      <c r="BU23" s="87">
        <f t="shared" si="23"/>
        <v>0</v>
      </c>
      <c r="BX23" s="87">
        <f t="shared" si="24"/>
        <v>0</v>
      </c>
      <c r="CA23" s="87">
        <f t="shared" si="25"/>
        <v>0</v>
      </c>
      <c r="CD23" s="87">
        <f t="shared" si="26"/>
        <v>0</v>
      </c>
      <c r="CG23" s="87">
        <f t="shared" si="27"/>
        <v>0</v>
      </c>
      <c r="CJ23" s="87">
        <f t="shared" si="28"/>
        <v>0</v>
      </c>
      <c r="CM23" s="87">
        <f t="shared" si="29"/>
        <v>0</v>
      </c>
      <c r="CP23" s="87">
        <f t="shared" si="30"/>
        <v>0</v>
      </c>
      <c r="CS23" s="87">
        <f t="shared" si="31"/>
        <v>0</v>
      </c>
      <c r="CV23" s="87">
        <f t="shared" si="32"/>
        <v>0</v>
      </c>
      <c r="CY23" s="87">
        <f t="shared" si="33"/>
        <v>0</v>
      </c>
      <c r="DB23" s="87">
        <f t="shared" si="34"/>
        <v>0</v>
      </c>
      <c r="DE23" s="87">
        <f t="shared" si="35"/>
        <v>0</v>
      </c>
      <c r="DH23" s="87">
        <f t="shared" si="36"/>
        <v>0</v>
      </c>
      <c r="DK23" s="87">
        <f t="shared" si="37"/>
        <v>0</v>
      </c>
      <c r="DN23" s="87">
        <f t="shared" si="38"/>
        <v>0</v>
      </c>
      <c r="DQ23" s="87">
        <f t="shared" si="39"/>
        <v>0</v>
      </c>
      <c r="DT23" s="87">
        <f t="shared" si="40"/>
        <v>0</v>
      </c>
      <c r="DW23" s="87">
        <f t="shared" si="41"/>
        <v>0</v>
      </c>
      <c r="DZ23" s="87"/>
      <c r="EA23" s="87"/>
      <c r="EB23" s="122">
        <f t="shared" si="42"/>
        <v>413750000</v>
      </c>
      <c r="EC23" s="122">
        <f t="shared" si="43"/>
        <v>0</v>
      </c>
      <c r="ED23" s="87">
        <f t="shared" si="44"/>
        <v>2462.9305555555557</v>
      </c>
      <c r="EE23" s="88">
        <f t="shared" si="45"/>
        <v>2.1429728096676736E-3</v>
      </c>
      <c r="EG23" s="122">
        <f t="shared" si="46"/>
        <v>0</v>
      </c>
      <c r="EH23" s="87">
        <f t="shared" si="47"/>
        <v>0</v>
      </c>
      <c r="EI23" s="88">
        <f t="shared" si="48"/>
        <v>0</v>
      </c>
      <c r="EJ23" s="88"/>
      <c r="EK23" s="122">
        <f t="shared" si="49"/>
        <v>413750000</v>
      </c>
      <c r="EL23" s="122">
        <f t="shared" si="50"/>
        <v>0</v>
      </c>
      <c r="EM23" s="122">
        <f t="shared" si="51"/>
        <v>2462.9305555555557</v>
      </c>
      <c r="EN23" s="88">
        <f t="shared" si="52"/>
        <v>2.1429728096676736E-3</v>
      </c>
      <c r="EP23" s="87"/>
    </row>
    <row r="24" spans="1:146" x14ac:dyDescent="0.25">
      <c r="A24" s="35">
        <f t="shared" si="53"/>
        <v>44361</v>
      </c>
      <c r="B24" s="87">
        <v>0</v>
      </c>
      <c r="D24" s="87">
        <f t="shared" si="2"/>
        <v>0</v>
      </c>
      <c r="G24" s="87">
        <f t="shared" si="3"/>
        <v>0</v>
      </c>
      <c r="J24" s="87">
        <f t="shared" si="4"/>
        <v>0</v>
      </c>
      <c r="M24" s="87">
        <f t="shared" si="5"/>
        <v>0</v>
      </c>
      <c r="P24" s="87">
        <f t="shared" si="6"/>
        <v>0</v>
      </c>
      <c r="S24" s="87">
        <f t="shared" si="7"/>
        <v>0</v>
      </c>
      <c r="V24" s="87">
        <f t="shared" si="8"/>
        <v>0</v>
      </c>
      <c r="Y24" s="87">
        <f t="shared" si="9"/>
        <v>0</v>
      </c>
      <c r="AB24" s="87">
        <f t="shared" si="10"/>
        <v>0</v>
      </c>
      <c r="AE24" s="87">
        <v>0</v>
      </c>
      <c r="AH24" s="87">
        <v>0</v>
      </c>
      <c r="AI24" s="120">
        <f>89500000</f>
        <v>89500000</v>
      </c>
      <c r="AJ24" s="121">
        <v>1.6000000000000001E-3</v>
      </c>
      <c r="AK24" s="87">
        <f t="shared" si="11"/>
        <v>397.77777777777777</v>
      </c>
      <c r="AL24" s="120">
        <f t="shared" ref="AL24:AL30" si="55">50000000</f>
        <v>50000000</v>
      </c>
      <c r="AM24" s="121">
        <v>2.5000000000000001E-3</v>
      </c>
      <c r="AN24" s="87">
        <f t="shared" si="12"/>
        <v>347.22222222222223</v>
      </c>
      <c r="AO24" s="120">
        <f t="shared" si="1"/>
        <v>85000000</v>
      </c>
      <c r="AP24" s="121">
        <v>2E-3</v>
      </c>
      <c r="AQ24" s="87">
        <f t="shared" si="13"/>
        <v>472.22222222222223</v>
      </c>
      <c r="AR24" s="120">
        <f t="shared" si="54"/>
        <v>131525000</v>
      </c>
      <c r="AS24" s="121">
        <v>1.6999999999999999E-3</v>
      </c>
      <c r="AT24" s="87">
        <f t="shared" si="14"/>
        <v>621.09027777777783</v>
      </c>
      <c r="AU24" s="120">
        <f t="shared" ref="AU24:AU31" si="56">75000000</f>
        <v>75000000</v>
      </c>
      <c r="AV24" s="121">
        <v>1.8E-3</v>
      </c>
      <c r="AW24" s="87">
        <f t="shared" si="15"/>
        <v>375</v>
      </c>
      <c r="AX24" s="120"/>
      <c r="AY24" s="121"/>
      <c r="AZ24" s="87">
        <f t="shared" si="16"/>
        <v>0</v>
      </c>
      <c r="BC24" s="87">
        <f t="shared" si="17"/>
        <v>0</v>
      </c>
      <c r="BF24" s="87">
        <f t="shared" si="18"/>
        <v>0</v>
      </c>
      <c r="BI24" s="87">
        <f t="shared" si="19"/>
        <v>0</v>
      </c>
      <c r="BL24" s="87">
        <f t="shared" si="20"/>
        <v>0</v>
      </c>
      <c r="BO24" s="87">
        <f t="shared" si="21"/>
        <v>0</v>
      </c>
      <c r="BR24" s="87">
        <f t="shared" si="22"/>
        <v>0</v>
      </c>
      <c r="BU24" s="87">
        <f t="shared" si="23"/>
        <v>0</v>
      </c>
      <c r="BX24" s="87">
        <f t="shared" si="24"/>
        <v>0</v>
      </c>
      <c r="CA24" s="87">
        <f t="shared" si="25"/>
        <v>0</v>
      </c>
      <c r="CD24" s="87">
        <f t="shared" si="26"/>
        <v>0</v>
      </c>
      <c r="CG24" s="87">
        <f t="shared" si="27"/>
        <v>0</v>
      </c>
      <c r="CJ24" s="87">
        <f t="shared" si="28"/>
        <v>0</v>
      </c>
      <c r="CM24" s="87">
        <f t="shared" si="29"/>
        <v>0</v>
      </c>
      <c r="CP24" s="87">
        <f t="shared" si="30"/>
        <v>0</v>
      </c>
      <c r="CS24" s="87">
        <f t="shared" si="31"/>
        <v>0</v>
      </c>
      <c r="CV24" s="87">
        <f t="shared" si="32"/>
        <v>0</v>
      </c>
      <c r="CY24" s="87">
        <f t="shared" si="33"/>
        <v>0</v>
      </c>
      <c r="DB24" s="87">
        <f t="shared" si="34"/>
        <v>0</v>
      </c>
      <c r="DE24" s="87">
        <f t="shared" si="35"/>
        <v>0</v>
      </c>
      <c r="DH24" s="87">
        <f t="shared" si="36"/>
        <v>0</v>
      </c>
      <c r="DK24" s="87">
        <f t="shared" si="37"/>
        <v>0</v>
      </c>
      <c r="DN24" s="87">
        <f t="shared" si="38"/>
        <v>0</v>
      </c>
      <c r="DQ24" s="87">
        <f t="shared" si="39"/>
        <v>0</v>
      </c>
      <c r="DT24" s="87">
        <f t="shared" si="40"/>
        <v>0</v>
      </c>
      <c r="DW24" s="87">
        <f t="shared" si="41"/>
        <v>0</v>
      </c>
      <c r="DZ24" s="87"/>
      <c r="EA24" s="87"/>
      <c r="EB24" s="122">
        <f t="shared" si="42"/>
        <v>431025000</v>
      </c>
      <c r="EC24" s="122">
        <f t="shared" si="43"/>
        <v>0</v>
      </c>
      <c r="ED24" s="87">
        <f t="shared" si="44"/>
        <v>2213.3125</v>
      </c>
      <c r="EE24" s="88">
        <f t="shared" si="45"/>
        <v>1.8485992691839221E-3</v>
      </c>
      <c r="EG24" s="122">
        <f t="shared" si="46"/>
        <v>0</v>
      </c>
      <c r="EH24" s="87">
        <f t="shared" si="47"/>
        <v>0</v>
      </c>
      <c r="EI24" s="88">
        <f t="shared" si="48"/>
        <v>0</v>
      </c>
      <c r="EJ24" s="88"/>
      <c r="EK24" s="122">
        <f t="shared" si="49"/>
        <v>431025000</v>
      </c>
      <c r="EL24" s="122">
        <f t="shared" si="50"/>
        <v>0</v>
      </c>
      <c r="EM24" s="122">
        <f t="shared" si="51"/>
        <v>2213.3125</v>
      </c>
      <c r="EN24" s="88">
        <f t="shared" si="52"/>
        <v>1.8485992691839221E-3</v>
      </c>
      <c r="EP24" s="87"/>
    </row>
    <row r="25" spans="1:146" x14ac:dyDescent="0.25">
      <c r="A25" s="35">
        <f t="shared" si="53"/>
        <v>44362</v>
      </c>
      <c r="B25" s="87">
        <v>0</v>
      </c>
      <c r="D25" s="87">
        <f t="shared" si="2"/>
        <v>0</v>
      </c>
      <c r="G25" s="87">
        <f t="shared" si="3"/>
        <v>0</v>
      </c>
      <c r="J25" s="87">
        <f t="shared" si="4"/>
        <v>0</v>
      </c>
      <c r="M25" s="87">
        <f t="shared" si="5"/>
        <v>0</v>
      </c>
      <c r="P25" s="87">
        <f t="shared" si="6"/>
        <v>0</v>
      </c>
      <c r="S25" s="87">
        <f t="shared" si="7"/>
        <v>0</v>
      </c>
      <c r="V25" s="87">
        <f t="shared" si="8"/>
        <v>0</v>
      </c>
      <c r="Y25" s="87">
        <f t="shared" si="9"/>
        <v>0</v>
      </c>
      <c r="AB25" s="87">
        <f t="shared" si="10"/>
        <v>0</v>
      </c>
      <c r="AE25" s="87">
        <v>0</v>
      </c>
      <c r="AH25" s="87">
        <v>0</v>
      </c>
      <c r="AI25" s="120">
        <f>114750000</f>
        <v>114750000</v>
      </c>
      <c r="AJ25" s="121">
        <v>1.6000000000000001E-3</v>
      </c>
      <c r="AK25" s="87">
        <f t="shared" si="11"/>
        <v>510</v>
      </c>
      <c r="AL25" s="120">
        <f t="shared" si="55"/>
        <v>50000000</v>
      </c>
      <c r="AM25" s="121">
        <v>2.5000000000000001E-3</v>
      </c>
      <c r="AN25" s="87">
        <f t="shared" si="12"/>
        <v>347.22222222222223</v>
      </c>
      <c r="AO25" s="120">
        <f t="shared" si="1"/>
        <v>85000000</v>
      </c>
      <c r="AP25" s="121">
        <v>2E-3</v>
      </c>
      <c r="AQ25" s="87">
        <f t="shared" si="13"/>
        <v>472.22222222222223</v>
      </c>
      <c r="AR25" s="120">
        <f t="shared" si="54"/>
        <v>131525000</v>
      </c>
      <c r="AS25" s="121">
        <v>1.6999999999999999E-3</v>
      </c>
      <c r="AT25" s="87">
        <f t="shared" si="14"/>
        <v>621.09027777777783</v>
      </c>
      <c r="AU25" s="120">
        <f t="shared" si="56"/>
        <v>75000000</v>
      </c>
      <c r="AV25" s="121">
        <v>1.8E-3</v>
      </c>
      <c r="AW25" s="87">
        <f t="shared" si="15"/>
        <v>375</v>
      </c>
      <c r="AX25" s="120"/>
      <c r="AY25" s="121"/>
      <c r="AZ25" s="87">
        <f t="shared" si="16"/>
        <v>0</v>
      </c>
      <c r="BC25" s="87">
        <f t="shared" si="17"/>
        <v>0</v>
      </c>
      <c r="BF25" s="87">
        <f t="shared" si="18"/>
        <v>0</v>
      </c>
      <c r="BI25" s="87">
        <f t="shared" si="19"/>
        <v>0</v>
      </c>
      <c r="BL25" s="87">
        <f t="shared" si="20"/>
        <v>0</v>
      </c>
      <c r="BO25" s="87">
        <f t="shared" si="21"/>
        <v>0</v>
      </c>
      <c r="BR25" s="87">
        <f t="shared" si="22"/>
        <v>0</v>
      </c>
      <c r="BU25" s="87">
        <f t="shared" si="23"/>
        <v>0</v>
      </c>
      <c r="BX25" s="87">
        <f t="shared" si="24"/>
        <v>0</v>
      </c>
      <c r="CA25" s="87">
        <f t="shared" si="25"/>
        <v>0</v>
      </c>
      <c r="CD25" s="87">
        <f t="shared" si="26"/>
        <v>0</v>
      </c>
      <c r="CG25" s="87">
        <f t="shared" si="27"/>
        <v>0</v>
      </c>
      <c r="CJ25" s="87">
        <f t="shared" si="28"/>
        <v>0</v>
      </c>
      <c r="CM25" s="87">
        <f t="shared" si="29"/>
        <v>0</v>
      </c>
      <c r="CP25" s="87">
        <f t="shared" si="30"/>
        <v>0</v>
      </c>
      <c r="CS25" s="87">
        <f t="shared" si="31"/>
        <v>0</v>
      </c>
      <c r="CV25" s="87">
        <f t="shared" si="32"/>
        <v>0</v>
      </c>
      <c r="CY25" s="87">
        <f t="shared" si="33"/>
        <v>0</v>
      </c>
      <c r="DB25" s="87">
        <f t="shared" si="34"/>
        <v>0</v>
      </c>
      <c r="DE25" s="87">
        <f t="shared" si="35"/>
        <v>0</v>
      </c>
      <c r="DH25" s="87">
        <f t="shared" si="36"/>
        <v>0</v>
      </c>
      <c r="DK25" s="87">
        <f t="shared" si="37"/>
        <v>0</v>
      </c>
      <c r="DN25" s="87">
        <f t="shared" si="38"/>
        <v>0</v>
      </c>
      <c r="DQ25" s="87">
        <f t="shared" si="39"/>
        <v>0</v>
      </c>
      <c r="DT25" s="87">
        <f t="shared" si="40"/>
        <v>0</v>
      </c>
      <c r="DW25" s="87">
        <f t="shared" si="41"/>
        <v>0</v>
      </c>
      <c r="DZ25" s="87"/>
      <c r="EA25" s="87"/>
      <c r="EB25" s="122">
        <f t="shared" si="42"/>
        <v>456275000</v>
      </c>
      <c r="EC25" s="122">
        <f t="shared" si="43"/>
        <v>0</v>
      </c>
      <c r="ED25" s="87">
        <f t="shared" si="44"/>
        <v>2325.5347222222222</v>
      </c>
      <c r="EE25" s="88">
        <f t="shared" si="45"/>
        <v>1.8348419264697824E-3</v>
      </c>
      <c r="EG25" s="122">
        <f t="shared" si="46"/>
        <v>0</v>
      </c>
      <c r="EH25" s="87">
        <f t="shared" si="47"/>
        <v>0</v>
      </c>
      <c r="EI25" s="88">
        <f t="shared" si="48"/>
        <v>0</v>
      </c>
      <c r="EJ25" s="88"/>
      <c r="EK25" s="122">
        <f t="shared" si="49"/>
        <v>456275000</v>
      </c>
      <c r="EL25" s="122">
        <f t="shared" si="50"/>
        <v>0</v>
      </c>
      <c r="EM25" s="122">
        <f t="shared" si="51"/>
        <v>2325.5347222222222</v>
      </c>
      <c r="EN25" s="88">
        <f t="shared" si="52"/>
        <v>1.8348419264697824E-3</v>
      </c>
      <c r="EP25" s="87"/>
    </row>
    <row r="26" spans="1:146" x14ac:dyDescent="0.25">
      <c r="A26" s="35">
        <f t="shared" si="53"/>
        <v>44363</v>
      </c>
      <c r="B26" s="87">
        <v>0</v>
      </c>
      <c r="D26" s="87">
        <f t="shared" si="2"/>
        <v>0</v>
      </c>
      <c r="G26" s="87">
        <f t="shared" si="3"/>
        <v>0</v>
      </c>
      <c r="J26" s="87">
        <f t="shared" si="4"/>
        <v>0</v>
      </c>
      <c r="M26" s="87">
        <f t="shared" si="5"/>
        <v>0</v>
      </c>
      <c r="P26" s="87">
        <f t="shared" si="6"/>
        <v>0</v>
      </c>
      <c r="S26" s="87">
        <f t="shared" si="7"/>
        <v>0</v>
      </c>
      <c r="V26" s="87">
        <f t="shared" si="8"/>
        <v>0</v>
      </c>
      <c r="Y26" s="87">
        <f t="shared" si="9"/>
        <v>0</v>
      </c>
      <c r="AB26" s="87">
        <f t="shared" si="10"/>
        <v>0</v>
      </c>
      <c r="AE26" s="87">
        <v>0</v>
      </c>
      <c r="AH26" s="87">
        <v>0</v>
      </c>
      <c r="AI26" s="120">
        <f>97450000</f>
        <v>97450000</v>
      </c>
      <c r="AJ26" s="121">
        <v>1.6000000000000001E-3</v>
      </c>
      <c r="AK26" s="87">
        <f t="shared" si="11"/>
        <v>433.11111111111109</v>
      </c>
      <c r="AL26" s="120">
        <f t="shared" si="55"/>
        <v>50000000</v>
      </c>
      <c r="AM26" s="121">
        <v>2.5000000000000001E-3</v>
      </c>
      <c r="AN26" s="87">
        <f t="shared" si="12"/>
        <v>347.22222222222223</v>
      </c>
      <c r="AO26" s="120">
        <f t="shared" si="1"/>
        <v>85000000</v>
      </c>
      <c r="AP26" s="121">
        <v>2E-3</v>
      </c>
      <c r="AQ26" s="87">
        <f t="shared" si="13"/>
        <v>472.22222222222223</v>
      </c>
      <c r="AR26" s="120">
        <f t="shared" si="54"/>
        <v>131525000</v>
      </c>
      <c r="AS26" s="121">
        <v>1.6999999999999999E-3</v>
      </c>
      <c r="AT26" s="87">
        <f t="shared" si="14"/>
        <v>621.09027777777783</v>
      </c>
      <c r="AU26" s="120">
        <f t="shared" si="56"/>
        <v>75000000</v>
      </c>
      <c r="AV26" s="121">
        <v>1.8E-3</v>
      </c>
      <c r="AW26" s="87">
        <f t="shared" si="15"/>
        <v>375</v>
      </c>
      <c r="AX26" s="120"/>
      <c r="AY26" s="121"/>
      <c r="AZ26" s="87">
        <f t="shared" si="16"/>
        <v>0</v>
      </c>
      <c r="BC26" s="87">
        <f t="shared" si="17"/>
        <v>0</v>
      </c>
      <c r="BF26" s="87">
        <f t="shared" si="18"/>
        <v>0</v>
      </c>
      <c r="BI26" s="87">
        <f t="shared" si="19"/>
        <v>0</v>
      </c>
      <c r="BL26" s="87">
        <f t="shared" si="20"/>
        <v>0</v>
      </c>
      <c r="BO26" s="87">
        <f t="shared" si="21"/>
        <v>0</v>
      </c>
      <c r="BR26" s="87">
        <f t="shared" si="22"/>
        <v>0</v>
      </c>
      <c r="BU26" s="87">
        <f t="shared" si="23"/>
        <v>0</v>
      </c>
      <c r="BX26" s="87">
        <f t="shared" si="24"/>
        <v>0</v>
      </c>
      <c r="CA26" s="87">
        <f t="shared" si="25"/>
        <v>0</v>
      </c>
      <c r="CD26" s="87">
        <f t="shared" si="26"/>
        <v>0</v>
      </c>
      <c r="CG26" s="87">
        <f t="shared" si="27"/>
        <v>0</v>
      </c>
      <c r="CJ26" s="87">
        <f t="shared" si="28"/>
        <v>0</v>
      </c>
      <c r="CM26" s="87">
        <f t="shared" si="29"/>
        <v>0</v>
      </c>
      <c r="CP26" s="87">
        <f t="shared" si="30"/>
        <v>0</v>
      </c>
      <c r="CS26" s="87">
        <f t="shared" si="31"/>
        <v>0</v>
      </c>
      <c r="CV26" s="87">
        <f t="shared" si="32"/>
        <v>0</v>
      </c>
      <c r="CY26" s="87">
        <f t="shared" si="33"/>
        <v>0</v>
      </c>
      <c r="DB26" s="87">
        <f t="shared" si="34"/>
        <v>0</v>
      </c>
      <c r="DE26" s="87">
        <f t="shared" si="35"/>
        <v>0</v>
      </c>
      <c r="DH26" s="87">
        <f t="shared" si="36"/>
        <v>0</v>
      </c>
      <c r="DK26" s="87">
        <f t="shared" si="37"/>
        <v>0</v>
      </c>
      <c r="DN26" s="87">
        <f t="shared" si="38"/>
        <v>0</v>
      </c>
      <c r="DQ26" s="87">
        <f t="shared" si="39"/>
        <v>0</v>
      </c>
      <c r="DT26" s="87">
        <f t="shared" si="40"/>
        <v>0</v>
      </c>
      <c r="DW26" s="87">
        <f t="shared" si="41"/>
        <v>0</v>
      </c>
      <c r="DZ26" s="87"/>
      <c r="EA26" s="87"/>
      <c r="EB26" s="122">
        <f t="shared" si="42"/>
        <v>438975000</v>
      </c>
      <c r="EC26" s="122">
        <f t="shared" si="43"/>
        <v>0</v>
      </c>
      <c r="ED26" s="87">
        <f t="shared" si="44"/>
        <v>2248.645833333333</v>
      </c>
      <c r="EE26" s="88">
        <f t="shared" si="45"/>
        <v>1.8440970442508114E-3</v>
      </c>
      <c r="EG26" s="122">
        <f t="shared" si="46"/>
        <v>0</v>
      </c>
      <c r="EH26" s="87">
        <f t="shared" si="47"/>
        <v>0</v>
      </c>
      <c r="EI26" s="88">
        <f t="shared" si="48"/>
        <v>0</v>
      </c>
      <c r="EJ26" s="88"/>
      <c r="EK26" s="122">
        <f t="shared" si="49"/>
        <v>438975000</v>
      </c>
      <c r="EL26" s="122">
        <f t="shared" si="50"/>
        <v>0</v>
      </c>
      <c r="EM26" s="122">
        <f t="shared" si="51"/>
        <v>2248.645833333333</v>
      </c>
      <c r="EN26" s="88">
        <f t="shared" si="52"/>
        <v>1.8440970442508114E-3</v>
      </c>
      <c r="EP26" s="87"/>
    </row>
    <row r="27" spans="1:146" x14ac:dyDescent="0.25">
      <c r="A27" s="35">
        <f t="shared" si="53"/>
        <v>44364</v>
      </c>
      <c r="B27" s="87">
        <v>0</v>
      </c>
      <c r="D27" s="87">
        <f t="shared" si="2"/>
        <v>0</v>
      </c>
      <c r="G27" s="87">
        <f t="shared" si="3"/>
        <v>0</v>
      </c>
      <c r="J27" s="87">
        <f t="shared" si="4"/>
        <v>0</v>
      </c>
      <c r="M27" s="87">
        <f t="shared" si="5"/>
        <v>0</v>
      </c>
      <c r="P27" s="87">
        <f t="shared" si="6"/>
        <v>0</v>
      </c>
      <c r="S27" s="87">
        <f t="shared" si="7"/>
        <v>0</v>
      </c>
      <c r="V27" s="87">
        <f t="shared" si="8"/>
        <v>0</v>
      </c>
      <c r="Y27" s="87">
        <f t="shared" si="9"/>
        <v>0</v>
      </c>
      <c r="AB27" s="87">
        <f t="shared" si="10"/>
        <v>0</v>
      </c>
      <c r="AE27" s="87">
        <v>0</v>
      </c>
      <c r="AH27" s="87">
        <v>0</v>
      </c>
      <c r="AI27" s="120">
        <f>98250000</f>
        <v>98250000</v>
      </c>
      <c r="AJ27" s="121">
        <v>1.9E-3</v>
      </c>
      <c r="AK27" s="87">
        <f t="shared" si="11"/>
        <v>518.54166666666663</v>
      </c>
      <c r="AL27" s="120">
        <f t="shared" si="55"/>
        <v>50000000</v>
      </c>
      <c r="AM27" s="121">
        <v>2.5000000000000001E-3</v>
      </c>
      <c r="AN27" s="87">
        <f t="shared" si="12"/>
        <v>347.22222222222223</v>
      </c>
      <c r="AO27" s="120">
        <f t="shared" si="1"/>
        <v>85000000</v>
      </c>
      <c r="AP27" s="121">
        <v>2E-3</v>
      </c>
      <c r="AQ27" s="87">
        <f t="shared" si="13"/>
        <v>472.22222222222223</v>
      </c>
      <c r="AR27" s="120">
        <f t="shared" si="54"/>
        <v>131525000</v>
      </c>
      <c r="AS27" s="121">
        <v>1.6999999999999999E-3</v>
      </c>
      <c r="AT27" s="87">
        <f t="shared" si="14"/>
        <v>621.09027777777783</v>
      </c>
      <c r="AU27" s="120">
        <f t="shared" si="56"/>
        <v>75000000</v>
      </c>
      <c r="AV27" s="121">
        <v>1.8E-3</v>
      </c>
      <c r="AW27" s="87">
        <f t="shared" si="15"/>
        <v>375</v>
      </c>
      <c r="AX27" s="120"/>
      <c r="AY27" s="121"/>
      <c r="AZ27" s="87">
        <f t="shared" si="16"/>
        <v>0</v>
      </c>
      <c r="BC27" s="87">
        <f t="shared" si="17"/>
        <v>0</v>
      </c>
      <c r="BF27" s="87">
        <f t="shared" si="18"/>
        <v>0</v>
      </c>
      <c r="BI27" s="87">
        <f t="shared" si="19"/>
        <v>0</v>
      </c>
      <c r="BL27" s="87">
        <f t="shared" si="20"/>
        <v>0</v>
      </c>
      <c r="BO27" s="87">
        <f t="shared" si="21"/>
        <v>0</v>
      </c>
      <c r="BR27" s="87">
        <f t="shared" si="22"/>
        <v>0</v>
      </c>
      <c r="BU27" s="87">
        <f t="shared" si="23"/>
        <v>0</v>
      </c>
      <c r="BX27" s="87">
        <f t="shared" si="24"/>
        <v>0</v>
      </c>
      <c r="CA27" s="87">
        <f t="shared" si="25"/>
        <v>0</v>
      </c>
      <c r="CD27" s="87">
        <f t="shared" si="26"/>
        <v>0</v>
      </c>
      <c r="CG27" s="87">
        <f t="shared" si="27"/>
        <v>0</v>
      </c>
      <c r="CJ27" s="87">
        <f t="shared" si="28"/>
        <v>0</v>
      </c>
      <c r="CM27" s="87">
        <f t="shared" si="29"/>
        <v>0</v>
      </c>
      <c r="CP27" s="87">
        <f t="shared" si="30"/>
        <v>0</v>
      </c>
      <c r="CS27" s="87">
        <f t="shared" si="31"/>
        <v>0</v>
      </c>
      <c r="CV27" s="87">
        <f t="shared" si="32"/>
        <v>0</v>
      </c>
      <c r="CY27" s="87">
        <f t="shared" si="33"/>
        <v>0</v>
      </c>
      <c r="DB27" s="87">
        <f t="shared" si="34"/>
        <v>0</v>
      </c>
      <c r="DE27" s="87">
        <f t="shared" si="35"/>
        <v>0</v>
      </c>
      <c r="DH27" s="87">
        <f t="shared" si="36"/>
        <v>0</v>
      </c>
      <c r="DK27" s="87">
        <f t="shared" si="37"/>
        <v>0</v>
      </c>
      <c r="DN27" s="87">
        <f t="shared" si="38"/>
        <v>0</v>
      </c>
      <c r="DQ27" s="87">
        <f t="shared" si="39"/>
        <v>0</v>
      </c>
      <c r="DT27" s="87">
        <f t="shared" si="40"/>
        <v>0</v>
      </c>
      <c r="DW27" s="87">
        <f t="shared" si="41"/>
        <v>0</v>
      </c>
      <c r="DZ27" s="87"/>
      <c r="EA27" s="87"/>
      <c r="EB27" s="122">
        <f t="shared" si="42"/>
        <v>439775000</v>
      </c>
      <c r="EC27" s="122">
        <f t="shared" si="43"/>
        <v>0</v>
      </c>
      <c r="ED27" s="87">
        <f t="shared" si="44"/>
        <v>2334.0763888888887</v>
      </c>
      <c r="EE27" s="88">
        <f t="shared" si="45"/>
        <v>1.9106759138195666E-3</v>
      </c>
      <c r="EG27" s="122">
        <f t="shared" si="46"/>
        <v>0</v>
      </c>
      <c r="EH27" s="87">
        <f t="shared" si="47"/>
        <v>0</v>
      </c>
      <c r="EI27" s="88">
        <f t="shared" si="48"/>
        <v>0</v>
      </c>
      <c r="EJ27" s="88"/>
      <c r="EK27" s="122">
        <f t="shared" si="49"/>
        <v>439775000</v>
      </c>
      <c r="EL27" s="122">
        <f t="shared" si="50"/>
        <v>0</v>
      </c>
      <c r="EM27" s="122">
        <f t="shared" si="51"/>
        <v>2334.0763888888887</v>
      </c>
      <c r="EN27" s="88">
        <f t="shared" si="52"/>
        <v>1.9106759138195666E-3</v>
      </c>
      <c r="EP27" s="87"/>
    </row>
    <row r="28" spans="1:146" x14ac:dyDescent="0.25">
      <c r="A28" s="35">
        <f t="shared" si="53"/>
        <v>44365</v>
      </c>
      <c r="B28" s="87">
        <v>0</v>
      </c>
      <c r="D28" s="87">
        <f t="shared" si="2"/>
        <v>0</v>
      </c>
      <c r="G28" s="87">
        <f t="shared" si="3"/>
        <v>0</v>
      </c>
      <c r="J28" s="87">
        <f t="shared" si="4"/>
        <v>0</v>
      </c>
      <c r="M28" s="87">
        <f t="shared" si="5"/>
        <v>0</v>
      </c>
      <c r="P28" s="87">
        <f t="shared" si="6"/>
        <v>0</v>
      </c>
      <c r="S28" s="87">
        <f t="shared" si="7"/>
        <v>0</v>
      </c>
      <c r="V28" s="87">
        <f t="shared" si="8"/>
        <v>0</v>
      </c>
      <c r="Y28" s="87">
        <f t="shared" si="9"/>
        <v>0</v>
      </c>
      <c r="AB28" s="87">
        <f t="shared" si="10"/>
        <v>0</v>
      </c>
      <c r="AE28" s="87">
        <v>0</v>
      </c>
      <c r="AH28" s="87">
        <v>0</v>
      </c>
      <c r="AI28" s="120"/>
      <c r="AJ28" s="121"/>
      <c r="AK28" s="87">
        <f t="shared" si="11"/>
        <v>0</v>
      </c>
      <c r="AL28" s="120">
        <f t="shared" si="55"/>
        <v>50000000</v>
      </c>
      <c r="AM28" s="121">
        <v>2.5000000000000001E-3</v>
      </c>
      <c r="AN28" s="87">
        <f t="shared" si="12"/>
        <v>347.22222222222223</v>
      </c>
      <c r="AO28" s="120">
        <f t="shared" si="1"/>
        <v>85000000</v>
      </c>
      <c r="AP28" s="121">
        <v>2E-3</v>
      </c>
      <c r="AQ28" s="87">
        <f t="shared" si="13"/>
        <v>472.22222222222223</v>
      </c>
      <c r="AR28" s="120">
        <f t="shared" si="54"/>
        <v>131525000</v>
      </c>
      <c r="AS28" s="121">
        <v>1.6999999999999999E-3</v>
      </c>
      <c r="AT28" s="87">
        <f t="shared" si="14"/>
        <v>621.09027777777783</v>
      </c>
      <c r="AU28" s="120">
        <f t="shared" si="56"/>
        <v>75000000</v>
      </c>
      <c r="AV28" s="121">
        <v>1.8E-3</v>
      </c>
      <c r="AW28" s="87">
        <f t="shared" si="15"/>
        <v>375</v>
      </c>
      <c r="AX28" s="233">
        <f>110900000</f>
        <v>110900000</v>
      </c>
      <c r="AY28" s="121">
        <v>1.6999999999999999E-3</v>
      </c>
      <c r="AZ28" s="87">
        <f t="shared" si="16"/>
        <v>523.69444444444446</v>
      </c>
      <c r="BC28" s="87">
        <f t="shared" si="17"/>
        <v>0</v>
      </c>
      <c r="BF28" s="87">
        <f t="shared" si="18"/>
        <v>0</v>
      </c>
      <c r="BI28" s="87">
        <f t="shared" si="19"/>
        <v>0</v>
      </c>
      <c r="BL28" s="87">
        <f t="shared" si="20"/>
        <v>0</v>
      </c>
      <c r="BO28" s="87">
        <f t="shared" si="21"/>
        <v>0</v>
      </c>
      <c r="BR28" s="87">
        <f t="shared" si="22"/>
        <v>0</v>
      </c>
      <c r="BU28" s="87">
        <f t="shared" si="23"/>
        <v>0</v>
      </c>
      <c r="BX28" s="87">
        <f t="shared" si="24"/>
        <v>0</v>
      </c>
      <c r="CA28" s="87">
        <f t="shared" si="25"/>
        <v>0</v>
      </c>
      <c r="CD28" s="87">
        <f t="shared" si="26"/>
        <v>0</v>
      </c>
      <c r="CG28" s="87">
        <f t="shared" si="27"/>
        <v>0</v>
      </c>
      <c r="CJ28" s="87">
        <f t="shared" si="28"/>
        <v>0</v>
      </c>
      <c r="CM28" s="87">
        <f t="shared" si="29"/>
        <v>0</v>
      </c>
      <c r="CP28" s="87">
        <f t="shared" si="30"/>
        <v>0</v>
      </c>
      <c r="CS28" s="87">
        <f t="shared" si="31"/>
        <v>0</v>
      </c>
      <c r="CV28" s="87">
        <f t="shared" si="32"/>
        <v>0</v>
      </c>
      <c r="CY28" s="87">
        <f t="shared" si="33"/>
        <v>0</v>
      </c>
      <c r="DB28" s="87">
        <f t="shared" si="34"/>
        <v>0</v>
      </c>
      <c r="DE28" s="87">
        <f t="shared" si="35"/>
        <v>0</v>
      </c>
      <c r="DH28" s="87">
        <f t="shared" si="36"/>
        <v>0</v>
      </c>
      <c r="DK28" s="87">
        <f t="shared" si="37"/>
        <v>0</v>
      </c>
      <c r="DN28" s="87">
        <f t="shared" si="38"/>
        <v>0</v>
      </c>
      <c r="DQ28" s="87">
        <f t="shared" si="39"/>
        <v>0</v>
      </c>
      <c r="DT28" s="87">
        <f t="shared" si="40"/>
        <v>0</v>
      </c>
      <c r="DW28" s="87">
        <f t="shared" si="41"/>
        <v>0</v>
      </c>
      <c r="DZ28" s="87"/>
      <c r="EA28" s="87"/>
      <c r="EB28" s="122">
        <f t="shared" si="42"/>
        <v>452425000</v>
      </c>
      <c r="EC28" s="122">
        <f t="shared" si="43"/>
        <v>0</v>
      </c>
      <c r="ED28" s="87">
        <f t="shared" si="44"/>
        <v>2339.2291666666665</v>
      </c>
      <c r="EE28" s="88">
        <f t="shared" si="45"/>
        <v>1.8613527103939877E-3</v>
      </c>
      <c r="EG28" s="122">
        <f t="shared" si="46"/>
        <v>0</v>
      </c>
      <c r="EH28" s="87">
        <f t="shared" si="47"/>
        <v>0</v>
      </c>
      <c r="EI28" s="88">
        <f t="shared" si="48"/>
        <v>0</v>
      </c>
      <c r="EJ28" s="88"/>
      <c r="EK28" s="122">
        <f t="shared" si="49"/>
        <v>452425000</v>
      </c>
      <c r="EL28" s="122">
        <f t="shared" si="50"/>
        <v>0</v>
      </c>
      <c r="EM28" s="122">
        <f t="shared" si="51"/>
        <v>2339.2291666666665</v>
      </c>
      <c r="EN28" s="88">
        <f t="shared" si="52"/>
        <v>1.8613527103939877E-3</v>
      </c>
      <c r="EP28" s="87"/>
    </row>
    <row r="29" spans="1:146" x14ac:dyDescent="0.25">
      <c r="A29" s="35">
        <f t="shared" si="53"/>
        <v>44366</v>
      </c>
      <c r="B29" s="87">
        <v>0</v>
      </c>
      <c r="D29" s="87">
        <f t="shared" si="2"/>
        <v>0</v>
      </c>
      <c r="G29" s="87">
        <f t="shared" si="3"/>
        <v>0</v>
      </c>
      <c r="J29" s="87">
        <f t="shared" si="4"/>
        <v>0</v>
      </c>
      <c r="M29" s="87">
        <f t="shared" si="5"/>
        <v>0</v>
      </c>
      <c r="P29" s="87">
        <f t="shared" si="6"/>
        <v>0</v>
      </c>
      <c r="S29" s="87">
        <f t="shared" si="7"/>
        <v>0</v>
      </c>
      <c r="V29" s="87">
        <f t="shared" si="8"/>
        <v>0</v>
      </c>
      <c r="Y29" s="87">
        <f t="shared" si="9"/>
        <v>0</v>
      </c>
      <c r="AB29" s="87">
        <f t="shared" si="10"/>
        <v>0</v>
      </c>
      <c r="AE29" s="87">
        <v>0</v>
      </c>
      <c r="AH29" s="87">
        <v>0</v>
      </c>
      <c r="AI29" s="120"/>
      <c r="AJ29" s="121"/>
      <c r="AK29" s="87">
        <f t="shared" si="11"/>
        <v>0</v>
      </c>
      <c r="AL29" s="120">
        <f t="shared" si="55"/>
        <v>50000000</v>
      </c>
      <c r="AM29" s="121">
        <v>2.5000000000000001E-3</v>
      </c>
      <c r="AN29" s="87">
        <f t="shared" si="12"/>
        <v>347.22222222222223</v>
      </c>
      <c r="AO29" s="120">
        <f t="shared" si="1"/>
        <v>85000000</v>
      </c>
      <c r="AP29" s="121">
        <v>2E-3</v>
      </c>
      <c r="AQ29" s="87">
        <f t="shared" si="13"/>
        <v>472.22222222222223</v>
      </c>
      <c r="AR29" s="120">
        <f t="shared" si="54"/>
        <v>131525000</v>
      </c>
      <c r="AS29" s="121">
        <v>1.6999999999999999E-3</v>
      </c>
      <c r="AT29" s="87">
        <f t="shared" si="14"/>
        <v>621.09027777777783</v>
      </c>
      <c r="AU29" s="120">
        <f t="shared" si="56"/>
        <v>75000000</v>
      </c>
      <c r="AV29" s="121">
        <v>1.8E-3</v>
      </c>
      <c r="AW29" s="87">
        <f t="shared" si="15"/>
        <v>375</v>
      </c>
      <c r="AX29" s="233">
        <f>110900000</f>
        <v>110900000</v>
      </c>
      <c r="AY29" s="121">
        <v>1.6999999999999999E-3</v>
      </c>
      <c r="AZ29" s="87">
        <f t="shared" si="16"/>
        <v>523.69444444444446</v>
      </c>
      <c r="BC29" s="87">
        <f t="shared" si="17"/>
        <v>0</v>
      </c>
      <c r="BF29" s="87">
        <f t="shared" si="18"/>
        <v>0</v>
      </c>
      <c r="BI29" s="87">
        <f t="shared" si="19"/>
        <v>0</v>
      </c>
      <c r="BL29" s="87">
        <f t="shared" si="20"/>
        <v>0</v>
      </c>
      <c r="BO29" s="87">
        <f t="shared" si="21"/>
        <v>0</v>
      </c>
      <c r="BR29" s="87">
        <f t="shared" si="22"/>
        <v>0</v>
      </c>
      <c r="BU29" s="87">
        <f t="shared" si="23"/>
        <v>0</v>
      </c>
      <c r="BX29" s="87">
        <f t="shared" si="24"/>
        <v>0</v>
      </c>
      <c r="CA29" s="87">
        <f t="shared" si="25"/>
        <v>0</v>
      </c>
      <c r="CD29" s="87">
        <f t="shared" si="26"/>
        <v>0</v>
      </c>
      <c r="CG29" s="87">
        <f t="shared" si="27"/>
        <v>0</v>
      </c>
      <c r="CJ29" s="87">
        <f t="shared" si="28"/>
        <v>0</v>
      </c>
      <c r="CM29" s="87">
        <f t="shared" si="29"/>
        <v>0</v>
      </c>
      <c r="CP29" s="87">
        <f t="shared" si="30"/>
        <v>0</v>
      </c>
      <c r="CS29" s="87">
        <f t="shared" si="31"/>
        <v>0</v>
      </c>
      <c r="CV29" s="87">
        <f t="shared" si="32"/>
        <v>0</v>
      </c>
      <c r="CY29" s="87">
        <f t="shared" si="33"/>
        <v>0</v>
      </c>
      <c r="DB29" s="87">
        <f t="shared" si="34"/>
        <v>0</v>
      </c>
      <c r="DE29" s="87">
        <f t="shared" si="35"/>
        <v>0</v>
      </c>
      <c r="DH29" s="87">
        <f t="shared" si="36"/>
        <v>0</v>
      </c>
      <c r="DK29" s="87">
        <f t="shared" si="37"/>
        <v>0</v>
      </c>
      <c r="DN29" s="87">
        <f t="shared" si="38"/>
        <v>0</v>
      </c>
      <c r="DQ29" s="87">
        <f t="shared" si="39"/>
        <v>0</v>
      </c>
      <c r="DT29" s="87">
        <f t="shared" si="40"/>
        <v>0</v>
      </c>
      <c r="DW29" s="87">
        <f t="shared" si="41"/>
        <v>0</v>
      </c>
      <c r="DZ29" s="87"/>
      <c r="EA29" s="87"/>
      <c r="EB29" s="122">
        <f t="shared" si="42"/>
        <v>452425000</v>
      </c>
      <c r="EC29" s="122">
        <f t="shared" si="43"/>
        <v>0</v>
      </c>
      <c r="ED29" s="87">
        <f t="shared" si="44"/>
        <v>2339.2291666666665</v>
      </c>
      <c r="EE29" s="88">
        <f t="shared" si="45"/>
        <v>1.8613527103939877E-3</v>
      </c>
      <c r="EG29" s="122">
        <f t="shared" si="46"/>
        <v>0</v>
      </c>
      <c r="EH29" s="87">
        <f t="shared" si="47"/>
        <v>0</v>
      </c>
      <c r="EI29" s="88">
        <f t="shared" si="48"/>
        <v>0</v>
      </c>
      <c r="EJ29" s="88"/>
      <c r="EK29" s="122">
        <f t="shared" si="49"/>
        <v>452425000</v>
      </c>
      <c r="EL29" s="122">
        <f t="shared" si="50"/>
        <v>0</v>
      </c>
      <c r="EM29" s="122">
        <f t="shared" si="51"/>
        <v>2339.2291666666665</v>
      </c>
      <c r="EN29" s="88">
        <f t="shared" si="52"/>
        <v>1.8613527103939877E-3</v>
      </c>
      <c r="EP29" s="87"/>
    </row>
    <row r="30" spans="1:146" x14ac:dyDescent="0.25">
      <c r="A30" s="35">
        <f t="shared" si="53"/>
        <v>44367</v>
      </c>
      <c r="B30" s="87">
        <v>0</v>
      </c>
      <c r="D30" s="87">
        <f t="shared" si="2"/>
        <v>0</v>
      </c>
      <c r="G30" s="87">
        <f t="shared" si="3"/>
        <v>0</v>
      </c>
      <c r="J30" s="87">
        <f t="shared" si="4"/>
        <v>0</v>
      </c>
      <c r="M30" s="87">
        <f t="shared" si="5"/>
        <v>0</v>
      </c>
      <c r="P30" s="87">
        <f t="shared" si="6"/>
        <v>0</v>
      </c>
      <c r="S30" s="87">
        <f t="shared" si="7"/>
        <v>0</v>
      </c>
      <c r="V30" s="87">
        <f t="shared" si="8"/>
        <v>0</v>
      </c>
      <c r="Y30" s="87">
        <f t="shared" si="9"/>
        <v>0</v>
      </c>
      <c r="AB30" s="87">
        <f t="shared" si="10"/>
        <v>0</v>
      </c>
      <c r="AE30" s="87">
        <v>0</v>
      </c>
      <c r="AH30" s="87">
        <v>0</v>
      </c>
      <c r="AI30" s="120"/>
      <c r="AJ30" s="121"/>
      <c r="AK30" s="87">
        <f t="shared" si="11"/>
        <v>0</v>
      </c>
      <c r="AL30" s="120">
        <f t="shared" si="55"/>
        <v>50000000</v>
      </c>
      <c r="AM30" s="121">
        <v>2.5000000000000001E-3</v>
      </c>
      <c r="AN30" s="87">
        <f t="shared" si="12"/>
        <v>347.22222222222223</v>
      </c>
      <c r="AO30" s="120">
        <f t="shared" si="1"/>
        <v>85000000</v>
      </c>
      <c r="AP30" s="121">
        <v>2E-3</v>
      </c>
      <c r="AQ30" s="87">
        <f t="shared" si="13"/>
        <v>472.22222222222223</v>
      </c>
      <c r="AR30" s="120">
        <f t="shared" si="54"/>
        <v>131525000</v>
      </c>
      <c r="AS30" s="121">
        <v>1.6999999999999999E-3</v>
      </c>
      <c r="AT30" s="87">
        <f t="shared" si="14"/>
        <v>621.09027777777783</v>
      </c>
      <c r="AU30" s="120">
        <f t="shared" si="56"/>
        <v>75000000</v>
      </c>
      <c r="AV30" s="121">
        <v>1.8E-3</v>
      </c>
      <c r="AW30" s="87">
        <f t="shared" si="15"/>
        <v>375</v>
      </c>
      <c r="AX30" s="233">
        <f>110900000</f>
        <v>110900000</v>
      </c>
      <c r="AY30" s="121">
        <v>1.6999999999999999E-3</v>
      </c>
      <c r="AZ30" s="87">
        <f t="shared" si="16"/>
        <v>523.69444444444446</v>
      </c>
      <c r="BC30" s="87">
        <f t="shared" si="17"/>
        <v>0</v>
      </c>
      <c r="BF30" s="87">
        <f t="shared" si="18"/>
        <v>0</v>
      </c>
      <c r="BI30" s="87">
        <f t="shared" si="19"/>
        <v>0</v>
      </c>
      <c r="BL30" s="87">
        <f t="shared" si="20"/>
        <v>0</v>
      </c>
      <c r="BO30" s="87">
        <f t="shared" si="21"/>
        <v>0</v>
      </c>
      <c r="BR30" s="87">
        <f t="shared" si="22"/>
        <v>0</v>
      </c>
      <c r="BU30" s="87">
        <f t="shared" si="23"/>
        <v>0</v>
      </c>
      <c r="BX30" s="87">
        <f t="shared" si="24"/>
        <v>0</v>
      </c>
      <c r="CA30" s="87">
        <f t="shared" si="25"/>
        <v>0</v>
      </c>
      <c r="CD30" s="87">
        <f t="shared" si="26"/>
        <v>0</v>
      </c>
      <c r="CG30" s="87">
        <f t="shared" si="27"/>
        <v>0</v>
      </c>
      <c r="CJ30" s="87">
        <f t="shared" si="28"/>
        <v>0</v>
      </c>
      <c r="CM30" s="87">
        <f t="shared" si="29"/>
        <v>0</v>
      </c>
      <c r="CP30" s="87">
        <f t="shared" si="30"/>
        <v>0</v>
      </c>
      <c r="CS30" s="87">
        <f t="shared" si="31"/>
        <v>0</v>
      </c>
      <c r="CV30" s="87">
        <f t="shared" si="32"/>
        <v>0</v>
      </c>
      <c r="CY30" s="87">
        <f t="shared" si="33"/>
        <v>0</v>
      </c>
      <c r="DB30" s="87">
        <f t="shared" si="34"/>
        <v>0</v>
      </c>
      <c r="DE30" s="87">
        <f t="shared" si="35"/>
        <v>0</v>
      </c>
      <c r="DH30" s="87">
        <f t="shared" si="36"/>
        <v>0</v>
      </c>
      <c r="DK30" s="87">
        <f t="shared" si="37"/>
        <v>0</v>
      </c>
      <c r="DN30" s="87">
        <f t="shared" si="38"/>
        <v>0</v>
      </c>
      <c r="DQ30" s="87">
        <f t="shared" si="39"/>
        <v>0</v>
      </c>
      <c r="DT30" s="87">
        <f t="shared" si="40"/>
        <v>0</v>
      </c>
      <c r="DW30" s="87">
        <f t="shared" si="41"/>
        <v>0</v>
      </c>
      <c r="DZ30" s="87"/>
      <c r="EA30" s="87"/>
      <c r="EB30" s="122">
        <f t="shared" si="42"/>
        <v>452425000</v>
      </c>
      <c r="EC30" s="122">
        <f t="shared" si="43"/>
        <v>0</v>
      </c>
      <c r="ED30" s="87">
        <f t="shared" si="44"/>
        <v>2339.2291666666665</v>
      </c>
      <c r="EE30" s="88">
        <f t="shared" si="45"/>
        <v>1.8613527103939877E-3</v>
      </c>
      <c r="EG30" s="122">
        <f t="shared" si="46"/>
        <v>0</v>
      </c>
      <c r="EH30" s="87">
        <f t="shared" si="47"/>
        <v>0</v>
      </c>
      <c r="EI30" s="88">
        <f t="shared" si="48"/>
        <v>0</v>
      </c>
      <c r="EJ30" s="88"/>
      <c r="EK30" s="122">
        <f t="shared" si="49"/>
        <v>452425000</v>
      </c>
      <c r="EL30" s="122">
        <f t="shared" si="50"/>
        <v>0</v>
      </c>
      <c r="EM30" s="122">
        <f t="shared" si="51"/>
        <v>2339.2291666666665</v>
      </c>
      <c r="EN30" s="88">
        <f t="shared" si="52"/>
        <v>1.8613527103939877E-3</v>
      </c>
      <c r="EP30" s="87"/>
    </row>
    <row r="31" spans="1:146" x14ac:dyDescent="0.25">
      <c r="A31" s="35">
        <f t="shared" si="53"/>
        <v>44368</v>
      </c>
      <c r="B31" s="87">
        <v>0</v>
      </c>
      <c r="D31" s="87">
        <f t="shared" si="2"/>
        <v>0</v>
      </c>
      <c r="G31" s="87">
        <f t="shared" si="3"/>
        <v>0</v>
      </c>
      <c r="J31" s="87">
        <f t="shared" si="4"/>
        <v>0</v>
      </c>
      <c r="M31" s="87">
        <f t="shared" si="5"/>
        <v>0</v>
      </c>
      <c r="P31" s="87">
        <f t="shared" si="6"/>
        <v>0</v>
      </c>
      <c r="S31" s="87">
        <f t="shared" si="7"/>
        <v>0</v>
      </c>
      <c r="V31" s="87">
        <f t="shared" si="8"/>
        <v>0</v>
      </c>
      <c r="Y31" s="87">
        <f t="shared" si="9"/>
        <v>0</v>
      </c>
      <c r="AB31" s="87">
        <f t="shared" si="10"/>
        <v>0</v>
      </c>
      <c r="AE31" s="87">
        <v>0</v>
      </c>
      <c r="AH31" s="87">
        <v>0</v>
      </c>
      <c r="AI31" s="120">
        <f>120000000+108175000</f>
        <v>228175000</v>
      </c>
      <c r="AJ31" s="121">
        <v>1.6999999999999999E-3</v>
      </c>
      <c r="AK31" s="87">
        <f t="shared" si="11"/>
        <v>1077.4930555555557</v>
      </c>
      <c r="AL31" s="120"/>
      <c r="AM31" s="121"/>
      <c r="AN31" s="87">
        <f t="shared" si="12"/>
        <v>0</v>
      </c>
      <c r="AO31" s="120"/>
      <c r="AP31" s="121"/>
      <c r="AQ31" s="87">
        <f t="shared" si="13"/>
        <v>0</v>
      </c>
      <c r="AR31" s="120">
        <f t="shared" si="54"/>
        <v>131525000</v>
      </c>
      <c r="AS31" s="121">
        <v>1.6999999999999999E-3</v>
      </c>
      <c r="AT31" s="87">
        <f t="shared" si="14"/>
        <v>621.09027777777783</v>
      </c>
      <c r="AU31" s="120">
        <f t="shared" si="56"/>
        <v>75000000</v>
      </c>
      <c r="AV31" s="121">
        <v>1.8E-3</v>
      </c>
      <c r="AW31" s="87">
        <f t="shared" si="15"/>
        <v>375</v>
      </c>
      <c r="AX31" s="233">
        <f>110900000</f>
        <v>110900000</v>
      </c>
      <c r="AY31" s="121">
        <v>1.6999999999999999E-3</v>
      </c>
      <c r="AZ31" s="87">
        <f t="shared" si="16"/>
        <v>523.69444444444446</v>
      </c>
      <c r="BC31" s="87">
        <f t="shared" si="17"/>
        <v>0</v>
      </c>
      <c r="BF31" s="87">
        <f t="shared" si="18"/>
        <v>0</v>
      </c>
      <c r="BI31" s="87">
        <f t="shared" si="19"/>
        <v>0</v>
      </c>
      <c r="BL31" s="87">
        <f t="shared" si="20"/>
        <v>0</v>
      </c>
      <c r="BO31" s="87">
        <f t="shared" si="21"/>
        <v>0</v>
      </c>
      <c r="BR31" s="87">
        <f t="shared" si="22"/>
        <v>0</v>
      </c>
      <c r="BU31" s="87">
        <f t="shared" si="23"/>
        <v>0</v>
      </c>
      <c r="BX31" s="87">
        <f t="shared" si="24"/>
        <v>0</v>
      </c>
      <c r="CA31" s="87">
        <f t="shared" si="25"/>
        <v>0</v>
      </c>
      <c r="CD31" s="87">
        <f t="shared" si="26"/>
        <v>0</v>
      </c>
      <c r="CG31" s="87">
        <f t="shared" si="27"/>
        <v>0</v>
      </c>
      <c r="CJ31" s="87">
        <f t="shared" si="28"/>
        <v>0</v>
      </c>
      <c r="CM31" s="87">
        <f t="shared" si="29"/>
        <v>0</v>
      </c>
      <c r="CP31" s="87">
        <f t="shared" si="30"/>
        <v>0</v>
      </c>
      <c r="CS31" s="87">
        <f t="shared" si="31"/>
        <v>0</v>
      </c>
      <c r="CV31" s="87">
        <f t="shared" si="32"/>
        <v>0</v>
      </c>
      <c r="CY31" s="87">
        <f t="shared" si="33"/>
        <v>0</v>
      </c>
      <c r="DB31" s="87">
        <f t="shared" si="34"/>
        <v>0</v>
      </c>
      <c r="DE31" s="87">
        <f t="shared" si="35"/>
        <v>0</v>
      </c>
      <c r="DH31" s="87">
        <f t="shared" si="36"/>
        <v>0</v>
      </c>
      <c r="DK31" s="87">
        <f t="shared" si="37"/>
        <v>0</v>
      </c>
      <c r="DN31" s="87">
        <f t="shared" si="38"/>
        <v>0</v>
      </c>
      <c r="DQ31" s="87">
        <f t="shared" si="39"/>
        <v>0</v>
      </c>
      <c r="DT31" s="87">
        <f t="shared" si="40"/>
        <v>0</v>
      </c>
      <c r="DW31" s="87">
        <f t="shared" si="41"/>
        <v>0</v>
      </c>
      <c r="DZ31" s="87"/>
      <c r="EA31" s="87"/>
      <c r="EB31" s="122">
        <f t="shared" si="42"/>
        <v>545600000</v>
      </c>
      <c r="EC31" s="122">
        <f t="shared" si="43"/>
        <v>0</v>
      </c>
      <c r="ED31" s="87">
        <f t="shared" si="44"/>
        <v>2597.2777777777778</v>
      </c>
      <c r="EE31" s="88">
        <f t="shared" si="45"/>
        <v>1.7137463343108504E-3</v>
      </c>
      <c r="EG31" s="122">
        <f t="shared" si="46"/>
        <v>0</v>
      </c>
      <c r="EH31" s="87">
        <f t="shared" si="47"/>
        <v>0</v>
      </c>
      <c r="EI31" s="88">
        <f t="shared" si="48"/>
        <v>0</v>
      </c>
      <c r="EJ31" s="88"/>
      <c r="EK31" s="122">
        <f t="shared" si="49"/>
        <v>545600000</v>
      </c>
      <c r="EL31" s="122">
        <f t="shared" si="50"/>
        <v>0</v>
      </c>
      <c r="EM31" s="122">
        <f t="shared" si="51"/>
        <v>2597.2777777777778</v>
      </c>
      <c r="EN31" s="88">
        <f t="shared" si="52"/>
        <v>1.7137463343108504E-3</v>
      </c>
      <c r="EP31" s="87"/>
    </row>
    <row r="32" spans="1:146" x14ac:dyDescent="0.25">
      <c r="A32" s="35">
        <f t="shared" si="53"/>
        <v>44369</v>
      </c>
      <c r="B32" s="87">
        <v>0</v>
      </c>
      <c r="D32" s="87">
        <f t="shared" si="2"/>
        <v>0</v>
      </c>
      <c r="G32" s="87">
        <f t="shared" si="3"/>
        <v>0</v>
      </c>
      <c r="J32" s="87">
        <f t="shared" si="4"/>
        <v>0</v>
      </c>
      <c r="M32" s="87">
        <f t="shared" si="5"/>
        <v>0</v>
      </c>
      <c r="P32" s="87">
        <f t="shared" si="6"/>
        <v>0</v>
      </c>
      <c r="S32" s="87">
        <f t="shared" si="7"/>
        <v>0</v>
      </c>
      <c r="V32" s="87">
        <f t="shared" si="8"/>
        <v>0</v>
      </c>
      <c r="Y32" s="87">
        <f t="shared" si="9"/>
        <v>0</v>
      </c>
      <c r="AB32" s="87">
        <f t="shared" si="10"/>
        <v>0</v>
      </c>
      <c r="AE32" s="87">
        <v>0</v>
      </c>
      <c r="AH32" s="87">
        <v>0</v>
      </c>
      <c r="AI32" s="120">
        <f>17975000</f>
        <v>17975000</v>
      </c>
      <c r="AJ32" s="121">
        <v>1.6999999999999999E-3</v>
      </c>
      <c r="AK32" s="87">
        <f t="shared" si="11"/>
        <v>84.881944444444443</v>
      </c>
      <c r="AL32" s="120"/>
      <c r="AM32" s="121"/>
      <c r="AN32" s="87">
        <f t="shared" si="12"/>
        <v>0</v>
      </c>
      <c r="AO32" s="120"/>
      <c r="AP32" s="121"/>
      <c r="AQ32" s="87">
        <f t="shared" si="13"/>
        <v>0</v>
      </c>
      <c r="AR32" s="120"/>
      <c r="AS32" s="121"/>
      <c r="AT32" s="87">
        <f t="shared" si="14"/>
        <v>0</v>
      </c>
      <c r="AU32" s="120"/>
      <c r="AV32" s="121"/>
      <c r="AW32" s="87">
        <f t="shared" si="15"/>
        <v>0</v>
      </c>
      <c r="AX32" s="120"/>
      <c r="AY32" s="121"/>
      <c r="AZ32" s="87">
        <f t="shared" si="16"/>
        <v>0</v>
      </c>
      <c r="BC32" s="87">
        <f t="shared" si="17"/>
        <v>0</v>
      </c>
      <c r="BF32" s="87">
        <f t="shared" si="18"/>
        <v>0</v>
      </c>
      <c r="BI32" s="87">
        <f t="shared" si="19"/>
        <v>0</v>
      </c>
      <c r="BL32" s="87">
        <f t="shared" si="20"/>
        <v>0</v>
      </c>
      <c r="BO32" s="87">
        <f t="shared" si="21"/>
        <v>0</v>
      </c>
      <c r="BR32" s="87">
        <f t="shared" si="22"/>
        <v>0</v>
      </c>
      <c r="BU32" s="87">
        <f t="shared" si="23"/>
        <v>0</v>
      </c>
      <c r="BX32" s="87">
        <f t="shared" si="24"/>
        <v>0</v>
      </c>
      <c r="CA32" s="87">
        <f t="shared" si="25"/>
        <v>0</v>
      </c>
      <c r="CD32" s="87">
        <f t="shared" si="26"/>
        <v>0</v>
      </c>
      <c r="CG32" s="87">
        <f t="shared" si="27"/>
        <v>0</v>
      </c>
      <c r="CJ32" s="87">
        <f t="shared" si="28"/>
        <v>0</v>
      </c>
      <c r="CM32" s="87">
        <f t="shared" si="29"/>
        <v>0</v>
      </c>
      <c r="CP32" s="87">
        <f t="shared" si="30"/>
        <v>0</v>
      </c>
      <c r="CS32" s="87">
        <f t="shared" si="31"/>
        <v>0</v>
      </c>
      <c r="CV32" s="87">
        <f t="shared" si="32"/>
        <v>0</v>
      </c>
      <c r="CY32" s="87">
        <f t="shared" si="33"/>
        <v>0</v>
      </c>
      <c r="DB32" s="87">
        <f t="shared" si="34"/>
        <v>0</v>
      </c>
      <c r="DE32" s="87">
        <f t="shared" si="35"/>
        <v>0</v>
      </c>
      <c r="DH32" s="87">
        <f t="shared" si="36"/>
        <v>0</v>
      </c>
      <c r="DK32" s="87">
        <f t="shared" si="37"/>
        <v>0</v>
      </c>
      <c r="DN32" s="87">
        <f t="shared" si="38"/>
        <v>0</v>
      </c>
      <c r="DQ32" s="87">
        <f t="shared" si="39"/>
        <v>0</v>
      </c>
      <c r="DT32" s="87">
        <f t="shared" si="40"/>
        <v>0</v>
      </c>
      <c r="DW32" s="87">
        <f t="shared" si="41"/>
        <v>0</v>
      </c>
      <c r="DZ32" s="87"/>
      <c r="EA32" s="87"/>
      <c r="EB32" s="122">
        <f t="shared" si="42"/>
        <v>17975000</v>
      </c>
      <c r="EC32" s="122">
        <f t="shared" si="43"/>
        <v>0</v>
      </c>
      <c r="ED32" s="87">
        <f t="shared" si="44"/>
        <v>84.881944444444443</v>
      </c>
      <c r="EE32" s="88">
        <f t="shared" si="45"/>
        <v>1.7000000000000001E-3</v>
      </c>
      <c r="EG32" s="122">
        <f t="shared" si="46"/>
        <v>0</v>
      </c>
      <c r="EH32" s="87">
        <f t="shared" si="47"/>
        <v>0</v>
      </c>
      <c r="EI32" s="88">
        <f t="shared" si="48"/>
        <v>0</v>
      </c>
      <c r="EJ32" s="88"/>
      <c r="EK32" s="122">
        <f t="shared" si="49"/>
        <v>17975000</v>
      </c>
      <c r="EL32" s="122">
        <f t="shared" si="50"/>
        <v>0</v>
      </c>
      <c r="EM32" s="122">
        <f t="shared" si="51"/>
        <v>84.881944444444443</v>
      </c>
      <c r="EN32" s="88">
        <f t="shared" si="52"/>
        <v>1.7000000000000001E-3</v>
      </c>
      <c r="EP32" s="87"/>
    </row>
    <row r="33" spans="1:146" x14ac:dyDescent="0.25">
      <c r="A33" s="35">
        <f t="shared" si="53"/>
        <v>44370</v>
      </c>
      <c r="B33" s="87">
        <v>0</v>
      </c>
      <c r="D33" s="87">
        <f t="shared" si="2"/>
        <v>0</v>
      </c>
      <c r="G33" s="87">
        <f t="shared" si="3"/>
        <v>0</v>
      </c>
      <c r="J33" s="87">
        <f t="shared" si="4"/>
        <v>0</v>
      </c>
      <c r="M33" s="87">
        <f t="shared" si="5"/>
        <v>0</v>
      </c>
      <c r="P33" s="87">
        <f t="shared" si="6"/>
        <v>0</v>
      </c>
      <c r="S33" s="87">
        <f t="shared" si="7"/>
        <v>0</v>
      </c>
      <c r="V33" s="87">
        <f t="shared" si="8"/>
        <v>0</v>
      </c>
      <c r="Y33" s="87">
        <f t="shared" si="9"/>
        <v>0</v>
      </c>
      <c r="AB33" s="87">
        <f t="shared" si="10"/>
        <v>0</v>
      </c>
      <c r="AE33" s="87">
        <v>0</v>
      </c>
      <c r="AH33" s="87">
        <v>0</v>
      </c>
      <c r="AI33" s="120">
        <f>9650000</f>
        <v>9650000</v>
      </c>
      <c r="AJ33" s="121">
        <v>1.6999999999999999E-3</v>
      </c>
      <c r="AK33" s="87">
        <f t="shared" si="11"/>
        <v>45.569444444444443</v>
      </c>
      <c r="AL33" s="120"/>
      <c r="AM33" s="121"/>
      <c r="AN33" s="87">
        <f t="shared" si="12"/>
        <v>0</v>
      </c>
      <c r="AO33" s="120"/>
      <c r="AP33" s="121"/>
      <c r="AQ33" s="87">
        <f t="shared" si="13"/>
        <v>0</v>
      </c>
      <c r="AR33" s="120"/>
      <c r="AS33" s="121"/>
      <c r="AT33" s="87">
        <f t="shared" si="14"/>
        <v>0</v>
      </c>
      <c r="AU33" s="120"/>
      <c r="AV33" s="121"/>
      <c r="AW33" s="87">
        <f t="shared" si="15"/>
        <v>0</v>
      </c>
      <c r="AX33" s="120"/>
      <c r="AY33" s="121"/>
      <c r="AZ33" s="87">
        <f t="shared" si="16"/>
        <v>0</v>
      </c>
      <c r="BC33" s="87">
        <f t="shared" si="17"/>
        <v>0</v>
      </c>
      <c r="BF33" s="87">
        <f t="shared" si="18"/>
        <v>0</v>
      </c>
      <c r="BI33" s="87">
        <f t="shared" si="19"/>
        <v>0</v>
      </c>
      <c r="BL33" s="87">
        <f t="shared" si="20"/>
        <v>0</v>
      </c>
      <c r="BO33" s="87">
        <f t="shared" si="21"/>
        <v>0</v>
      </c>
      <c r="BR33" s="87">
        <f t="shared" si="22"/>
        <v>0</v>
      </c>
      <c r="BU33" s="87">
        <f t="shared" si="23"/>
        <v>0</v>
      </c>
      <c r="BX33" s="87">
        <f t="shared" si="24"/>
        <v>0</v>
      </c>
      <c r="CA33" s="87">
        <f t="shared" si="25"/>
        <v>0</v>
      </c>
      <c r="CD33" s="87">
        <f t="shared" si="26"/>
        <v>0</v>
      </c>
      <c r="CG33" s="87">
        <f t="shared" si="27"/>
        <v>0</v>
      </c>
      <c r="CJ33" s="87">
        <f t="shared" si="28"/>
        <v>0</v>
      </c>
      <c r="CM33" s="87">
        <f t="shared" si="29"/>
        <v>0</v>
      </c>
      <c r="CP33" s="87">
        <f t="shared" si="30"/>
        <v>0</v>
      </c>
      <c r="CS33" s="87">
        <f t="shared" si="31"/>
        <v>0</v>
      </c>
      <c r="CV33" s="87">
        <f t="shared" si="32"/>
        <v>0</v>
      </c>
      <c r="CY33" s="87">
        <f t="shared" si="33"/>
        <v>0</v>
      </c>
      <c r="DB33" s="87">
        <f t="shared" si="34"/>
        <v>0</v>
      </c>
      <c r="DE33" s="87">
        <f t="shared" si="35"/>
        <v>0</v>
      </c>
      <c r="DH33" s="87">
        <f t="shared" si="36"/>
        <v>0</v>
      </c>
      <c r="DK33" s="87">
        <f t="shared" si="37"/>
        <v>0</v>
      </c>
      <c r="DN33" s="87">
        <f t="shared" si="38"/>
        <v>0</v>
      </c>
      <c r="DQ33" s="87">
        <f t="shared" si="39"/>
        <v>0</v>
      </c>
      <c r="DT33" s="87">
        <f t="shared" si="40"/>
        <v>0</v>
      </c>
      <c r="DW33" s="87">
        <f t="shared" si="41"/>
        <v>0</v>
      </c>
      <c r="DZ33" s="87"/>
      <c r="EA33" s="87"/>
      <c r="EB33" s="122">
        <f t="shared" si="42"/>
        <v>9650000</v>
      </c>
      <c r="EC33" s="122">
        <f t="shared" si="43"/>
        <v>0</v>
      </c>
      <c r="ED33" s="87">
        <f t="shared" si="44"/>
        <v>45.569444444444443</v>
      </c>
      <c r="EE33" s="88">
        <f t="shared" si="45"/>
        <v>1.7000000000000001E-3</v>
      </c>
      <c r="EG33" s="122">
        <f t="shared" si="46"/>
        <v>0</v>
      </c>
      <c r="EH33" s="87">
        <f t="shared" si="47"/>
        <v>0</v>
      </c>
      <c r="EI33" s="88">
        <f t="shared" si="48"/>
        <v>0</v>
      </c>
      <c r="EJ33" s="88"/>
      <c r="EK33" s="122">
        <f t="shared" si="49"/>
        <v>9650000</v>
      </c>
      <c r="EL33" s="122">
        <f t="shared" si="50"/>
        <v>0</v>
      </c>
      <c r="EM33" s="122">
        <f t="shared" si="51"/>
        <v>45.569444444444443</v>
      </c>
      <c r="EN33" s="88">
        <f t="shared" si="52"/>
        <v>1.7000000000000001E-3</v>
      </c>
      <c r="EP33" s="87"/>
    </row>
    <row r="34" spans="1:146" x14ac:dyDescent="0.25">
      <c r="A34" s="35">
        <f t="shared" si="53"/>
        <v>44371</v>
      </c>
      <c r="B34" s="87">
        <v>0</v>
      </c>
      <c r="D34" s="87">
        <f t="shared" si="2"/>
        <v>0</v>
      </c>
      <c r="G34" s="87">
        <f t="shared" si="3"/>
        <v>0</v>
      </c>
      <c r="J34" s="87">
        <f t="shared" si="4"/>
        <v>0</v>
      </c>
      <c r="M34" s="87">
        <f t="shared" si="5"/>
        <v>0</v>
      </c>
      <c r="P34" s="87">
        <f t="shared" si="6"/>
        <v>0</v>
      </c>
      <c r="S34" s="87">
        <f t="shared" si="7"/>
        <v>0</v>
      </c>
      <c r="V34" s="87">
        <f t="shared" si="8"/>
        <v>0</v>
      </c>
      <c r="Y34" s="87">
        <f t="shared" si="9"/>
        <v>0</v>
      </c>
      <c r="AB34" s="87">
        <f t="shared" si="10"/>
        <v>0</v>
      </c>
      <c r="AE34" s="87">
        <v>0</v>
      </c>
      <c r="AH34" s="87">
        <v>0</v>
      </c>
      <c r="AI34" s="120">
        <f>7350000</f>
        <v>7350000</v>
      </c>
      <c r="AJ34" s="121">
        <v>1.6999999999999999E-3</v>
      </c>
      <c r="AK34" s="87">
        <f t="shared" si="11"/>
        <v>34.708333333333336</v>
      </c>
      <c r="AL34" s="120"/>
      <c r="AM34" s="121"/>
      <c r="AN34" s="87">
        <f t="shared" si="12"/>
        <v>0</v>
      </c>
      <c r="AO34" s="120"/>
      <c r="AP34" s="121"/>
      <c r="AQ34" s="87">
        <f t="shared" si="13"/>
        <v>0</v>
      </c>
      <c r="AR34" s="120"/>
      <c r="AS34" s="121"/>
      <c r="AT34" s="87">
        <f t="shared" si="14"/>
        <v>0</v>
      </c>
      <c r="AU34" s="120"/>
      <c r="AV34" s="121"/>
      <c r="AW34" s="87">
        <f t="shared" si="15"/>
        <v>0</v>
      </c>
      <c r="AX34" s="120"/>
      <c r="AY34" s="121"/>
      <c r="AZ34" s="87">
        <f t="shared" si="16"/>
        <v>0</v>
      </c>
      <c r="BC34" s="87">
        <f t="shared" si="17"/>
        <v>0</v>
      </c>
      <c r="BF34" s="87">
        <f t="shared" si="18"/>
        <v>0</v>
      </c>
      <c r="BI34" s="87">
        <f t="shared" si="19"/>
        <v>0</v>
      </c>
      <c r="BL34" s="87">
        <f t="shared" si="20"/>
        <v>0</v>
      </c>
      <c r="BO34" s="87">
        <f t="shared" si="21"/>
        <v>0</v>
      </c>
      <c r="BR34" s="87">
        <f t="shared" si="22"/>
        <v>0</v>
      </c>
      <c r="BU34" s="87">
        <f t="shared" si="23"/>
        <v>0</v>
      </c>
      <c r="BX34" s="87">
        <f t="shared" si="24"/>
        <v>0</v>
      </c>
      <c r="CA34" s="87">
        <f t="shared" si="25"/>
        <v>0</v>
      </c>
      <c r="CD34" s="87">
        <f t="shared" si="26"/>
        <v>0</v>
      </c>
      <c r="CG34" s="87">
        <f t="shared" si="27"/>
        <v>0</v>
      </c>
      <c r="CJ34" s="87">
        <f t="shared" si="28"/>
        <v>0</v>
      </c>
      <c r="CM34" s="87">
        <f t="shared" si="29"/>
        <v>0</v>
      </c>
      <c r="CP34" s="87">
        <f t="shared" si="30"/>
        <v>0</v>
      </c>
      <c r="CS34" s="87">
        <f t="shared" si="31"/>
        <v>0</v>
      </c>
      <c r="CV34" s="87">
        <f t="shared" si="32"/>
        <v>0</v>
      </c>
      <c r="CY34" s="87">
        <f t="shared" si="33"/>
        <v>0</v>
      </c>
      <c r="DB34" s="87">
        <f t="shared" si="34"/>
        <v>0</v>
      </c>
      <c r="DE34" s="87">
        <f t="shared" si="35"/>
        <v>0</v>
      </c>
      <c r="DH34" s="87">
        <f t="shared" si="36"/>
        <v>0</v>
      </c>
      <c r="DK34" s="87">
        <f t="shared" si="37"/>
        <v>0</v>
      </c>
      <c r="DN34" s="87">
        <f t="shared" si="38"/>
        <v>0</v>
      </c>
      <c r="DQ34" s="87">
        <f t="shared" si="39"/>
        <v>0</v>
      </c>
      <c r="DT34" s="87">
        <f t="shared" si="40"/>
        <v>0</v>
      </c>
      <c r="DW34" s="87">
        <f t="shared" si="41"/>
        <v>0</v>
      </c>
      <c r="DZ34" s="87"/>
      <c r="EA34" s="87"/>
      <c r="EB34" s="122">
        <f t="shared" si="42"/>
        <v>7350000</v>
      </c>
      <c r="EC34" s="122">
        <f t="shared" si="43"/>
        <v>0</v>
      </c>
      <c r="ED34" s="87">
        <f t="shared" si="44"/>
        <v>34.708333333333336</v>
      </c>
      <c r="EE34" s="88">
        <f t="shared" si="45"/>
        <v>1.7000000000000001E-3</v>
      </c>
      <c r="EG34" s="122">
        <f t="shared" si="46"/>
        <v>0</v>
      </c>
      <c r="EH34" s="87">
        <f t="shared" si="47"/>
        <v>0</v>
      </c>
      <c r="EI34" s="88">
        <f t="shared" si="48"/>
        <v>0</v>
      </c>
      <c r="EJ34" s="88"/>
      <c r="EK34" s="122">
        <f t="shared" si="49"/>
        <v>7350000</v>
      </c>
      <c r="EL34" s="122">
        <f t="shared" si="50"/>
        <v>0</v>
      </c>
      <c r="EM34" s="122">
        <f t="shared" si="51"/>
        <v>34.708333333333336</v>
      </c>
      <c r="EN34" s="88">
        <f t="shared" si="52"/>
        <v>1.7000000000000001E-3</v>
      </c>
      <c r="EP34" s="87"/>
    </row>
    <row r="35" spans="1:146" x14ac:dyDescent="0.25">
      <c r="A35" s="35">
        <f t="shared" si="53"/>
        <v>44372</v>
      </c>
      <c r="B35" s="87">
        <v>0</v>
      </c>
      <c r="D35" s="87">
        <f t="shared" si="2"/>
        <v>0</v>
      </c>
      <c r="G35" s="87">
        <f t="shared" si="3"/>
        <v>0</v>
      </c>
      <c r="J35" s="87">
        <f t="shared" si="4"/>
        <v>0</v>
      </c>
      <c r="M35" s="87">
        <f t="shared" si="5"/>
        <v>0</v>
      </c>
      <c r="P35" s="87">
        <f t="shared" si="6"/>
        <v>0</v>
      </c>
      <c r="S35" s="87">
        <f t="shared" si="7"/>
        <v>0</v>
      </c>
      <c r="V35" s="87">
        <f t="shared" si="8"/>
        <v>0</v>
      </c>
      <c r="Y35" s="87">
        <f t="shared" si="9"/>
        <v>0</v>
      </c>
      <c r="AB35" s="87">
        <f t="shared" si="10"/>
        <v>0</v>
      </c>
      <c r="AE35" s="87">
        <v>0</v>
      </c>
      <c r="AH35" s="87">
        <v>0</v>
      </c>
      <c r="AI35" s="120"/>
      <c r="AJ35" s="121"/>
      <c r="AK35" s="87">
        <f t="shared" si="11"/>
        <v>0</v>
      </c>
      <c r="AL35" s="120"/>
      <c r="AM35" s="121"/>
      <c r="AN35" s="87">
        <f t="shared" si="12"/>
        <v>0</v>
      </c>
      <c r="AO35" s="120"/>
      <c r="AP35" s="121"/>
      <c r="AQ35" s="87">
        <f t="shared" si="13"/>
        <v>0</v>
      </c>
      <c r="AR35" s="120"/>
      <c r="AS35" s="121"/>
      <c r="AT35" s="87">
        <f t="shared" si="14"/>
        <v>0</v>
      </c>
      <c r="AU35" s="120"/>
      <c r="AV35" s="121"/>
      <c r="AW35" s="87">
        <f t="shared" si="15"/>
        <v>0</v>
      </c>
      <c r="AX35" s="120"/>
      <c r="AY35" s="121"/>
      <c r="AZ35" s="87">
        <f t="shared" si="16"/>
        <v>0</v>
      </c>
      <c r="BC35" s="87">
        <f t="shared" si="17"/>
        <v>0</v>
      </c>
      <c r="BF35" s="87">
        <f t="shared" si="18"/>
        <v>0</v>
      </c>
      <c r="BI35" s="87">
        <f t="shared" si="19"/>
        <v>0</v>
      </c>
      <c r="BL35" s="87">
        <f t="shared" si="20"/>
        <v>0</v>
      </c>
      <c r="BO35" s="87">
        <f t="shared" si="21"/>
        <v>0</v>
      </c>
      <c r="BR35" s="87">
        <f t="shared" si="22"/>
        <v>0</v>
      </c>
      <c r="BU35" s="87">
        <f t="shared" si="23"/>
        <v>0</v>
      </c>
      <c r="BX35" s="87">
        <f t="shared" si="24"/>
        <v>0</v>
      </c>
      <c r="CA35" s="87">
        <f t="shared" si="25"/>
        <v>0</v>
      </c>
      <c r="CD35" s="87">
        <f t="shared" si="26"/>
        <v>0</v>
      </c>
      <c r="CG35" s="87">
        <f t="shared" si="27"/>
        <v>0</v>
      </c>
      <c r="CJ35" s="87">
        <f t="shared" si="28"/>
        <v>0</v>
      </c>
      <c r="CM35" s="87">
        <f t="shared" si="29"/>
        <v>0</v>
      </c>
      <c r="CP35" s="87">
        <f t="shared" si="30"/>
        <v>0</v>
      </c>
      <c r="CS35" s="87">
        <f t="shared" si="31"/>
        <v>0</v>
      </c>
      <c r="CV35" s="87">
        <f t="shared" si="32"/>
        <v>0</v>
      </c>
      <c r="CY35" s="87">
        <f t="shared" si="33"/>
        <v>0</v>
      </c>
      <c r="DB35" s="87">
        <f t="shared" si="34"/>
        <v>0</v>
      </c>
      <c r="DE35" s="87">
        <f t="shared" si="35"/>
        <v>0</v>
      </c>
      <c r="DH35" s="87">
        <f t="shared" si="36"/>
        <v>0</v>
      </c>
      <c r="DK35" s="87">
        <f t="shared" si="37"/>
        <v>0</v>
      </c>
      <c r="DN35" s="87">
        <f t="shared" si="38"/>
        <v>0</v>
      </c>
      <c r="DQ35" s="87">
        <f t="shared" si="39"/>
        <v>0</v>
      </c>
      <c r="DT35" s="87">
        <f t="shared" si="40"/>
        <v>0</v>
      </c>
      <c r="DW35" s="87">
        <f t="shared" si="41"/>
        <v>0</v>
      </c>
      <c r="DZ35" s="87"/>
      <c r="EA35" s="87"/>
      <c r="EB35" s="122">
        <f t="shared" si="42"/>
        <v>0</v>
      </c>
      <c r="EC35" s="122">
        <f t="shared" si="43"/>
        <v>0</v>
      </c>
      <c r="ED35" s="87">
        <f t="shared" si="44"/>
        <v>0</v>
      </c>
      <c r="EE35" s="88">
        <f t="shared" si="45"/>
        <v>0</v>
      </c>
      <c r="EG35" s="122">
        <f t="shared" si="46"/>
        <v>0</v>
      </c>
      <c r="EH35" s="87">
        <f t="shared" si="47"/>
        <v>0</v>
      </c>
      <c r="EI35" s="88">
        <f t="shared" si="48"/>
        <v>0</v>
      </c>
      <c r="EJ35" s="88"/>
      <c r="EK35" s="122">
        <f t="shared" si="49"/>
        <v>0</v>
      </c>
      <c r="EL35" s="122">
        <f t="shared" si="50"/>
        <v>0</v>
      </c>
      <c r="EM35" s="122">
        <f t="shared" si="51"/>
        <v>0</v>
      </c>
      <c r="EN35" s="88">
        <f t="shared" si="52"/>
        <v>0</v>
      </c>
      <c r="EP35" s="87"/>
    </row>
    <row r="36" spans="1:146" x14ac:dyDescent="0.25">
      <c r="A36" s="35">
        <f t="shared" si="53"/>
        <v>44373</v>
      </c>
      <c r="B36" s="87">
        <v>0</v>
      </c>
      <c r="D36" s="87">
        <f t="shared" si="2"/>
        <v>0</v>
      </c>
      <c r="G36" s="87">
        <f t="shared" si="3"/>
        <v>0</v>
      </c>
      <c r="J36" s="87">
        <f t="shared" si="4"/>
        <v>0</v>
      </c>
      <c r="M36" s="87">
        <f t="shared" si="5"/>
        <v>0</v>
      </c>
      <c r="P36" s="87">
        <f t="shared" si="6"/>
        <v>0</v>
      </c>
      <c r="S36" s="87">
        <f t="shared" si="7"/>
        <v>0</v>
      </c>
      <c r="V36" s="87">
        <f t="shared" si="8"/>
        <v>0</v>
      </c>
      <c r="Y36" s="87">
        <f t="shared" si="9"/>
        <v>0</v>
      </c>
      <c r="AB36" s="87">
        <f t="shared" si="10"/>
        <v>0</v>
      </c>
      <c r="AE36" s="87">
        <v>0</v>
      </c>
      <c r="AH36" s="87">
        <v>0</v>
      </c>
      <c r="AI36" s="120"/>
      <c r="AJ36" s="121"/>
      <c r="AK36" s="87">
        <f t="shared" si="11"/>
        <v>0</v>
      </c>
      <c r="AL36" s="120"/>
      <c r="AM36" s="121"/>
      <c r="AN36" s="87">
        <f t="shared" si="12"/>
        <v>0</v>
      </c>
      <c r="AO36" s="120"/>
      <c r="AP36" s="121"/>
      <c r="AQ36" s="87">
        <f t="shared" si="13"/>
        <v>0</v>
      </c>
      <c r="AR36" s="120"/>
      <c r="AS36" s="121"/>
      <c r="AT36" s="87">
        <f t="shared" si="14"/>
        <v>0</v>
      </c>
      <c r="AU36" s="120"/>
      <c r="AV36" s="121"/>
      <c r="AW36" s="87">
        <f t="shared" si="15"/>
        <v>0</v>
      </c>
      <c r="AX36" s="120"/>
      <c r="AY36" s="121"/>
      <c r="AZ36" s="87">
        <f t="shared" si="16"/>
        <v>0</v>
      </c>
      <c r="BC36" s="87">
        <f t="shared" si="17"/>
        <v>0</v>
      </c>
      <c r="BF36" s="87">
        <f t="shared" si="18"/>
        <v>0</v>
      </c>
      <c r="BI36" s="87">
        <f t="shared" si="19"/>
        <v>0</v>
      </c>
      <c r="BL36" s="87">
        <f t="shared" si="20"/>
        <v>0</v>
      </c>
      <c r="BO36" s="87">
        <f t="shared" si="21"/>
        <v>0</v>
      </c>
      <c r="BR36" s="87">
        <f t="shared" si="22"/>
        <v>0</v>
      </c>
      <c r="BU36" s="87">
        <f t="shared" si="23"/>
        <v>0</v>
      </c>
      <c r="BX36" s="87">
        <f t="shared" si="24"/>
        <v>0</v>
      </c>
      <c r="CA36" s="87">
        <f t="shared" si="25"/>
        <v>0</v>
      </c>
      <c r="CD36" s="87">
        <f t="shared" si="26"/>
        <v>0</v>
      </c>
      <c r="CG36" s="87">
        <f t="shared" si="27"/>
        <v>0</v>
      </c>
      <c r="CJ36" s="87">
        <f t="shared" si="28"/>
        <v>0</v>
      </c>
      <c r="CM36" s="87">
        <f t="shared" si="29"/>
        <v>0</v>
      </c>
      <c r="CP36" s="87">
        <f t="shared" si="30"/>
        <v>0</v>
      </c>
      <c r="CS36" s="87">
        <f t="shared" si="31"/>
        <v>0</v>
      </c>
      <c r="CV36" s="87">
        <f t="shared" si="32"/>
        <v>0</v>
      </c>
      <c r="CY36" s="87">
        <f t="shared" si="33"/>
        <v>0</v>
      </c>
      <c r="DB36" s="87">
        <f t="shared" si="34"/>
        <v>0</v>
      </c>
      <c r="DE36" s="87">
        <f t="shared" si="35"/>
        <v>0</v>
      </c>
      <c r="DH36" s="87">
        <f t="shared" si="36"/>
        <v>0</v>
      </c>
      <c r="DK36" s="87">
        <f t="shared" si="37"/>
        <v>0</v>
      </c>
      <c r="DN36" s="87">
        <f t="shared" si="38"/>
        <v>0</v>
      </c>
      <c r="DQ36" s="87">
        <f t="shared" si="39"/>
        <v>0</v>
      </c>
      <c r="DT36" s="87">
        <f t="shared" si="40"/>
        <v>0</v>
      </c>
      <c r="DW36" s="87">
        <f t="shared" si="41"/>
        <v>0</v>
      </c>
      <c r="DZ36" s="87"/>
      <c r="EA36" s="87"/>
      <c r="EB36" s="122">
        <f t="shared" si="42"/>
        <v>0</v>
      </c>
      <c r="EC36" s="122">
        <f t="shared" si="43"/>
        <v>0</v>
      </c>
      <c r="ED36" s="87">
        <f t="shared" si="44"/>
        <v>0</v>
      </c>
      <c r="EE36" s="88">
        <f t="shared" si="45"/>
        <v>0</v>
      </c>
      <c r="EG36" s="122">
        <f t="shared" si="46"/>
        <v>0</v>
      </c>
      <c r="EH36" s="87">
        <f t="shared" si="47"/>
        <v>0</v>
      </c>
      <c r="EI36" s="88">
        <f t="shared" si="48"/>
        <v>0</v>
      </c>
      <c r="EJ36" s="88"/>
      <c r="EK36" s="122">
        <f t="shared" si="49"/>
        <v>0</v>
      </c>
      <c r="EL36" s="122">
        <f t="shared" si="50"/>
        <v>0</v>
      </c>
      <c r="EM36" s="122">
        <f t="shared" si="51"/>
        <v>0</v>
      </c>
      <c r="EN36" s="88">
        <f t="shared" si="52"/>
        <v>0</v>
      </c>
      <c r="EP36" s="87"/>
    </row>
    <row r="37" spans="1:146" x14ac:dyDescent="0.25">
      <c r="A37" s="35">
        <f t="shared" si="53"/>
        <v>44374</v>
      </c>
      <c r="B37" s="87">
        <v>0</v>
      </c>
      <c r="D37" s="87">
        <f t="shared" si="2"/>
        <v>0</v>
      </c>
      <c r="G37" s="87">
        <f t="shared" si="3"/>
        <v>0</v>
      </c>
      <c r="J37" s="87">
        <f t="shared" si="4"/>
        <v>0</v>
      </c>
      <c r="M37" s="87">
        <f t="shared" si="5"/>
        <v>0</v>
      </c>
      <c r="P37" s="87">
        <f t="shared" si="6"/>
        <v>0</v>
      </c>
      <c r="S37" s="87">
        <f t="shared" si="7"/>
        <v>0</v>
      </c>
      <c r="V37" s="87">
        <f t="shared" si="8"/>
        <v>0</v>
      </c>
      <c r="Y37" s="87">
        <f t="shared" si="9"/>
        <v>0</v>
      </c>
      <c r="AB37" s="87">
        <f t="shared" si="10"/>
        <v>0</v>
      </c>
      <c r="AE37" s="87">
        <v>0</v>
      </c>
      <c r="AH37" s="87">
        <v>0</v>
      </c>
      <c r="AI37" s="120"/>
      <c r="AJ37" s="121"/>
      <c r="AK37" s="87">
        <f t="shared" si="11"/>
        <v>0</v>
      </c>
      <c r="AL37" s="120"/>
      <c r="AM37" s="121"/>
      <c r="AN37" s="87">
        <f t="shared" si="12"/>
        <v>0</v>
      </c>
      <c r="AO37" s="120"/>
      <c r="AP37" s="121"/>
      <c r="AQ37" s="87">
        <f t="shared" si="13"/>
        <v>0</v>
      </c>
      <c r="AR37" s="120"/>
      <c r="AS37" s="121"/>
      <c r="AT37" s="87">
        <f t="shared" si="14"/>
        <v>0</v>
      </c>
      <c r="AU37" s="120"/>
      <c r="AV37" s="121"/>
      <c r="AW37" s="87">
        <f t="shared" si="15"/>
        <v>0</v>
      </c>
      <c r="AX37" s="120"/>
      <c r="AY37" s="121"/>
      <c r="AZ37" s="87">
        <f t="shared" si="16"/>
        <v>0</v>
      </c>
      <c r="BC37" s="87">
        <f t="shared" si="17"/>
        <v>0</v>
      </c>
      <c r="BF37" s="87">
        <f t="shared" si="18"/>
        <v>0</v>
      </c>
      <c r="BI37" s="87">
        <f t="shared" si="19"/>
        <v>0</v>
      </c>
      <c r="BL37" s="87">
        <f t="shared" si="20"/>
        <v>0</v>
      </c>
      <c r="BO37" s="87">
        <f t="shared" si="21"/>
        <v>0</v>
      </c>
      <c r="BR37" s="87">
        <f t="shared" si="22"/>
        <v>0</v>
      </c>
      <c r="BU37" s="87">
        <f t="shared" si="23"/>
        <v>0</v>
      </c>
      <c r="BX37" s="87">
        <f t="shared" si="24"/>
        <v>0</v>
      </c>
      <c r="CA37" s="87">
        <f t="shared" si="25"/>
        <v>0</v>
      </c>
      <c r="CD37" s="87">
        <f t="shared" si="26"/>
        <v>0</v>
      </c>
      <c r="CG37" s="87">
        <f t="shared" si="27"/>
        <v>0</v>
      </c>
      <c r="CJ37" s="87">
        <f t="shared" si="28"/>
        <v>0</v>
      </c>
      <c r="CM37" s="87">
        <f t="shared" si="29"/>
        <v>0</v>
      </c>
      <c r="CP37" s="87">
        <f t="shared" si="30"/>
        <v>0</v>
      </c>
      <c r="CS37" s="87">
        <f t="shared" si="31"/>
        <v>0</v>
      </c>
      <c r="CV37" s="87">
        <f t="shared" si="32"/>
        <v>0</v>
      </c>
      <c r="CY37" s="87">
        <f t="shared" si="33"/>
        <v>0</v>
      </c>
      <c r="DB37" s="87">
        <f t="shared" si="34"/>
        <v>0</v>
      </c>
      <c r="DE37" s="87">
        <f t="shared" si="35"/>
        <v>0</v>
      </c>
      <c r="DH37" s="87">
        <f t="shared" si="36"/>
        <v>0</v>
      </c>
      <c r="DK37" s="87">
        <f t="shared" si="37"/>
        <v>0</v>
      </c>
      <c r="DN37" s="87">
        <f t="shared" si="38"/>
        <v>0</v>
      </c>
      <c r="DQ37" s="87">
        <f t="shared" si="39"/>
        <v>0</v>
      </c>
      <c r="DT37" s="87">
        <f t="shared" si="40"/>
        <v>0</v>
      </c>
      <c r="DW37" s="87">
        <f t="shared" si="41"/>
        <v>0</v>
      </c>
      <c r="DZ37" s="87"/>
      <c r="EA37" s="87"/>
      <c r="EB37" s="122">
        <f t="shared" si="42"/>
        <v>0</v>
      </c>
      <c r="EC37" s="122">
        <f t="shared" si="43"/>
        <v>0</v>
      </c>
      <c r="ED37" s="87">
        <f t="shared" si="44"/>
        <v>0</v>
      </c>
      <c r="EE37" s="88">
        <f t="shared" si="45"/>
        <v>0</v>
      </c>
      <c r="EG37" s="122">
        <f t="shared" si="46"/>
        <v>0</v>
      </c>
      <c r="EH37" s="87">
        <f t="shared" si="47"/>
        <v>0</v>
      </c>
      <c r="EI37" s="88">
        <f t="shared" si="48"/>
        <v>0</v>
      </c>
      <c r="EJ37" s="88"/>
      <c r="EK37" s="122">
        <f t="shared" si="49"/>
        <v>0</v>
      </c>
      <c r="EL37" s="122">
        <f t="shared" si="50"/>
        <v>0</v>
      </c>
      <c r="EM37" s="122">
        <f t="shared" si="51"/>
        <v>0</v>
      </c>
      <c r="EN37" s="88">
        <f t="shared" si="52"/>
        <v>0</v>
      </c>
      <c r="EP37" s="87"/>
    </row>
    <row r="38" spans="1:146" x14ac:dyDescent="0.25">
      <c r="A38" s="35">
        <f t="shared" si="53"/>
        <v>44375</v>
      </c>
      <c r="B38" s="87">
        <v>0</v>
      </c>
      <c r="D38" s="87">
        <f t="shared" si="2"/>
        <v>0</v>
      </c>
      <c r="G38" s="87">
        <f t="shared" si="3"/>
        <v>0</v>
      </c>
      <c r="J38" s="87">
        <f t="shared" si="4"/>
        <v>0</v>
      </c>
      <c r="M38" s="87">
        <f t="shared" si="5"/>
        <v>0</v>
      </c>
      <c r="P38" s="87">
        <f t="shared" si="6"/>
        <v>0</v>
      </c>
      <c r="S38" s="87">
        <f t="shared" si="7"/>
        <v>0</v>
      </c>
      <c r="V38" s="87">
        <f t="shared" si="8"/>
        <v>0</v>
      </c>
      <c r="Y38" s="87">
        <f t="shared" si="9"/>
        <v>0</v>
      </c>
      <c r="AB38" s="87">
        <f t="shared" si="10"/>
        <v>0</v>
      </c>
      <c r="AE38" s="87">
        <v>0</v>
      </c>
      <c r="AH38" s="87">
        <v>0</v>
      </c>
      <c r="AI38" s="120">
        <f>15400000</f>
        <v>15400000</v>
      </c>
      <c r="AJ38" s="121">
        <v>1.6999999999999999E-3</v>
      </c>
      <c r="AK38" s="87">
        <f t="shared" si="11"/>
        <v>72.722222222222229</v>
      </c>
      <c r="AL38" s="120"/>
      <c r="AM38" s="121"/>
      <c r="AN38" s="87">
        <f t="shared" si="12"/>
        <v>0</v>
      </c>
      <c r="AO38" s="120"/>
      <c r="AP38" s="121"/>
      <c r="AQ38" s="87">
        <f t="shared" si="13"/>
        <v>0</v>
      </c>
      <c r="AR38" s="120"/>
      <c r="AS38" s="121"/>
      <c r="AT38" s="87">
        <f t="shared" si="14"/>
        <v>0</v>
      </c>
      <c r="AU38" s="120"/>
      <c r="AV38" s="121"/>
      <c r="AW38" s="87">
        <f t="shared" si="15"/>
        <v>0</v>
      </c>
      <c r="AX38" s="120"/>
      <c r="AY38" s="121"/>
      <c r="AZ38" s="87">
        <f t="shared" si="16"/>
        <v>0</v>
      </c>
      <c r="BC38" s="87">
        <f t="shared" si="17"/>
        <v>0</v>
      </c>
      <c r="BF38" s="87">
        <f t="shared" si="18"/>
        <v>0</v>
      </c>
      <c r="BI38" s="87">
        <f t="shared" si="19"/>
        <v>0</v>
      </c>
      <c r="BL38" s="87">
        <f t="shared" si="20"/>
        <v>0</v>
      </c>
      <c r="BO38" s="87">
        <f t="shared" si="21"/>
        <v>0</v>
      </c>
      <c r="BR38" s="87">
        <f t="shared" si="22"/>
        <v>0</v>
      </c>
      <c r="BU38" s="87">
        <f t="shared" si="23"/>
        <v>0</v>
      </c>
      <c r="BX38" s="87">
        <f t="shared" si="24"/>
        <v>0</v>
      </c>
      <c r="CA38" s="87">
        <f t="shared" si="25"/>
        <v>0</v>
      </c>
      <c r="CD38" s="87">
        <f t="shared" si="26"/>
        <v>0</v>
      </c>
      <c r="CG38" s="87">
        <f t="shared" si="27"/>
        <v>0</v>
      </c>
      <c r="CJ38" s="87">
        <f t="shared" si="28"/>
        <v>0</v>
      </c>
      <c r="CM38" s="87">
        <f t="shared" si="29"/>
        <v>0</v>
      </c>
      <c r="CP38" s="87">
        <f t="shared" si="30"/>
        <v>0</v>
      </c>
      <c r="CS38" s="87">
        <f t="shared" si="31"/>
        <v>0</v>
      </c>
      <c r="CV38" s="87">
        <f t="shared" si="32"/>
        <v>0</v>
      </c>
      <c r="CY38" s="87">
        <f t="shared" si="33"/>
        <v>0</v>
      </c>
      <c r="DB38" s="87">
        <f t="shared" si="34"/>
        <v>0</v>
      </c>
      <c r="DE38" s="87">
        <f t="shared" si="35"/>
        <v>0</v>
      </c>
      <c r="DH38" s="87">
        <f t="shared" si="36"/>
        <v>0</v>
      </c>
      <c r="DK38" s="87">
        <f t="shared" si="37"/>
        <v>0</v>
      </c>
      <c r="DN38" s="87">
        <f t="shared" si="38"/>
        <v>0</v>
      </c>
      <c r="DQ38" s="87">
        <f t="shared" si="39"/>
        <v>0</v>
      </c>
      <c r="DT38" s="87">
        <f t="shared" si="40"/>
        <v>0</v>
      </c>
      <c r="DW38" s="87">
        <f t="shared" si="41"/>
        <v>0</v>
      </c>
      <c r="DZ38" s="87"/>
      <c r="EA38" s="87"/>
      <c r="EB38" s="122">
        <f t="shared" si="42"/>
        <v>15400000</v>
      </c>
      <c r="EC38" s="122">
        <f t="shared" si="43"/>
        <v>0</v>
      </c>
      <c r="ED38" s="87">
        <f t="shared" si="44"/>
        <v>72.722222222222229</v>
      </c>
      <c r="EE38" s="88">
        <f t="shared" si="45"/>
        <v>1.7000000000000001E-3</v>
      </c>
      <c r="EG38" s="122">
        <f t="shared" si="46"/>
        <v>0</v>
      </c>
      <c r="EH38" s="87">
        <f t="shared" si="47"/>
        <v>0</v>
      </c>
      <c r="EI38" s="88">
        <f t="shared" si="48"/>
        <v>0</v>
      </c>
      <c r="EJ38" s="88"/>
      <c r="EK38" s="122">
        <f t="shared" si="49"/>
        <v>15400000</v>
      </c>
      <c r="EL38" s="122">
        <f t="shared" si="50"/>
        <v>0</v>
      </c>
      <c r="EM38" s="122">
        <f t="shared" si="51"/>
        <v>72.722222222222229</v>
      </c>
      <c r="EN38" s="88">
        <f t="shared" si="52"/>
        <v>1.7000000000000001E-3</v>
      </c>
      <c r="EP38" s="87"/>
    </row>
    <row r="39" spans="1:146" x14ac:dyDescent="0.25">
      <c r="A39" s="35">
        <f t="shared" si="53"/>
        <v>44376</v>
      </c>
      <c r="B39" s="87">
        <v>0</v>
      </c>
      <c r="D39" s="87">
        <f t="shared" si="2"/>
        <v>0</v>
      </c>
      <c r="G39" s="87">
        <f t="shared" si="3"/>
        <v>0</v>
      </c>
      <c r="J39" s="87">
        <f t="shared" si="4"/>
        <v>0</v>
      </c>
      <c r="M39" s="87">
        <f t="shared" si="5"/>
        <v>0</v>
      </c>
      <c r="P39" s="87">
        <f t="shared" si="6"/>
        <v>0</v>
      </c>
      <c r="S39" s="87">
        <f t="shared" si="7"/>
        <v>0</v>
      </c>
      <c r="V39" s="87">
        <f t="shared" si="8"/>
        <v>0</v>
      </c>
      <c r="Y39" s="87">
        <f t="shared" si="9"/>
        <v>0</v>
      </c>
      <c r="AB39" s="87">
        <f t="shared" si="10"/>
        <v>0</v>
      </c>
      <c r="AE39" s="87">
        <v>0</v>
      </c>
      <c r="AH39" s="87">
        <v>0</v>
      </c>
      <c r="AI39" s="120"/>
      <c r="AJ39" s="121"/>
      <c r="AK39" s="87">
        <f t="shared" si="11"/>
        <v>0</v>
      </c>
      <c r="AL39" s="120"/>
      <c r="AM39" s="121"/>
      <c r="AN39" s="87">
        <f t="shared" si="12"/>
        <v>0</v>
      </c>
      <c r="AO39" s="120"/>
      <c r="AP39" s="121"/>
      <c r="AQ39" s="87">
        <f t="shared" si="13"/>
        <v>0</v>
      </c>
      <c r="AR39" s="120"/>
      <c r="AS39" s="121"/>
      <c r="AT39" s="87">
        <f t="shared" si="14"/>
        <v>0</v>
      </c>
      <c r="AU39" s="120"/>
      <c r="AV39" s="121"/>
      <c r="AW39" s="87">
        <f t="shared" si="15"/>
        <v>0</v>
      </c>
      <c r="AX39" s="120"/>
      <c r="AY39" s="121"/>
      <c r="AZ39" s="87">
        <f t="shared" si="16"/>
        <v>0</v>
      </c>
      <c r="BC39" s="87">
        <f t="shared" si="17"/>
        <v>0</v>
      </c>
      <c r="BF39" s="87">
        <f t="shared" si="18"/>
        <v>0</v>
      </c>
      <c r="BI39" s="87">
        <f t="shared" si="19"/>
        <v>0</v>
      </c>
      <c r="BL39" s="87">
        <f t="shared" si="20"/>
        <v>0</v>
      </c>
      <c r="BO39" s="87">
        <f t="shared" si="21"/>
        <v>0</v>
      </c>
      <c r="BR39" s="87">
        <f t="shared" si="22"/>
        <v>0</v>
      </c>
      <c r="BU39" s="87">
        <f t="shared" si="23"/>
        <v>0</v>
      </c>
      <c r="BX39" s="87">
        <f t="shared" si="24"/>
        <v>0</v>
      </c>
      <c r="CA39" s="87">
        <f t="shared" si="25"/>
        <v>0</v>
      </c>
      <c r="CD39" s="87">
        <f t="shared" si="26"/>
        <v>0</v>
      </c>
      <c r="CG39" s="87">
        <f t="shared" si="27"/>
        <v>0</v>
      </c>
      <c r="CJ39" s="87">
        <f t="shared" si="28"/>
        <v>0</v>
      </c>
      <c r="CM39" s="87">
        <f t="shared" si="29"/>
        <v>0</v>
      </c>
      <c r="CP39" s="87">
        <f t="shared" si="30"/>
        <v>0</v>
      </c>
      <c r="CS39" s="87">
        <f t="shared" si="31"/>
        <v>0</v>
      </c>
      <c r="CV39" s="87">
        <f t="shared" si="32"/>
        <v>0</v>
      </c>
      <c r="CY39" s="87">
        <f t="shared" si="33"/>
        <v>0</v>
      </c>
      <c r="DB39" s="87">
        <f t="shared" si="34"/>
        <v>0</v>
      </c>
      <c r="DE39" s="87">
        <f t="shared" si="35"/>
        <v>0</v>
      </c>
      <c r="DH39" s="87">
        <f t="shared" si="36"/>
        <v>0</v>
      </c>
      <c r="DK39" s="87">
        <f t="shared" si="37"/>
        <v>0</v>
      </c>
      <c r="DN39" s="87">
        <f t="shared" si="38"/>
        <v>0</v>
      </c>
      <c r="DQ39" s="87">
        <f t="shared" si="39"/>
        <v>0</v>
      </c>
      <c r="DT39" s="87">
        <f t="shared" si="40"/>
        <v>0</v>
      </c>
      <c r="DW39" s="87">
        <f t="shared" si="41"/>
        <v>0</v>
      </c>
      <c r="DZ39" s="87"/>
      <c r="EA39" s="87"/>
      <c r="EB39" s="122">
        <f t="shared" si="42"/>
        <v>0</v>
      </c>
      <c r="EC39" s="122">
        <f t="shared" si="43"/>
        <v>0</v>
      </c>
      <c r="ED39" s="87">
        <f t="shared" si="44"/>
        <v>0</v>
      </c>
      <c r="EE39" s="88">
        <f t="shared" si="45"/>
        <v>0</v>
      </c>
      <c r="EG39" s="122">
        <f t="shared" si="46"/>
        <v>0</v>
      </c>
      <c r="EH39" s="87">
        <f t="shared" si="47"/>
        <v>0</v>
      </c>
      <c r="EI39" s="88">
        <f t="shared" si="48"/>
        <v>0</v>
      </c>
      <c r="EJ39" s="88"/>
      <c r="EK39" s="122">
        <f t="shared" si="49"/>
        <v>0</v>
      </c>
      <c r="EL39" s="122">
        <f t="shared" si="50"/>
        <v>0</v>
      </c>
      <c r="EM39" s="122">
        <f t="shared" si="51"/>
        <v>0</v>
      </c>
      <c r="EN39" s="88">
        <f t="shared" si="52"/>
        <v>0</v>
      </c>
      <c r="EP39" s="87"/>
    </row>
    <row r="40" spans="1:146" x14ac:dyDescent="0.25">
      <c r="A40" s="35">
        <f t="shared" si="53"/>
        <v>44377</v>
      </c>
      <c r="B40" s="87">
        <v>0</v>
      </c>
      <c r="D40" s="87">
        <f t="shared" si="2"/>
        <v>0</v>
      </c>
      <c r="G40" s="87">
        <f t="shared" si="3"/>
        <v>0</v>
      </c>
      <c r="J40" s="87">
        <f t="shared" si="4"/>
        <v>0</v>
      </c>
      <c r="M40" s="87">
        <f t="shared" si="5"/>
        <v>0</v>
      </c>
      <c r="P40" s="87">
        <f t="shared" si="6"/>
        <v>0</v>
      </c>
      <c r="S40" s="87">
        <f t="shared" si="7"/>
        <v>0</v>
      </c>
      <c r="V40" s="87">
        <f t="shared" si="8"/>
        <v>0</v>
      </c>
      <c r="Y40" s="87">
        <f t="shared" si="9"/>
        <v>0</v>
      </c>
      <c r="AB40" s="87">
        <f t="shared" si="10"/>
        <v>0</v>
      </c>
      <c r="AE40" s="87">
        <v>0</v>
      </c>
      <c r="AH40" s="87">
        <v>0</v>
      </c>
      <c r="AI40" s="120"/>
      <c r="AJ40" s="121"/>
      <c r="AK40" s="87">
        <f t="shared" si="11"/>
        <v>0</v>
      </c>
      <c r="AL40" s="120"/>
      <c r="AM40" s="121"/>
      <c r="AN40" s="87">
        <f t="shared" si="12"/>
        <v>0</v>
      </c>
      <c r="AO40" s="120"/>
      <c r="AP40" s="121"/>
      <c r="AQ40" s="87">
        <f t="shared" si="13"/>
        <v>0</v>
      </c>
      <c r="AR40" s="120"/>
      <c r="AS40" s="121"/>
      <c r="AT40" s="87">
        <f t="shared" si="14"/>
        <v>0</v>
      </c>
      <c r="AU40" s="120"/>
      <c r="AV40" s="121"/>
      <c r="AW40" s="87">
        <f t="shared" si="15"/>
        <v>0</v>
      </c>
      <c r="AX40" s="120"/>
      <c r="AY40" s="121"/>
      <c r="AZ40" s="87">
        <f t="shared" si="16"/>
        <v>0</v>
      </c>
      <c r="BC40" s="87">
        <f t="shared" si="17"/>
        <v>0</v>
      </c>
      <c r="BF40" s="87">
        <f t="shared" si="18"/>
        <v>0</v>
      </c>
      <c r="BI40" s="87">
        <f t="shared" si="19"/>
        <v>0</v>
      </c>
      <c r="BL40" s="87">
        <f t="shared" si="20"/>
        <v>0</v>
      </c>
      <c r="BO40" s="87">
        <f t="shared" si="21"/>
        <v>0</v>
      </c>
      <c r="BR40" s="87">
        <f t="shared" si="22"/>
        <v>0</v>
      </c>
      <c r="BU40" s="87">
        <f t="shared" si="23"/>
        <v>0</v>
      </c>
      <c r="BX40" s="87">
        <f t="shared" si="24"/>
        <v>0</v>
      </c>
      <c r="CA40" s="87">
        <f t="shared" si="25"/>
        <v>0</v>
      </c>
      <c r="CD40" s="87">
        <f t="shared" si="26"/>
        <v>0</v>
      </c>
      <c r="CG40" s="87">
        <f t="shared" si="27"/>
        <v>0</v>
      </c>
      <c r="CJ40" s="87">
        <f t="shared" si="28"/>
        <v>0</v>
      </c>
      <c r="CM40" s="87">
        <f t="shared" si="29"/>
        <v>0</v>
      </c>
      <c r="CP40" s="87">
        <f t="shared" si="30"/>
        <v>0</v>
      </c>
      <c r="CS40" s="87">
        <f t="shared" si="31"/>
        <v>0</v>
      </c>
      <c r="CV40" s="87">
        <f t="shared" si="32"/>
        <v>0</v>
      </c>
      <c r="CY40" s="87">
        <f t="shared" si="33"/>
        <v>0</v>
      </c>
      <c r="DB40" s="87">
        <f t="shared" si="34"/>
        <v>0</v>
      </c>
      <c r="DE40" s="87">
        <f t="shared" si="35"/>
        <v>0</v>
      </c>
      <c r="DH40" s="87">
        <f t="shared" si="36"/>
        <v>0</v>
      </c>
      <c r="DK40" s="87">
        <f t="shared" si="37"/>
        <v>0</v>
      </c>
      <c r="DN40" s="87">
        <f t="shared" si="38"/>
        <v>0</v>
      </c>
      <c r="DQ40" s="87">
        <f t="shared" si="39"/>
        <v>0</v>
      </c>
      <c r="DT40" s="87">
        <f t="shared" si="40"/>
        <v>0</v>
      </c>
      <c r="DW40" s="87">
        <f t="shared" si="41"/>
        <v>0</v>
      </c>
      <c r="DZ40" s="85"/>
      <c r="EA40" s="87"/>
      <c r="EB40" s="122">
        <f t="shared" si="42"/>
        <v>0</v>
      </c>
      <c r="EC40" s="122">
        <f t="shared" si="43"/>
        <v>0</v>
      </c>
      <c r="ED40" s="87">
        <f t="shared" si="44"/>
        <v>0</v>
      </c>
      <c r="EE40" s="88">
        <f t="shared" si="45"/>
        <v>0</v>
      </c>
      <c r="EG40" s="122">
        <f t="shared" si="46"/>
        <v>0</v>
      </c>
      <c r="EH40" s="87">
        <f t="shared" si="47"/>
        <v>0</v>
      </c>
      <c r="EI40" s="88">
        <f t="shared" si="48"/>
        <v>0</v>
      </c>
      <c r="EJ40" s="88"/>
      <c r="EK40" s="122">
        <f t="shared" si="49"/>
        <v>0</v>
      </c>
      <c r="EL40" s="122">
        <f t="shared" si="50"/>
        <v>0</v>
      </c>
      <c r="EM40" s="122">
        <f t="shared" si="51"/>
        <v>0</v>
      </c>
      <c r="EN40" s="88">
        <f t="shared" si="52"/>
        <v>0</v>
      </c>
      <c r="EP40" s="87"/>
    </row>
    <row r="41" spans="1:146" x14ac:dyDescent="0.25">
      <c r="A41" s="123" t="s">
        <v>76</v>
      </c>
      <c r="D41" s="124">
        <f>SUM(D11:D40)</f>
        <v>0</v>
      </c>
      <c r="G41" s="124">
        <f>SUM(G11:G40)</f>
        <v>0</v>
      </c>
      <c r="J41" s="124">
        <f>SUM(J11:J40)</f>
        <v>0</v>
      </c>
      <c r="M41" s="124">
        <f>SUM(M11:M40)</f>
        <v>0</v>
      </c>
      <c r="P41" s="124">
        <f>SUM(P11:P40)</f>
        <v>0</v>
      </c>
      <c r="S41" s="124">
        <f>SUM(S11:S40)</f>
        <v>0</v>
      </c>
      <c r="V41" s="124">
        <f>SUM(V11:V40)</f>
        <v>0</v>
      </c>
      <c r="Y41" s="124">
        <f>SUM(Y11:Y40)</f>
        <v>0</v>
      </c>
      <c r="AB41" s="124">
        <f>SUM(AB11:AB40)</f>
        <v>0</v>
      </c>
      <c r="AE41" s="124">
        <f>SUM(AE11:AE40)</f>
        <v>0</v>
      </c>
      <c r="AH41" s="124">
        <f>SUM(AH11:AH40)</f>
        <v>0</v>
      </c>
      <c r="AK41" s="124">
        <f>SUM(AK11:AK40)</f>
        <v>7726.8055555555557</v>
      </c>
      <c r="AN41" s="124">
        <f>SUM(AN11:AN40)</f>
        <v>20235.590277777777</v>
      </c>
      <c r="AQ41" s="124">
        <f>SUM(AQ11:AQ40)</f>
        <v>9444.4444444444489</v>
      </c>
      <c r="AT41" s="124">
        <f>SUM(AT11:AT40)</f>
        <v>6831.9930555555547</v>
      </c>
      <c r="AW41" s="124">
        <f>SUM(AW11:AW40)</f>
        <v>3000</v>
      </c>
      <c r="AZ41" s="124">
        <f>SUM(AZ11:AZ40)</f>
        <v>2094.7777777777778</v>
      </c>
      <c r="BC41" s="124">
        <f>SUM(BC11:BC40)</f>
        <v>0</v>
      </c>
      <c r="BF41" s="124">
        <f>SUM(BF11:BF40)</f>
        <v>0</v>
      </c>
      <c r="BI41" s="124">
        <f>SUM(BI11:BI40)</f>
        <v>0</v>
      </c>
      <c r="BL41" s="124">
        <f>SUM(BL11:BL40)</f>
        <v>0</v>
      </c>
      <c r="BO41" s="124">
        <f>SUM(BO11:BO40)</f>
        <v>0</v>
      </c>
      <c r="BR41" s="124">
        <f>SUM(BR11:BR40)</f>
        <v>0</v>
      </c>
      <c r="BU41" s="124">
        <f>SUM(BU11:BU40)</f>
        <v>0</v>
      </c>
      <c r="BX41" s="124">
        <f>SUM(BX11:BX40)</f>
        <v>0</v>
      </c>
      <c r="CA41" s="124">
        <f>SUM(CA11:CA40)</f>
        <v>0</v>
      </c>
      <c r="CD41" s="124">
        <f>SUM(CD11:CD40)</f>
        <v>0</v>
      </c>
      <c r="CG41" s="124">
        <f>SUM(CG11:CG40)</f>
        <v>0</v>
      </c>
      <c r="CJ41" s="124">
        <f>SUM(CJ11:CJ40)</f>
        <v>0</v>
      </c>
      <c r="CM41" s="124">
        <f>SUM(CM11:CM40)</f>
        <v>0</v>
      </c>
      <c r="CP41" s="124">
        <f>SUM(CP11:CP40)</f>
        <v>0</v>
      </c>
      <c r="CS41" s="124">
        <f>SUM(CS11:CS40)</f>
        <v>0</v>
      </c>
      <c r="CV41" s="124">
        <f>SUM(CV11:CV40)</f>
        <v>0</v>
      </c>
      <c r="CY41" s="124">
        <f>SUM(CY11:CY40)</f>
        <v>0</v>
      </c>
      <c r="DB41" s="124">
        <f>SUM(DB11:DB40)</f>
        <v>0</v>
      </c>
      <c r="DE41" s="124">
        <f>SUM(DE11:DE40)</f>
        <v>0</v>
      </c>
      <c r="DH41" s="124">
        <f>SUM(DH11:DH40)</f>
        <v>0</v>
      </c>
      <c r="DK41" s="124">
        <f>SUM(DK11:DK40)</f>
        <v>0</v>
      </c>
      <c r="DN41" s="124">
        <f>SUM(DN11:DN40)</f>
        <v>0</v>
      </c>
      <c r="DQ41" s="124">
        <f>SUM(DQ11:DQ40)</f>
        <v>0</v>
      </c>
      <c r="DT41" s="124">
        <f>SUM(DT11:DT40)</f>
        <v>0</v>
      </c>
      <c r="DW41" s="124">
        <f>SUM(DW11:DW40)</f>
        <v>0</v>
      </c>
      <c r="DZ41" s="85"/>
      <c r="EA41" s="85"/>
      <c r="EB41" s="87"/>
      <c r="EC41" s="87"/>
      <c r="ED41" s="124">
        <f>SUM(ED11:ED40)</f>
        <v>49333.611111111109</v>
      </c>
      <c r="EE41" s="88"/>
      <c r="EG41" s="87"/>
      <c r="EH41" s="124">
        <f>SUM(EH11:EH40)</f>
        <v>0</v>
      </c>
      <c r="EI41" s="88"/>
      <c r="EJ41" s="88"/>
      <c r="EK41" s="87"/>
      <c r="EL41" s="87"/>
      <c r="EM41" s="124">
        <f>SUM(EM11:EM40)</f>
        <v>49333.611111111109</v>
      </c>
      <c r="EN41" s="88"/>
    </row>
    <row r="43" spans="1:146" x14ac:dyDescent="0.25">
      <c r="EM43" s="125"/>
    </row>
    <row r="45" spans="1:146" x14ac:dyDescent="0.25">
      <c r="EM45" s="87"/>
    </row>
    <row r="47" spans="1:146" x14ac:dyDescent="0.25">
      <c r="EM47" s="8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8"/>
  <sheetViews>
    <sheetView workbookViewId="0">
      <selection activeCell="G6" sqref="G6"/>
    </sheetView>
  </sheetViews>
  <sheetFormatPr defaultRowHeight="15" x14ac:dyDescent="0.25"/>
  <cols>
    <col min="1" max="1" width="14.5703125" bestFit="1" customWidth="1"/>
    <col min="2" max="2" width="15.5703125" style="87" bestFit="1" customWidth="1"/>
    <col min="3" max="3" width="15.42578125" style="88" bestFit="1" customWidth="1"/>
    <col min="4" max="4" width="15.42578125" bestFit="1" customWidth="1"/>
    <col min="5" max="5" width="15.5703125" style="87" bestFit="1" customWidth="1"/>
    <col min="6" max="6" width="12.2851562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customWidth="1"/>
    <col min="48" max="48" width="10.28515625" style="88" customWidth="1"/>
    <col min="49" max="49" width="10.7109375" customWidth="1"/>
    <col min="50" max="50" width="14.42578125" style="87" customWidth="1"/>
    <col min="51" max="51" width="10.28515625" style="88" customWidth="1"/>
    <col min="52" max="52" width="10.7109375" customWidth="1"/>
    <col min="53" max="53" width="14.42578125" style="87" customWidth="1"/>
    <col min="54" max="54" width="10.28515625" style="88" customWidth="1"/>
    <col min="55" max="55" width="10.7109375" customWidth="1"/>
    <col min="56" max="56" width="14.42578125" style="87" customWidth="1"/>
    <col min="57" max="57" width="10.28515625" style="88" customWidth="1"/>
    <col min="58" max="58" width="10.7109375" customWidth="1"/>
    <col min="59" max="59" width="14.42578125" style="87" customWidth="1"/>
    <col min="60" max="60" width="10.28515625" style="88" customWidth="1"/>
    <col min="61" max="61" width="10.7109375" customWidth="1"/>
    <col min="62" max="62" width="14.42578125" style="87" customWidth="1"/>
    <col min="63" max="63" width="10.28515625" style="88" customWidth="1"/>
    <col min="64" max="64" width="10.7109375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EB41</f>
        <v>0</v>
      </c>
      <c r="EI2" s="85">
        <f>EG40</f>
        <v>0</v>
      </c>
      <c r="EM2" s="85"/>
      <c r="EN2" s="85">
        <f>EK41</f>
        <v>0</v>
      </c>
      <c r="EO2" s="78">
        <v>0</v>
      </c>
      <c r="EP2" s="78">
        <f>EN2+EO2</f>
        <v>0</v>
      </c>
      <c r="EQ2" s="78">
        <f>EE2+EO2</f>
        <v>0</v>
      </c>
    </row>
    <row r="3" spans="1:147" ht="16.5" thickTop="1" x14ac:dyDescent="0.25">
      <c r="A3" s="86" t="s">
        <v>201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AVERAGE(EB11:EB41)</f>
        <v>1019354.8387096775</v>
      </c>
      <c r="EI3" s="85">
        <f>AVERAGE(EG11:EG40)</f>
        <v>0</v>
      </c>
      <c r="EM3" s="85"/>
      <c r="EN3" s="85">
        <f>AVERAGE(EK11:EK41)</f>
        <v>829838.70967741939</v>
      </c>
    </row>
    <row r="4" spans="1:147" x14ac:dyDescent="0.25">
      <c r="D4" s="33"/>
      <c r="E4" s="95" t="s">
        <v>102</v>
      </c>
      <c r="F4" s="85"/>
      <c r="G4" s="96">
        <f>EQ2</f>
        <v>0</v>
      </c>
      <c r="AI4" s="97" t="s">
        <v>106</v>
      </c>
      <c r="EB4" s="33" t="s">
        <v>107</v>
      </c>
      <c r="EC4" s="33"/>
      <c r="ED4" s="93"/>
      <c r="EE4" s="93">
        <f>IF(EE3=0,0,360*(AVERAGE(ED11:ED41)/EE3))</f>
        <v>1.3954905063291142E-3</v>
      </c>
      <c r="EI4" s="93">
        <f>IF(EI3=0,0,360*(AVERAGE(EH11:EH40)/EI3))</f>
        <v>0</v>
      </c>
      <c r="EM4" s="93"/>
      <c r="EN4" s="93">
        <f>IF(EN3=0,0,360*(AVERAGE(EM11:EM41)/EN3))</f>
        <v>1.6000000000000003E-3</v>
      </c>
      <c r="EO4" s="98" t="s">
        <v>108</v>
      </c>
      <c r="EQ4" s="99" t="s">
        <v>106</v>
      </c>
    </row>
    <row r="5" spans="1:147" ht="15.75" x14ac:dyDescent="0.25">
      <c r="D5" s="33"/>
      <c r="E5" s="95" t="s">
        <v>105</v>
      </c>
      <c r="F5" s="85"/>
      <c r="G5" s="96">
        <f>EE3</f>
        <v>1019354.8387096775</v>
      </c>
      <c r="AI5" s="100" t="s">
        <v>97</v>
      </c>
      <c r="EB5" s="101" t="s">
        <v>109</v>
      </c>
      <c r="EC5" s="101"/>
      <c r="ED5" s="85"/>
      <c r="EE5" s="85">
        <f>MAX(EB11:EB41)</f>
        <v>13275000</v>
      </c>
      <c r="EI5" s="85">
        <f>MAX(EG11:EG40)</f>
        <v>0</v>
      </c>
      <c r="EM5" s="85"/>
      <c r="EN5" s="85">
        <f>MAX(EK11:EK41)</f>
        <v>13275000</v>
      </c>
    </row>
    <row r="6" spans="1:147" x14ac:dyDescent="0.25">
      <c r="D6" s="33"/>
      <c r="E6" s="95" t="s">
        <v>107</v>
      </c>
      <c r="F6" s="85"/>
      <c r="G6" s="102">
        <f>EE4</f>
        <v>1.3954905063291142E-3</v>
      </c>
    </row>
    <row r="7" spans="1:147" ht="16.5" thickBot="1" x14ac:dyDescent="0.3">
      <c r="D7" s="33"/>
      <c r="E7" s="103" t="s">
        <v>109</v>
      </c>
      <c r="F7" s="104"/>
      <c r="G7" s="105">
        <f>EE5</f>
        <v>13275000</v>
      </c>
      <c r="AI7" s="100" t="s">
        <v>97</v>
      </c>
      <c r="EB7" s="106" t="s">
        <v>110</v>
      </c>
      <c r="EC7" s="106"/>
      <c r="ED7" s="107"/>
      <c r="EE7" s="107"/>
      <c r="EG7" s="106" t="s">
        <v>111</v>
      </c>
      <c r="EH7" s="107"/>
      <c r="EI7" s="107"/>
      <c r="EJ7" s="108"/>
      <c r="EK7" s="106" t="s">
        <v>112</v>
      </c>
      <c r="EL7" s="106"/>
      <c r="EM7" s="107"/>
      <c r="EN7" s="107"/>
    </row>
    <row r="8" spans="1:147" ht="15.75" thickTop="1" x14ac:dyDescent="0.25">
      <c r="AI8" s="109" t="s">
        <v>113</v>
      </c>
      <c r="AL8" s="109" t="s">
        <v>113</v>
      </c>
      <c r="AO8" s="109" t="s">
        <v>113</v>
      </c>
      <c r="AR8" s="109" t="s">
        <v>113</v>
      </c>
      <c r="AU8" s="109" t="s">
        <v>113</v>
      </c>
      <c r="AX8" s="109" t="s">
        <v>113</v>
      </c>
      <c r="BA8" s="109" t="s">
        <v>113</v>
      </c>
      <c r="BD8" s="109" t="s">
        <v>113</v>
      </c>
      <c r="BG8" s="109" t="s">
        <v>113</v>
      </c>
      <c r="BJ8" s="109" t="s">
        <v>113</v>
      </c>
      <c r="BM8" s="109" t="s">
        <v>113</v>
      </c>
      <c r="BP8" s="109" t="s">
        <v>113</v>
      </c>
      <c r="BS8" s="109" t="s">
        <v>113</v>
      </c>
      <c r="BV8" s="109" t="s">
        <v>113</v>
      </c>
      <c r="BY8" s="109" t="s">
        <v>113</v>
      </c>
      <c r="CB8" s="109" t="s">
        <v>113</v>
      </c>
      <c r="CE8" s="109" t="s">
        <v>113</v>
      </c>
      <c r="CH8" s="109" t="s">
        <v>113</v>
      </c>
      <c r="CK8" s="109" t="s">
        <v>113</v>
      </c>
      <c r="CN8" s="109" t="s">
        <v>113</v>
      </c>
      <c r="CQ8" s="109" t="s">
        <v>113</v>
      </c>
      <c r="CT8" s="109" t="s">
        <v>113</v>
      </c>
      <c r="CW8" s="109" t="s">
        <v>113</v>
      </c>
      <c r="CZ8" s="109" t="s">
        <v>113</v>
      </c>
      <c r="DC8" s="109" t="s">
        <v>113</v>
      </c>
      <c r="DF8" s="109" t="s">
        <v>113</v>
      </c>
      <c r="DI8" s="109" t="s">
        <v>113</v>
      </c>
      <c r="DL8" s="109" t="s">
        <v>113</v>
      </c>
      <c r="DO8" s="109" t="s">
        <v>113</v>
      </c>
      <c r="DR8" s="109" t="s">
        <v>113</v>
      </c>
      <c r="EB8" s="110"/>
      <c r="EC8" s="110"/>
      <c r="ED8" s="110"/>
      <c r="EE8" s="110" t="s">
        <v>114</v>
      </c>
      <c r="EG8" s="110"/>
      <c r="EH8" s="111" t="s">
        <v>96</v>
      </c>
      <c r="EI8" s="110" t="s">
        <v>114</v>
      </c>
      <c r="EJ8" s="110"/>
      <c r="EK8" s="99" t="s">
        <v>115</v>
      </c>
      <c r="EL8" s="99" t="s">
        <v>116</v>
      </c>
      <c r="EM8" s="111" t="s">
        <v>117</v>
      </c>
      <c r="EN8" s="110" t="s">
        <v>114</v>
      </c>
    </row>
    <row r="9" spans="1:147" x14ac:dyDescent="0.25">
      <c r="B9" s="112" t="s">
        <v>118</v>
      </c>
      <c r="C9" s="113"/>
      <c r="D9" s="107"/>
      <c r="E9" s="112" t="s">
        <v>119</v>
      </c>
      <c r="F9" s="113"/>
      <c r="G9" s="107"/>
      <c r="H9" s="112" t="s">
        <v>120</v>
      </c>
      <c r="I9" s="113"/>
      <c r="J9" s="107"/>
      <c r="K9" s="112" t="s">
        <v>121</v>
      </c>
      <c r="L9" s="113"/>
      <c r="M9" s="107"/>
      <c r="N9" s="112" t="s">
        <v>122</v>
      </c>
      <c r="O9" s="113"/>
      <c r="P9" s="107"/>
      <c r="Q9" s="112" t="s">
        <v>123</v>
      </c>
      <c r="R9" s="113"/>
      <c r="S9" s="107"/>
      <c r="T9" s="112" t="s">
        <v>124</v>
      </c>
      <c r="U9" s="113"/>
      <c r="V9" s="107"/>
      <c r="W9" s="112" t="s">
        <v>125</v>
      </c>
      <c r="X9" s="113"/>
      <c r="Y9" s="107"/>
      <c r="Z9" s="112" t="s">
        <v>126</v>
      </c>
      <c r="AA9" s="113"/>
      <c r="AB9" s="107"/>
      <c r="AC9" s="114" t="s">
        <v>127</v>
      </c>
      <c r="AD9" s="113"/>
      <c r="AE9" s="107"/>
      <c r="AF9" s="114" t="s">
        <v>128</v>
      </c>
      <c r="AG9" s="113"/>
      <c r="AH9" s="107"/>
      <c r="AI9" s="112" t="s">
        <v>129</v>
      </c>
      <c r="AJ9" s="113"/>
      <c r="AK9" s="107"/>
      <c r="AL9" s="112" t="s">
        <v>130</v>
      </c>
      <c r="AM9" s="113"/>
      <c r="AN9" s="107"/>
      <c r="AO9" s="112" t="s">
        <v>131</v>
      </c>
      <c r="AP9" s="113"/>
      <c r="AQ9" s="107"/>
      <c r="AR9" s="112" t="s">
        <v>132</v>
      </c>
      <c r="AS9" s="113"/>
      <c r="AT9" s="107"/>
      <c r="AU9" s="112" t="s">
        <v>133</v>
      </c>
      <c r="AV9" s="113"/>
      <c r="AW9" s="107"/>
      <c r="AX9" s="112" t="s">
        <v>134</v>
      </c>
      <c r="AY9" s="113"/>
      <c r="AZ9" s="107"/>
      <c r="BA9" s="112" t="s">
        <v>135</v>
      </c>
      <c r="BB9" s="113"/>
      <c r="BC9" s="107"/>
      <c r="BD9" s="112" t="s">
        <v>136</v>
      </c>
      <c r="BE9" s="113"/>
      <c r="BF9" s="107"/>
      <c r="BG9" s="112" t="s">
        <v>137</v>
      </c>
      <c r="BH9" s="113"/>
      <c r="BI9" s="107"/>
      <c r="BJ9" s="112" t="s">
        <v>138</v>
      </c>
      <c r="BK9" s="113"/>
      <c r="BL9" s="107"/>
      <c r="BM9" s="112" t="s">
        <v>139</v>
      </c>
      <c r="BN9" s="113"/>
      <c r="BO9" s="107"/>
      <c r="BP9" s="112" t="s">
        <v>140</v>
      </c>
      <c r="BQ9" s="113"/>
      <c r="BR9" s="107"/>
      <c r="BS9" s="112" t="s">
        <v>141</v>
      </c>
      <c r="BT9" s="113"/>
      <c r="BU9" s="107"/>
      <c r="BV9" s="112" t="s">
        <v>142</v>
      </c>
      <c r="BW9" s="113"/>
      <c r="BX9" s="107"/>
      <c r="BY9" s="112" t="s">
        <v>143</v>
      </c>
      <c r="BZ9" s="113"/>
      <c r="CA9" s="107"/>
      <c r="CB9" s="112" t="s">
        <v>144</v>
      </c>
      <c r="CC9" s="113"/>
      <c r="CD9" s="107"/>
      <c r="CE9" s="112" t="s">
        <v>145</v>
      </c>
      <c r="CF9" s="113"/>
      <c r="CG9" s="107"/>
      <c r="CH9" s="112" t="s">
        <v>146</v>
      </c>
      <c r="CI9" s="113"/>
      <c r="CJ9" s="107"/>
      <c r="CK9" s="112" t="s">
        <v>147</v>
      </c>
      <c r="CL9" s="113"/>
      <c r="CM9" s="107"/>
      <c r="CN9" s="112" t="s">
        <v>148</v>
      </c>
      <c r="CO9" s="113"/>
      <c r="CP9" s="107"/>
      <c r="CQ9" s="112" t="s">
        <v>149</v>
      </c>
      <c r="CR9" s="113"/>
      <c r="CS9" s="107"/>
      <c r="CT9" s="112" t="s">
        <v>150</v>
      </c>
      <c r="CU9" s="113"/>
      <c r="CV9" s="107"/>
      <c r="CW9" s="112" t="s">
        <v>151</v>
      </c>
      <c r="CX9" s="113"/>
      <c r="CY9" s="107"/>
      <c r="CZ9" s="112" t="s">
        <v>152</v>
      </c>
      <c r="DA9" s="113"/>
      <c r="DB9" s="107"/>
      <c r="DC9" s="112" t="s">
        <v>153</v>
      </c>
      <c r="DD9" s="113"/>
      <c r="DE9" s="107"/>
      <c r="DF9" s="112" t="s">
        <v>154</v>
      </c>
      <c r="DG9" s="113"/>
      <c r="DH9" s="107"/>
      <c r="DI9" s="112" t="s">
        <v>155</v>
      </c>
      <c r="DJ9" s="113"/>
      <c r="DK9" s="107"/>
      <c r="DL9" s="112" t="s">
        <v>156</v>
      </c>
      <c r="DM9" s="113"/>
      <c r="DN9" s="107"/>
      <c r="DO9" s="112" t="s">
        <v>157</v>
      </c>
      <c r="DP9" s="113"/>
      <c r="DQ9" s="107"/>
      <c r="DR9" s="112" t="s">
        <v>158</v>
      </c>
      <c r="DS9" s="113"/>
      <c r="DT9" s="107"/>
      <c r="DU9" s="112" t="s">
        <v>159</v>
      </c>
      <c r="DV9" s="113"/>
      <c r="DW9" s="107"/>
      <c r="DX9" s="115" t="s">
        <v>160</v>
      </c>
      <c r="DY9" s="113"/>
      <c r="DZ9" s="107"/>
      <c r="EA9" s="108"/>
      <c r="EB9" s="99" t="s">
        <v>161</v>
      </c>
      <c r="EC9" s="99" t="s">
        <v>162</v>
      </c>
      <c r="ED9" s="110" t="s">
        <v>163</v>
      </c>
      <c r="EE9" s="110" t="s">
        <v>164</v>
      </c>
      <c r="EG9" s="111" t="s">
        <v>165</v>
      </c>
      <c r="EH9" s="110" t="s">
        <v>163</v>
      </c>
      <c r="EI9" s="110" t="s">
        <v>164</v>
      </c>
      <c r="EJ9" s="110"/>
      <c r="EK9" s="111" t="s">
        <v>117</v>
      </c>
      <c r="EL9" s="111" t="s">
        <v>117</v>
      </c>
      <c r="EM9" s="110" t="s">
        <v>163</v>
      </c>
      <c r="EN9" s="110" t="s">
        <v>164</v>
      </c>
    </row>
    <row r="10" spans="1:147" x14ac:dyDescent="0.25">
      <c r="A10" s="110" t="s">
        <v>166</v>
      </c>
      <c r="B10" s="116" t="s">
        <v>167</v>
      </c>
      <c r="C10" s="117" t="s">
        <v>168</v>
      </c>
      <c r="D10" s="118" t="s">
        <v>19</v>
      </c>
      <c r="E10" s="116" t="s">
        <v>167</v>
      </c>
      <c r="F10" s="117" t="s">
        <v>168</v>
      </c>
      <c r="G10" s="118" t="s">
        <v>19</v>
      </c>
      <c r="H10" s="116" t="s">
        <v>167</v>
      </c>
      <c r="I10" s="117" t="s">
        <v>168</v>
      </c>
      <c r="J10" s="118" t="s">
        <v>19</v>
      </c>
      <c r="K10" s="116" t="s">
        <v>167</v>
      </c>
      <c r="L10" s="117" t="s">
        <v>168</v>
      </c>
      <c r="M10" s="118" t="s">
        <v>19</v>
      </c>
      <c r="N10" s="116" t="s">
        <v>167</v>
      </c>
      <c r="O10" s="117" t="s">
        <v>168</v>
      </c>
      <c r="P10" s="118" t="s">
        <v>19</v>
      </c>
      <c r="Q10" s="116" t="s">
        <v>167</v>
      </c>
      <c r="R10" s="117" t="s">
        <v>168</v>
      </c>
      <c r="S10" s="118" t="s">
        <v>19</v>
      </c>
      <c r="T10" s="116" t="s">
        <v>167</v>
      </c>
      <c r="U10" s="117" t="s">
        <v>168</v>
      </c>
      <c r="V10" s="118" t="s">
        <v>19</v>
      </c>
      <c r="W10" s="116" t="s">
        <v>167</v>
      </c>
      <c r="X10" s="117" t="s">
        <v>168</v>
      </c>
      <c r="Y10" s="118" t="s">
        <v>19</v>
      </c>
      <c r="Z10" s="116" t="s">
        <v>167</v>
      </c>
      <c r="AA10" s="117" t="s">
        <v>168</v>
      </c>
      <c r="AB10" s="118" t="s">
        <v>19</v>
      </c>
      <c r="AC10" s="116" t="s">
        <v>167</v>
      </c>
      <c r="AD10" s="117" t="s">
        <v>168</v>
      </c>
      <c r="AE10" s="118" t="s">
        <v>19</v>
      </c>
      <c r="AF10" s="116" t="s">
        <v>167</v>
      </c>
      <c r="AG10" s="117" t="s">
        <v>168</v>
      </c>
      <c r="AH10" s="118" t="s">
        <v>19</v>
      </c>
      <c r="AI10" s="116" t="s">
        <v>167</v>
      </c>
      <c r="AJ10" s="117" t="s">
        <v>168</v>
      </c>
      <c r="AK10" s="118" t="s">
        <v>19</v>
      </c>
      <c r="AL10" s="116" t="s">
        <v>167</v>
      </c>
      <c r="AM10" s="117" t="s">
        <v>168</v>
      </c>
      <c r="AN10" s="118" t="s">
        <v>19</v>
      </c>
      <c r="AO10" s="116" t="s">
        <v>167</v>
      </c>
      <c r="AP10" s="117" t="s">
        <v>168</v>
      </c>
      <c r="AQ10" s="118" t="s">
        <v>19</v>
      </c>
      <c r="AR10" s="116" t="s">
        <v>167</v>
      </c>
      <c r="AS10" s="117" t="s">
        <v>168</v>
      </c>
      <c r="AT10" s="118" t="s">
        <v>19</v>
      </c>
      <c r="AU10" s="116" t="s">
        <v>167</v>
      </c>
      <c r="AV10" s="117" t="s">
        <v>168</v>
      </c>
      <c r="AW10" s="118" t="s">
        <v>19</v>
      </c>
      <c r="AX10" s="116" t="s">
        <v>167</v>
      </c>
      <c r="AY10" s="117" t="s">
        <v>168</v>
      </c>
      <c r="AZ10" s="118" t="s">
        <v>19</v>
      </c>
      <c r="BA10" s="116" t="s">
        <v>167</v>
      </c>
      <c r="BB10" s="117" t="s">
        <v>168</v>
      </c>
      <c r="BC10" s="118" t="s">
        <v>19</v>
      </c>
      <c r="BD10" s="116" t="s">
        <v>167</v>
      </c>
      <c r="BE10" s="117" t="s">
        <v>168</v>
      </c>
      <c r="BF10" s="118" t="s">
        <v>19</v>
      </c>
      <c r="BG10" s="116" t="s">
        <v>167</v>
      </c>
      <c r="BH10" s="117" t="s">
        <v>168</v>
      </c>
      <c r="BI10" s="118" t="s">
        <v>19</v>
      </c>
      <c r="BJ10" s="116" t="s">
        <v>167</v>
      </c>
      <c r="BK10" s="117" t="s">
        <v>168</v>
      </c>
      <c r="BL10" s="118" t="s">
        <v>19</v>
      </c>
      <c r="BM10" s="116" t="s">
        <v>167</v>
      </c>
      <c r="BN10" s="117" t="s">
        <v>168</v>
      </c>
      <c r="BO10" s="118" t="s">
        <v>19</v>
      </c>
      <c r="BP10" s="116" t="s">
        <v>167</v>
      </c>
      <c r="BQ10" s="117" t="s">
        <v>168</v>
      </c>
      <c r="BR10" s="118" t="s">
        <v>19</v>
      </c>
      <c r="BS10" s="116" t="s">
        <v>167</v>
      </c>
      <c r="BT10" s="117" t="s">
        <v>168</v>
      </c>
      <c r="BU10" s="118" t="s">
        <v>19</v>
      </c>
      <c r="BV10" s="116" t="s">
        <v>167</v>
      </c>
      <c r="BW10" s="117" t="s">
        <v>168</v>
      </c>
      <c r="BX10" s="118" t="s">
        <v>19</v>
      </c>
      <c r="BY10" s="116" t="s">
        <v>167</v>
      </c>
      <c r="BZ10" s="117" t="s">
        <v>168</v>
      </c>
      <c r="CA10" s="118" t="s">
        <v>19</v>
      </c>
      <c r="CB10" s="116" t="s">
        <v>167</v>
      </c>
      <c r="CC10" s="117" t="s">
        <v>168</v>
      </c>
      <c r="CD10" s="118" t="s">
        <v>19</v>
      </c>
      <c r="CE10" s="116" t="s">
        <v>167</v>
      </c>
      <c r="CF10" s="117" t="s">
        <v>168</v>
      </c>
      <c r="CG10" s="118" t="s">
        <v>19</v>
      </c>
      <c r="CH10" s="116" t="s">
        <v>167</v>
      </c>
      <c r="CI10" s="117" t="s">
        <v>168</v>
      </c>
      <c r="CJ10" s="118" t="s">
        <v>19</v>
      </c>
      <c r="CK10" s="116" t="s">
        <v>167</v>
      </c>
      <c r="CL10" s="117" t="s">
        <v>168</v>
      </c>
      <c r="CM10" s="118" t="s">
        <v>19</v>
      </c>
      <c r="CN10" s="116" t="s">
        <v>167</v>
      </c>
      <c r="CO10" s="117" t="s">
        <v>168</v>
      </c>
      <c r="CP10" s="118" t="s">
        <v>19</v>
      </c>
      <c r="CQ10" s="116" t="s">
        <v>167</v>
      </c>
      <c r="CR10" s="117" t="s">
        <v>168</v>
      </c>
      <c r="CS10" s="118" t="s">
        <v>19</v>
      </c>
      <c r="CT10" s="116" t="s">
        <v>167</v>
      </c>
      <c r="CU10" s="117" t="s">
        <v>168</v>
      </c>
      <c r="CV10" s="118" t="s">
        <v>19</v>
      </c>
      <c r="CW10" s="116" t="s">
        <v>167</v>
      </c>
      <c r="CX10" s="117" t="s">
        <v>168</v>
      </c>
      <c r="CY10" s="118" t="s">
        <v>19</v>
      </c>
      <c r="CZ10" s="116" t="s">
        <v>167</v>
      </c>
      <c r="DA10" s="117" t="s">
        <v>168</v>
      </c>
      <c r="DB10" s="118" t="s">
        <v>19</v>
      </c>
      <c r="DC10" s="116" t="s">
        <v>167</v>
      </c>
      <c r="DD10" s="117" t="s">
        <v>168</v>
      </c>
      <c r="DE10" s="118" t="s">
        <v>19</v>
      </c>
      <c r="DF10" s="116" t="s">
        <v>167</v>
      </c>
      <c r="DG10" s="117" t="s">
        <v>168</v>
      </c>
      <c r="DH10" s="118" t="s">
        <v>19</v>
      </c>
      <c r="DI10" s="116" t="s">
        <v>167</v>
      </c>
      <c r="DJ10" s="117" t="s">
        <v>168</v>
      </c>
      <c r="DK10" s="118" t="s">
        <v>19</v>
      </c>
      <c r="DL10" s="116" t="s">
        <v>167</v>
      </c>
      <c r="DM10" s="117" t="s">
        <v>168</v>
      </c>
      <c r="DN10" s="118" t="s">
        <v>19</v>
      </c>
      <c r="DO10" s="116" t="s">
        <v>167</v>
      </c>
      <c r="DP10" s="117" t="s">
        <v>168</v>
      </c>
      <c r="DQ10" s="118" t="s">
        <v>19</v>
      </c>
      <c r="DR10" s="116" t="s">
        <v>167</v>
      </c>
      <c r="DS10" s="117" t="s">
        <v>168</v>
      </c>
      <c r="DT10" s="118" t="s">
        <v>19</v>
      </c>
      <c r="DU10" s="116" t="s">
        <v>167</v>
      </c>
      <c r="DV10" s="117" t="s">
        <v>168</v>
      </c>
      <c r="DW10" s="118" t="s">
        <v>19</v>
      </c>
      <c r="DX10" s="116" t="s">
        <v>167</v>
      </c>
      <c r="DY10" s="117"/>
      <c r="DZ10" s="118"/>
      <c r="EA10" s="118"/>
      <c r="EB10" s="118" t="s">
        <v>169</v>
      </c>
      <c r="EC10" s="118" t="s">
        <v>169</v>
      </c>
      <c r="ED10" s="118" t="s">
        <v>19</v>
      </c>
      <c r="EE10" s="119" t="s">
        <v>168</v>
      </c>
      <c r="EG10" s="118" t="s">
        <v>169</v>
      </c>
      <c r="EH10" s="118" t="s">
        <v>19</v>
      </c>
      <c r="EI10" s="119" t="s">
        <v>168</v>
      </c>
      <c r="EJ10" s="119"/>
      <c r="EK10" s="118" t="s">
        <v>169</v>
      </c>
      <c r="EL10" s="118" t="s">
        <v>169</v>
      </c>
      <c r="EM10" s="118" t="s">
        <v>19</v>
      </c>
      <c r="EN10" s="119" t="s">
        <v>168</v>
      </c>
    </row>
    <row r="11" spans="1:147" x14ac:dyDescent="0.25">
      <c r="A11" s="35">
        <v>44378</v>
      </c>
      <c r="B11" s="87">
        <v>0</v>
      </c>
      <c r="D11" s="87">
        <f>(B11*C11)/360</f>
        <v>0</v>
      </c>
      <c r="G11" s="87">
        <f>(E11*F11)/360</f>
        <v>0</v>
      </c>
      <c r="J11" s="87">
        <f>(H11*I11)/360</f>
        <v>0</v>
      </c>
      <c r="M11" s="87">
        <f>(K11*L11)/360</f>
        <v>0</v>
      </c>
      <c r="P11" s="87">
        <f>(N11*O11)/360</f>
        <v>0</v>
      </c>
      <c r="S11" s="87">
        <f>(Q11*R11)/360</f>
        <v>0</v>
      </c>
      <c r="V11" s="87">
        <f>(T11*U11)/360</f>
        <v>0</v>
      </c>
      <c r="Y11" s="87">
        <f>(W11*X11)/360</f>
        <v>0</v>
      </c>
      <c r="AB11" s="87">
        <f>(Z11*AA11)/360</f>
        <v>0</v>
      </c>
      <c r="AE11" s="87">
        <v>0</v>
      </c>
      <c r="AH11" s="87">
        <v>0</v>
      </c>
      <c r="AI11" s="120"/>
      <c r="AJ11" s="121"/>
      <c r="AK11" s="87">
        <f>(AI11*AJ11)/360</f>
        <v>0</v>
      </c>
      <c r="AL11" s="120"/>
      <c r="AM11" s="121"/>
      <c r="AN11" s="87">
        <f>(AL11*AM11)/360</f>
        <v>0</v>
      </c>
      <c r="AO11" s="120"/>
      <c r="AP11" s="121"/>
      <c r="AQ11" s="87">
        <f>(AO11*AP11)/360</f>
        <v>0</v>
      </c>
      <c r="AR11" s="120"/>
      <c r="AS11" s="121"/>
      <c r="AT11" s="87">
        <f>(AR11*AS11)/360</f>
        <v>0</v>
      </c>
      <c r="AW11" s="87">
        <f>(AU11*AV11)/360</f>
        <v>0</v>
      </c>
      <c r="AZ11" s="87">
        <f>(AX11*AY11)/360</f>
        <v>0</v>
      </c>
      <c r="BC11" s="87">
        <f>(BA11*BB11)/360</f>
        <v>0</v>
      </c>
      <c r="BF11" s="87">
        <f>(BD11*BE11)/360</f>
        <v>0</v>
      </c>
      <c r="BI11" s="87">
        <f>(BG11*BH11)/360</f>
        <v>0</v>
      </c>
      <c r="BL11" s="87">
        <f>(BJ11*BK11)/360</f>
        <v>0</v>
      </c>
      <c r="BO11" s="87">
        <f>(BM11*BN11)/360</f>
        <v>0</v>
      </c>
      <c r="BR11" s="87">
        <f>(BP11*BQ11)/360</f>
        <v>0</v>
      </c>
      <c r="BU11" s="87">
        <f>(BS11*BT11)/360</f>
        <v>0</v>
      </c>
      <c r="BX11" s="87">
        <f>(BV11*BW11)/360</f>
        <v>0</v>
      </c>
      <c r="CA11" s="87">
        <f>(BY11*BZ11)/360</f>
        <v>0</v>
      </c>
      <c r="CD11" s="87">
        <f>(CB11*CC11)/360</f>
        <v>0</v>
      </c>
      <c r="CG11" s="87">
        <f>(CE11*CF11)/360</f>
        <v>0</v>
      </c>
      <c r="CJ11" s="87">
        <f>(CH11*CI11)/360</f>
        <v>0</v>
      </c>
      <c r="CM11" s="87">
        <f>(CK11*CL11)/360</f>
        <v>0</v>
      </c>
      <c r="CP11" s="87">
        <f>(CN11*CO11)/360</f>
        <v>0</v>
      </c>
      <c r="CS11" s="87">
        <f>(CQ11*CR11)/360</f>
        <v>0</v>
      </c>
      <c r="CV11" s="87">
        <f>(CT11*CU11)/360</f>
        <v>0</v>
      </c>
      <c r="CY11" s="87">
        <f>(CW11*CX11)/360</f>
        <v>0</v>
      </c>
      <c r="DB11" s="87">
        <f>(CZ11*DA11)/360</f>
        <v>0</v>
      </c>
      <c r="DE11" s="87">
        <f>(DC11*DD11)/360</f>
        <v>0</v>
      </c>
      <c r="DH11" s="87">
        <f>(DF11*DG11)/360</f>
        <v>0</v>
      </c>
      <c r="DK11" s="87">
        <f>(DI11*DJ11)/360</f>
        <v>0</v>
      </c>
      <c r="DN11" s="87">
        <f>(DL11*DM11)/360</f>
        <v>0</v>
      </c>
      <c r="DQ11" s="87">
        <f>(DO11*DP11)/360</f>
        <v>0</v>
      </c>
      <c r="DT11" s="87">
        <f>(DR11*DS11)/360</f>
        <v>0</v>
      </c>
      <c r="DW11" s="87">
        <f>(DU11*DV11)/360</f>
        <v>0</v>
      </c>
      <c r="DZ11" s="87"/>
      <c r="EA11" s="87"/>
      <c r="EB11" s="122">
        <f>B11+E11+H11+K11+N11+Q11+T11+W11+Z11+AC11+AF11+AL11+AO11+AR11+AU11+AX11+BA11+BD11+BG11+DU11+AI11+DR11+DO11+DL11+DI11+DF11+DC11+CZ11+CW11+CT11+CQ11+CN11+CK11+CH11+CE11+CB11+BY11+BV11+BS11+BP11+BM11+BJ11</f>
        <v>0</v>
      </c>
      <c r="EC11" s="122">
        <f>EB11-EK11+EL11</f>
        <v>0</v>
      </c>
      <c r="ED11" s="87">
        <f>D11+G11+J11+M11+P11+S11+V11+Y11+AB11+AE11+AH11+AK11+AN11+AQ11+AT11+AW11+AZ11+BC11+BF11+BI11+DW11+DT11+DQ11+DN11+DK11+DH11+DE11+DB11+CY11+CV11+CS11+CP11+CM11+CJ11+CG11+CD11+CA11+BX11+BU11+BR11+BO11+BL11</f>
        <v>0</v>
      </c>
      <c r="EE11" s="88">
        <f>IF(EB11&lt;&gt;0,((ED11/EB11)*360),0)</f>
        <v>0</v>
      </c>
      <c r="EG11" s="122">
        <f>Q11+T11+W11+Z11+AC11+AF11</f>
        <v>0</v>
      </c>
      <c r="EH11" s="87">
        <f>S11+V11+Y11+AB11+AE11+AH11</f>
        <v>0</v>
      </c>
      <c r="EI11" s="88">
        <f>IF(EG11&lt;&gt;0,((EH11/EG11)*360),0)</f>
        <v>0</v>
      </c>
      <c r="EJ11" s="88"/>
      <c r="EK11" s="122">
        <f>DR11+DL11+DI11+DF11+DC11+CZ11+CW11+CT11+CQ11+CN11+CK11+CH11+CE11+CB11+BY11+BV11+BS11+BP11+BM11+BJ11+BG11+BD11+BA11+AX11+AU11+AR11+AO11+AL11+AI11+DO11</f>
        <v>0</v>
      </c>
      <c r="EL11" s="122">
        <f>DX11</f>
        <v>0</v>
      </c>
      <c r="EM11" s="122">
        <f>DT11+DQ11+DN11+DK11+DH11+DE11+DB11+CY11+CV11+CS11+CP11+CM11+CJ11+CG11+CD11+CA11+BX11+BU11+BR11+BO11+BL11+BI11+BF11+BC11+AZ11+AW11+AT11+AQ11+AN11+AK11</f>
        <v>0</v>
      </c>
      <c r="EN11" s="88">
        <f>IF(EK11&lt;&gt;0,((EM11/EK11)*360),0)</f>
        <v>0</v>
      </c>
      <c r="EP11" s="87"/>
    </row>
    <row r="12" spans="1:147" x14ac:dyDescent="0.25">
      <c r="A12" s="35">
        <f>1+A11</f>
        <v>44379</v>
      </c>
      <c r="B12" s="87">
        <v>0</v>
      </c>
      <c r="D12" s="87">
        <f t="shared" ref="D12:D41" si="0">(B12*C12)/360</f>
        <v>0</v>
      </c>
      <c r="G12" s="87">
        <f t="shared" ref="G12:G41" si="1">(E12*F12)/360</f>
        <v>0</v>
      </c>
      <c r="J12" s="87">
        <f t="shared" ref="J12:J41" si="2">(H12*I12)/360</f>
        <v>0</v>
      </c>
      <c r="M12" s="87">
        <f t="shared" ref="M12:M41" si="3">(K12*L12)/360</f>
        <v>0</v>
      </c>
      <c r="P12" s="87">
        <f t="shared" ref="P12:P41" si="4">(N12*O12)/360</f>
        <v>0</v>
      </c>
      <c r="S12" s="87">
        <f t="shared" ref="S12:S41" si="5">(Q12*R12)/360</f>
        <v>0</v>
      </c>
      <c r="V12" s="87">
        <f t="shared" ref="V12:V41" si="6">(T12*U12)/360</f>
        <v>0</v>
      </c>
      <c r="Y12" s="87">
        <f t="shared" ref="Y12:Y41" si="7">(W12*X12)/360</f>
        <v>0</v>
      </c>
      <c r="AB12" s="87">
        <f t="shared" ref="AB12:AB41" si="8">(Z12*AA12)/360</f>
        <v>0</v>
      </c>
      <c r="AE12" s="87">
        <v>0</v>
      </c>
      <c r="AH12" s="87">
        <v>0</v>
      </c>
      <c r="AI12" s="120"/>
      <c r="AJ12" s="121"/>
      <c r="AK12" s="87">
        <f t="shared" ref="AK12:AK41" si="9">(AI12*AJ12)/360</f>
        <v>0</v>
      </c>
      <c r="AL12" s="120"/>
      <c r="AM12" s="121"/>
      <c r="AN12" s="87">
        <f t="shared" ref="AN12:AN41" si="10">(AL12*AM12)/360</f>
        <v>0</v>
      </c>
      <c r="AO12" s="120"/>
      <c r="AP12" s="121"/>
      <c r="AQ12" s="87">
        <f t="shared" ref="AQ12:AQ41" si="11">(AO12*AP12)/360</f>
        <v>0</v>
      </c>
      <c r="AR12" s="120"/>
      <c r="AS12" s="121"/>
      <c r="AT12" s="87">
        <f t="shared" ref="AT12:AT41" si="12">(AR12*AS12)/360</f>
        <v>0</v>
      </c>
      <c r="AW12" s="87">
        <f t="shared" ref="AW12:AW41" si="13">(AU12*AV12)/360</f>
        <v>0</v>
      </c>
      <c r="AZ12" s="87">
        <f t="shared" ref="AZ12:AZ41" si="14">(AX12*AY12)/360</f>
        <v>0</v>
      </c>
      <c r="BC12" s="87">
        <f t="shared" ref="BC12:BC41" si="15">(BA12*BB12)/360</f>
        <v>0</v>
      </c>
      <c r="BF12" s="87">
        <f t="shared" ref="BF12:BF41" si="16">(BD12*BE12)/360</f>
        <v>0</v>
      </c>
      <c r="BI12" s="87">
        <f t="shared" ref="BI12:BI41" si="17">(BG12*BH12)/360</f>
        <v>0</v>
      </c>
      <c r="BL12" s="87">
        <f t="shared" ref="BL12:BL41" si="18">(BJ12*BK12)/360</f>
        <v>0</v>
      </c>
      <c r="BO12" s="87">
        <f t="shared" ref="BO12:BO41" si="19">(BM12*BN12)/360</f>
        <v>0</v>
      </c>
      <c r="BR12" s="87">
        <f t="shared" ref="BR12:BR41" si="20">(BP12*BQ12)/360</f>
        <v>0</v>
      </c>
      <c r="BU12" s="87">
        <f t="shared" ref="BU12:BU41" si="21">(BS12*BT12)/360</f>
        <v>0</v>
      </c>
      <c r="BX12" s="87">
        <f t="shared" ref="BX12:BX41" si="22">(BV12*BW12)/360</f>
        <v>0</v>
      </c>
      <c r="CA12" s="87">
        <f t="shared" ref="CA12:CA41" si="23">(BY12*BZ12)/360</f>
        <v>0</v>
      </c>
      <c r="CD12" s="87">
        <f t="shared" ref="CD12:CD41" si="24">(CB12*CC12)/360</f>
        <v>0</v>
      </c>
      <c r="CG12" s="87">
        <f t="shared" ref="CG12:CG41" si="25">(CE12*CF12)/360</f>
        <v>0</v>
      </c>
      <c r="CJ12" s="87">
        <f t="shared" ref="CJ12:CJ41" si="26">(CH12*CI12)/360</f>
        <v>0</v>
      </c>
      <c r="CM12" s="87">
        <f t="shared" ref="CM12:CM41" si="27">(CK12*CL12)/360</f>
        <v>0</v>
      </c>
      <c r="CP12" s="87">
        <f t="shared" ref="CP12:CP41" si="28">(CN12*CO12)/360</f>
        <v>0</v>
      </c>
      <c r="CS12" s="87">
        <f t="shared" ref="CS12:CS41" si="29">(CQ12*CR12)/360</f>
        <v>0</v>
      </c>
      <c r="CV12" s="87">
        <f t="shared" ref="CV12:CV41" si="30">(CT12*CU12)/360</f>
        <v>0</v>
      </c>
      <c r="CY12" s="87">
        <f t="shared" ref="CY12:CY41" si="31">(CW12*CX12)/360</f>
        <v>0</v>
      </c>
      <c r="DB12" s="87">
        <f t="shared" ref="DB12:DB41" si="32">(CZ12*DA12)/360</f>
        <v>0</v>
      </c>
      <c r="DE12" s="87">
        <f t="shared" ref="DE12:DE41" si="33">(DC12*DD12)/360</f>
        <v>0</v>
      </c>
      <c r="DH12" s="87">
        <f t="shared" ref="DH12:DH41" si="34">(DF12*DG12)/360</f>
        <v>0</v>
      </c>
      <c r="DK12" s="87">
        <f t="shared" ref="DK12:DK41" si="35">(DI12*DJ12)/360</f>
        <v>0</v>
      </c>
      <c r="DN12" s="87">
        <f t="shared" ref="DN12:DN41" si="36">(DL12*DM12)/360</f>
        <v>0</v>
      </c>
      <c r="DQ12" s="87">
        <f t="shared" ref="DQ12:DQ41" si="37">(DO12*DP12)/360</f>
        <v>0</v>
      </c>
      <c r="DT12" s="87">
        <f t="shared" ref="DT12:DT41" si="38">(DR12*DS12)/360</f>
        <v>0</v>
      </c>
      <c r="DW12" s="87">
        <f t="shared" ref="DW12:DW41" si="39">(DU12*DV12)/360</f>
        <v>0</v>
      </c>
      <c r="DZ12" s="87"/>
      <c r="EA12" s="87"/>
      <c r="EB12" s="122">
        <f t="shared" ref="EB12:EB41" si="40">B12+E12+H12+K12+N12+Q12+T12+W12+Z12+AC12+AF12+AL12+AO12+AR12+AU12+AX12+BA12+BD12+BG12+DU12+AI12+DR12+DO12+DL12+DI12+DF12+DC12+CZ12+CW12+CT12+CQ12+CN12+CK12+CH12+CE12+CB12+BY12+BV12+BS12+BP12+BM12+BJ12</f>
        <v>0</v>
      </c>
      <c r="EC12" s="122">
        <f t="shared" ref="EC12:EC41" si="41">EB12-EK12+EL12</f>
        <v>0</v>
      </c>
      <c r="ED12" s="87">
        <f t="shared" ref="ED12:ED41" si="42">D12+G12+J12+M12+P12+S12+V12+Y12+AB12+AE12+AH12+AK12+AN12+AQ12+AT12+AW12+AZ12+BC12+BF12+BI12+DW12+DT12+DQ12+DN12+DK12+DH12+DE12+DB12+CY12+CV12+CS12+CP12+CM12+CJ12+CG12+CD12+CA12+BX12+BU12+BR12+BO12+BL12</f>
        <v>0</v>
      </c>
      <c r="EE12" s="88">
        <f t="shared" ref="EE12:EE41" si="43">IF(EB12&lt;&gt;0,((ED12/EB12)*360),0)</f>
        <v>0</v>
      </c>
      <c r="EG12" s="122">
        <f t="shared" ref="EG12:EG41" si="44">Q12+T12+W12+Z12+AC12+AF12</f>
        <v>0</v>
      </c>
      <c r="EH12" s="87">
        <f t="shared" ref="EH12:EH41" si="45">S12+V12+Y12+AB12+AE12+AH12</f>
        <v>0</v>
      </c>
      <c r="EI12" s="88">
        <f t="shared" ref="EI12:EI41" si="46">IF(EG12&lt;&gt;0,((EH12/EG12)*360),0)</f>
        <v>0</v>
      </c>
      <c r="EJ12" s="88"/>
      <c r="EK12" s="122">
        <f t="shared" ref="EK12:EK41" si="47">DR12+DL12+DI12+DF12+DC12+CZ12+CW12+CT12+CQ12+CN12+CK12+CH12+CE12+CB12+BY12+BV12+BS12+BP12+BM12+BJ12+BG12+BD12+BA12+AX12+AU12+AR12+AO12+AL12+AI12+DO12</f>
        <v>0</v>
      </c>
      <c r="EL12" s="122">
        <f t="shared" ref="EL12:EL41" si="48">DX12</f>
        <v>0</v>
      </c>
      <c r="EM12" s="122">
        <f t="shared" ref="EM12:EM41" si="49">DT12+DQ12+DN12+DK12+DH12+DE12+DB12+CY12+CV12+CS12+CP12+CM12+CJ12+CG12+CD12+CA12+BX12+BU12+BR12+BO12+BL12+BI12+BF12+BC12+AZ12+AW12+AT12+AQ12+AN12+AK12</f>
        <v>0</v>
      </c>
      <c r="EN12" s="88">
        <f t="shared" ref="EN12:EN41" si="50">IF(EK12&lt;&gt;0,((EM12/EK12)*360),0)</f>
        <v>0</v>
      </c>
      <c r="EP12" s="87"/>
    </row>
    <row r="13" spans="1:147" x14ac:dyDescent="0.25">
      <c r="A13" s="35">
        <f t="shared" ref="A13:A41" si="51">1+A12</f>
        <v>44380</v>
      </c>
      <c r="B13" s="87">
        <v>0</v>
      </c>
      <c r="D13" s="87">
        <f t="shared" si="0"/>
        <v>0</v>
      </c>
      <c r="G13" s="87">
        <f t="shared" si="1"/>
        <v>0</v>
      </c>
      <c r="J13" s="87">
        <f t="shared" si="2"/>
        <v>0</v>
      </c>
      <c r="M13" s="87">
        <f t="shared" si="3"/>
        <v>0</v>
      </c>
      <c r="P13" s="87">
        <f t="shared" si="4"/>
        <v>0</v>
      </c>
      <c r="S13" s="87">
        <f t="shared" si="5"/>
        <v>0</v>
      </c>
      <c r="V13" s="87">
        <f t="shared" si="6"/>
        <v>0</v>
      </c>
      <c r="Y13" s="87">
        <f t="shared" si="7"/>
        <v>0</v>
      </c>
      <c r="AB13" s="87">
        <f t="shared" si="8"/>
        <v>0</v>
      </c>
      <c r="AE13" s="87">
        <v>0</v>
      </c>
      <c r="AH13" s="87">
        <v>0</v>
      </c>
      <c r="AI13" s="120"/>
      <c r="AJ13" s="121"/>
      <c r="AK13" s="87">
        <f t="shared" si="9"/>
        <v>0</v>
      </c>
      <c r="AL13" s="120"/>
      <c r="AM13" s="121"/>
      <c r="AN13" s="87">
        <f t="shared" si="10"/>
        <v>0</v>
      </c>
      <c r="AO13" s="120"/>
      <c r="AP13" s="121"/>
      <c r="AQ13" s="87">
        <f t="shared" si="11"/>
        <v>0</v>
      </c>
      <c r="AR13" s="120"/>
      <c r="AS13" s="121"/>
      <c r="AT13" s="87">
        <f t="shared" si="12"/>
        <v>0</v>
      </c>
      <c r="AW13" s="87">
        <f t="shared" si="13"/>
        <v>0</v>
      </c>
      <c r="AZ13" s="87">
        <f t="shared" si="14"/>
        <v>0</v>
      </c>
      <c r="BC13" s="87">
        <f t="shared" si="15"/>
        <v>0</v>
      </c>
      <c r="BF13" s="87">
        <f t="shared" si="16"/>
        <v>0</v>
      </c>
      <c r="BI13" s="87">
        <f t="shared" si="17"/>
        <v>0</v>
      </c>
      <c r="BL13" s="87">
        <f t="shared" si="18"/>
        <v>0</v>
      </c>
      <c r="BO13" s="87">
        <f t="shared" si="19"/>
        <v>0</v>
      </c>
      <c r="BR13" s="87">
        <f t="shared" si="20"/>
        <v>0</v>
      </c>
      <c r="BU13" s="87">
        <f t="shared" si="21"/>
        <v>0</v>
      </c>
      <c r="BX13" s="87">
        <f t="shared" si="22"/>
        <v>0</v>
      </c>
      <c r="CA13" s="87">
        <f t="shared" si="23"/>
        <v>0</v>
      </c>
      <c r="CD13" s="87">
        <f t="shared" si="24"/>
        <v>0</v>
      </c>
      <c r="CG13" s="87">
        <f t="shared" si="25"/>
        <v>0</v>
      </c>
      <c r="CJ13" s="87">
        <f t="shared" si="26"/>
        <v>0</v>
      </c>
      <c r="CM13" s="87">
        <f t="shared" si="27"/>
        <v>0</v>
      </c>
      <c r="CP13" s="87">
        <f t="shared" si="28"/>
        <v>0</v>
      </c>
      <c r="CS13" s="87">
        <f t="shared" si="29"/>
        <v>0</v>
      </c>
      <c r="CV13" s="87">
        <f t="shared" si="30"/>
        <v>0</v>
      </c>
      <c r="CY13" s="87">
        <f t="shared" si="31"/>
        <v>0</v>
      </c>
      <c r="DB13" s="87">
        <f t="shared" si="32"/>
        <v>0</v>
      </c>
      <c r="DE13" s="87">
        <f t="shared" si="33"/>
        <v>0</v>
      </c>
      <c r="DH13" s="87">
        <f t="shared" si="34"/>
        <v>0</v>
      </c>
      <c r="DK13" s="87">
        <f t="shared" si="35"/>
        <v>0</v>
      </c>
      <c r="DN13" s="87">
        <f t="shared" si="36"/>
        <v>0</v>
      </c>
      <c r="DQ13" s="87">
        <f t="shared" si="37"/>
        <v>0</v>
      </c>
      <c r="DT13" s="87">
        <f t="shared" si="38"/>
        <v>0</v>
      </c>
      <c r="DW13" s="87">
        <f t="shared" si="39"/>
        <v>0</v>
      </c>
      <c r="DZ13" s="87"/>
      <c r="EA13" s="87"/>
      <c r="EB13" s="122">
        <f t="shared" si="40"/>
        <v>0</v>
      </c>
      <c r="EC13" s="122">
        <f t="shared" si="41"/>
        <v>0</v>
      </c>
      <c r="ED13" s="87">
        <f t="shared" si="42"/>
        <v>0</v>
      </c>
      <c r="EE13" s="88">
        <f t="shared" si="43"/>
        <v>0</v>
      </c>
      <c r="EG13" s="122">
        <f t="shared" si="44"/>
        <v>0</v>
      </c>
      <c r="EH13" s="87">
        <f t="shared" si="45"/>
        <v>0</v>
      </c>
      <c r="EI13" s="88">
        <f t="shared" si="46"/>
        <v>0</v>
      </c>
      <c r="EJ13" s="88"/>
      <c r="EK13" s="122">
        <f t="shared" si="47"/>
        <v>0</v>
      </c>
      <c r="EL13" s="122">
        <f t="shared" si="48"/>
        <v>0</v>
      </c>
      <c r="EM13" s="122">
        <f t="shared" si="49"/>
        <v>0</v>
      </c>
      <c r="EN13" s="88">
        <f t="shared" si="50"/>
        <v>0</v>
      </c>
      <c r="EP13" s="87"/>
    </row>
    <row r="14" spans="1:147" x14ac:dyDescent="0.25">
      <c r="A14" s="35">
        <f t="shared" si="51"/>
        <v>44381</v>
      </c>
      <c r="B14" s="87">
        <v>0</v>
      </c>
      <c r="D14" s="87">
        <f t="shared" si="0"/>
        <v>0</v>
      </c>
      <c r="G14" s="87">
        <f t="shared" si="1"/>
        <v>0</v>
      </c>
      <c r="J14" s="87">
        <f t="shared" si="2"/>
        <v>0</v>
      </c>
      <c r="M14" s="87">
        <f t="shared" si="3"/>
        <v>0</v>
      </c>
      <c r="P14" s="87">
        <f t="shared" si="4"/>
        <v>0</v>
      </c>
      <c r="S14" s="87">
        <f t="shared" si="5"/>
        <v>0</v>
      </c>
      <c r="V14" s="87">
        <f t="shared" si="6"/>
        <v>0</v>
      </c>
      <c r="Y14" s="87">
        <f t="shared" si="7"/>
        <v>0</v>
      </c>
      <c r="AB14" s="87">
        <f t="shared" si="8"/>
        <v>0</v>
      </c>
      <c r="AE14" s="87">
        <v>0</v>
      </c>
      <c r="AH14" s="87">
        <v>0</v>
      </c>
      <c r="AI14" s="120"/>
      <c r="AJ14" s="121"/>
      <c r="AK14" s="87">
        <f t="shared" si="9"/>
        <v>0</v>
      </c>
      <c r="AL14" s="120"/>
      <c r="AM14" s="121"/>
      <c r="AN14" s="87">
        <f t="shared" si="10"/>
        <v>0</v>
      </c>
      <c r="AO14" s="120"/>
      <c r="AP14" s="121"/>
      <c r="AQ14" s="87">
        <f t="shared" si="11"/>
        <v>0</v>
      </c>
      <c r="AR14" s="120"/>
      <c r="AS14" s="121"/>
      <c r="AT14" s="87">
        <f t="shared" si="12"/>
        <v>0</v>
      </c>
      <c r="AW14" s="87">
        <f t="shared" si="13"/>
        <v>0</v>
      </c>
      <c r="AZ14" s="87">
        <f t="shared" si="14"/>
        <v>0</v>
      </c>
      <c r="BC14" s="87">
        <f t="shared" si="15"/>
        <v>0</v>
      </c>
      <c r="BF14" s="87">
        <f t="shared" si="16"/>
        <v>0</v>
      </c>
      <c r="BI14" s="87">
        <f t="shared" si="17"/>
        <v>0</v>
      </c>
      <c r="BL14" s="87">
        <f t="shared" si="18"/>
        <v>0</v>
      </c>
      <c r="BO14" s="87">
        <f t="shared" si="19"/>
        <v>0</v>
      </c>
      <c r="BR14" s="87">
        <f t="shared" si="20"/>
        <v>0</v>
      </c>
      <c r="BU14" s="87">
        <f t="shared" si="21"/>
        <v>0</v>
      </c>
      <c r="BX14" s="87">
        <f t="shared" si="22"/>
        <v>0</v>
      </c>
      <c r="CA14" s="87">
        <f t="shared" si="23"/>
        <v>0</v>
      </c>
      <c r="CD14" s="87">
        <f t="shared" si="24"/>
        <v>0</v>
      </c>
      <c r="CG14" s="87">
        <f t="shared" si="25"/>
        <v>0</v>
      </c>
      <c r="CJ14" s="87">
        <f t="shared" si="26"/>
        <v>0</v>
      </c>
      <c r="CM14" s="87">
        <f t="shared" si="27"/>
        <v>0</v>
      </c>
      <c r="CP14" s="87">
        <f t="shared" si="28"/>
        <v>0</v>
      </c>
      <c r="CS14" s="87">
        <f t="shared" si="29"/>
        <v>0</v>
      </c>
      <c r="CV14" s="87">
        <f t="shared" si="30"/>
        <v>0</v>
      </c>
      <c r="CY14" s="87">
        <f t="shared" si="31"/>
        <v>0</v>
      </c>
      <c r="DB14" s="87">
        <f t="shared" si="32"/>
        <v>0</v>
      </c>
      <c r="DE14" s="87">
        <f t="shared" si="33"/>
        <v>0</v>
      </c>
      <c r="DH14" s="87">
        <f t="shared" si="34"/>
        <v>0</v>
      </c>
      <c r="DK14" s="87">
        <f t="shared" si="35"/>
        <v>0</v>
      </c>
      <c r="DN14" s="87">
        <f t="shared" si="36"/>
        <v>0</v>
      </c>
      <c r="DQ14" s="87">
        <f t="shared" si="37"/>
        <v>0</v>
      </c>
      <c r="DT14" s="87">
        <f t="shared" si="38"/>
        <v>0</v>
      </c>
      <c r="DW14" s="87">
        <f t="shared" si="39"/>
        <v>0</v>
      </c>
      <c r="DZ14" s="87"/>
      <c r="EA14" s="87"/>
      <c r="EB14" s="122">
        <f t="shared" si="40"/>
        <v>0</v>
      </c>
      <c r="EC14" s="122">
        <f t="shared" si="41"/>
        <v>0</v>
      </c>
      <c r="ED14" s="87">
        <f t="shared" si="42"/>
        <v>0</v>
      </c>
      <c r="EE14" s="88">
        <f t="shared" si="43"/>
        <v>0</v>
      </c>
      <c r="EG14" s="122">
        <f t="shared" si="44"/>
        <v>0</v>
      </c>
      <c r="EH14" s="87">
        <f t="shared" si="45"/>
        <v>0</v>
      </c>
      <c r="EI14" s="88">
        <f t="shared" si="46"/>
        <v>0</v>
      </c>
      <c r="EJ14" s="88"/>
      <c r="EK14" s="122">
        <f t="shared" si="47"/>
        <v>0</v>
      </c>
      <c r="EL14" s="122">
        <f t="shared" si="48"/>
        <v>0</v>
      </c>
      <c r="EM14" s="122">
        <f t="shared" si="49"/>
        <v>0</v>
      </c>
      <c r="EN14" s="88">
        <f t="shared" si="50"/>
        <v>0</v>
      </c>
      <c r="EP14" s="87"/>
    </row>
    <row r="15" spans="1:147" x14ac:dyDescent="0.25">
      <c r="A15" s="35">
        <f t="shared" si="51"/>
        <v>44382</v>
      </c>
      <c r="B15" s="87">
        <v>0</v>
      </c>
      <c r="D15" s="87">
        <f t="shared" si="0"/>
        <v>0</v>
      </c>
      <c r="G15" s="87">
        <f t="shared" si="1"/>
        <v>0</v>
      </c>
      <c r="J15" s="87">
        <f t="shared" si="2"/>
        <v>0</v>
      </c>
      <c r="M15" s="87">
        <f t="shared" si="3"/>
        <v>0</v>
      </c>
      <c r="P15" s="87">
        <f t="shared" si="4"/>
        <v>0</v>
      </c>
      <c r="S15" s="87">
        <f t="shared" si="5"/>
        <v>0</v>
      </c>
      <c r="V15" s="87">
        <f t="shared" si="6"/>
        <v>0</v>
      </c>
      <c r="Y15" s="87">
        <f t="shared" si="7"/>
        <v>0</v>
      </c>
      <c r="AB15" s="87">
        <f t="shared" si="8"/>
        <v>0</v>
      </c>
      <c r="AE15" s="87">
        <v>0</v>
      </c>
      <c r="AH15" s="87">
        <v>0</v>
      </c>
      <c r="AI15" s="120"/>
      <c r="AJ15" s="121"/>
      <c r="AK15" s="87">
        <f t="shared" si="9"/>
        <v>0</v>
      </c>
      <c r="AL15" s="120"/>
      <c r="AM15" s="121"/>
      <c r="AN15" s="87">
        <f t="shared" si="10"/>
        <v>0</v>
      </c>
      <c r="AO15" s="120"/>
      <c r="AP15" s="121"/>
      <c r="AQ15" s="87">
        <f t="shared" si="11"/>
        <v>0</v>
      </c>
      <c r="AR15" s="120"/>
      <c r="AS15" s="121"/>
      <c r="AT15" s="87">
        <f t="shared" si="12"/>
        <v>0</v>
      </c>
      <c r="AW15" s="87">
        <f t="shared" si="13"/>
        <v>0</v>
      </c>
      <c r="AZ15" s="87">
        <f t="shared" si="14"/>
        <v>0</v>
      </c>
      <c r="BC15" s="87">
        <f t="shared" si="15"/>
        <v>0</v>
      </c>
      <c r="BF15" s="87">
        <f t="shared" si="16"/>
        <v>0</v>
      </c>
      <c r="BI15" s="87">
        <f t="shared" si="17"/>
        <v>0</v>
      </c>
      <c r="BL15" s="87">
        <f t="shared" si="18"/>
        <v>0</v>
      </c>
      <c r="BO15" s="87">
        <f t="shared" si="19"/>
        <v>0</v>
      </c>
      <c r="BR15" s="87">
        <f t="shared" si="20"/>
        <v>0</v>
      </c>
      <c r="BU15" s="87">
        <f t="shared" si="21"/>
        <v>0</v>
      </c>
      <c r="BX15" s="87">
        <f t="shared" si="22"/>
        <v>0</v>
      </c>
      <c r="CA15" s="87">
        <f t="shared" si="23"/>
        <v>0</v>
      </c>
      <c r="CD15" s="87">
        <f t="shared" si="24"/>
        <v>0</v>
      </c>
      <c r="CG15" s="87">
        <f t="shared" si="25"/>
        <v>0</v>
      </c>
      <c r="CJ15" s="87">
        <f t="shared" si="26"/>
        <v>0</v>
      </c>
      <c r="CM15" s="87">
        <f t="shared" si="27"/>
        <v>0</v>
      </c>
      <c r="CP15" s="87">
        <f t="shared" si="28"/>
        <v>0</v>
      </c>
      <c r="CS15" s="87">
        <f t="shared" si="29"/>
        <v>0</v>
      </c>
      <c r="CV15" s="87">
        <f t="shared" si="30"/>
        <v>0</v>
      </c>
      <c r="CY15" s="87">
        <f t="shared" si="31"/>
        <v>0</v>
      </c>
      <c r="DB15" s="87">
        <f t="shared" si="32"/>
        <v>0</v>
      </c>
      <c r="DE15" s="87">
        <f t="shared" si="33"/>
        <v>0</v>
      </c>
      <c r="DH15" s="87">
        <f t="shared" si="34"/>
        <v>0</v>
      </c>
      <c r="DK15" s="87">
        <f t="shared" si="35"/>
        <v>0</v>
      </c>
      <c r="DN15" s="87">
        <f t="shared" si="36"/>
        <v>0</v>
      </c>
      <c r="DQ15" s="87">
        <f t="shared" si="37"/>
        <v>0</v>
      </c>
      <c r="DT15" s="87">
        <f t="shared" si="38"/>
        <v>0</v>
      </c>
      <c r="DW15" s="87">
        <f t="shared" si="39"/>
        <v>0</v>
      </c>
      <c r="DZ15" s="87"/>
      <c r="EA15" s="87"/>
      <c r="EB15" s="122">
        <f t="shared" si="40"/>
        <v>0</v>
      </c>
      <c r="EC15" s="122">
        <f t="shared" si="41"/>
        <v>0</v>
      </c>
      <c r="ED15" s="87">
        <f t="shared" si="42"/>
        <v>0</v>
      </c>
      <c r="EE15" s="88">
        <f t="shared" si="43"/>
        <v>0</v>
      </c>
      <c r="EG15" s="122">
        <f t="shared" si="44"/>
        <v>0</v>
      </c>
      <c r="EH15" s="87">
        <f t="shared" si="45"/>
        <v>0</v>
      </c>
      <c r="EI15" s="88">
        <f t="shared" si="46"/>
        <v>0</v>
      </c>
      <c r="EJ15" s="88"/>
      <c r="EK15" s="122">
        <f t="shared" si="47"/>
        <v>0</v>
      </c>
      <c r="EL15" s="122">
        <f t="shared" si="48"/>
        <v>0</v>
      </c>
      <c r="EM15" s="122">
        <f t="shared" si="49"/>
        <v>0</v>
      </c>
      <c r="EN15" s="88">
        <f t="shared" si="50"/>
        <v>0</v>
      </c>
      <c r="EP15" s="87"/>
    </row>
    <row r="16" spans="1:147" x14ac:dyDescent="0.25">
      <c r="A16" s="35">
        <f t="shared" si="51"/>
        <v>44383</v>
      </c>
      <c r="B16" s="87">
        <v>0</v>
      </c>
      <c r="D16" s="87">
        <f t="shared" si="0"/>
        <v>0</v>
      </c>
      <c r="G16" s="87">
        <f t="shared" si="1"/>
        <v>0</v>
      </c>
      <c r="J16" s="87">
        <f t="shared" si="2"/>
        <v>0</v>
      </c>
      <c r="M16" s="87">
        <f t="shared" si="3"/>
        <v>0</v>
      </c>
      <c r="P16" s="87">
        <f t="shared" si="4"/>
        <v>0</v>
      </c>
      <c r="S16" s="87">
        <f t="shared" si="5"/>
        <v>0</v>
      </c>
      <c r="V16" s="87">
        <f t="shared" si="6"/>
        <v>0</v>
      </c>
      <c r="Y16" s="87">
        <f t="shared" si="7"/>
        <v>0</v>
      </c>
      <c r="AB16" s="87">
        <f t="shared" si="8"/>
        <v>0</v>
      </c>
      <c r="AE16" s="87">
        <v>0</v>
      </c>
      <c r="AH16" s="87">
        <v>0</v>
      </c>
      <c r="AI16" s="120"/>
      <c r="AJ16" s="121"/>
      <c r="AK16" s="87">
        <f t="shared" si="9"/>
        <v>0</v>
      </c>
      <c r="AL16" s="120"/>
      <c r="AM16" s="121"/>
      <c r="AN16" s="87">
        <f t="shared" si="10"/>
        <v>0</v>
      </c>
      <c r="AO16" s="120"/>
      <c r="AP16" s="121"/>
      <c r="AQ16" s="87">
        <f t="shared" si="11"/>
        <v>0</v>
      </c>
      <c r="AR16" s="120"/>
      <c r="AS16" s="121"/>
      <c r="AT16" s="87">
        <f t="shared" si="12"/>
        <v>0</v>
      </c>
      <c r="AW16" s="87">
        <f t="shared" si="13"/>
        <v>0</v>
      </c>
      <c r="AZ16" s="87">
        <f t="shared" si="14"/>
        <v>0</v>
      </c>
      <c r="BC16" s="87">
        <f t="shared" si="15"/>
        <v>0</v>
      </c>
      <c r="BF16" s="87">
        <f t="shared" si="16"/>
        <v>0</v>
      </c>
      <c r="BI16" s="87">
        <f t="shared" si="17"/>
        <v>0</v>
      </c>
      <c r="BL16" s="87">
        <f t="shared" si="18"/>
        <v>0</v>
      </c>
      <c r="BO16" s="87">
        <f t="shared" si="19"/>
        <v>0</v>
      </c>
      <c r="BR16" s="87">
        <f t="shared" si="20"/>
        <v>0</v>
      </c>
      <c r="BU16" s="87">
        <f t="shared" si="21"/>
        <v>0</v>
      </c>
      <c r="BX16" s="87">
        <f t="shared" si="22"/>
        <v>0</v>
      </c>
      <c r="CA16" s="87">
        <f t="shared" si="23"/>
        <v>0</v>
      </c>
      <c r="CD16" s="87">
        <f t="shared" si="24"/>
        <v>0</v>
      </c>
      <c r="CG16" s="87">
        <f t="shared" si="25"/>
        <v>0</v>
      </c>
      <c r="CJ16" s="87">
        <f t="shared" si="26"/>
        <v>0</v>
      </c>
      <c r="CM16" s="87">
        <f t="shared" si="27"/>
        <v>0</v>
      </c>
      <c r="CP16" s="87">
        <f t="shared" si="28"/>
        <v>0</v>
      </c>
      <c r="CS16" s="87">
        <f t="shared" si="29"/>
        <v>0</v>
      </c>
      <c r="CV16" s="87">
        <f t="shared" si="30"/>
        <v>0</v>
      </c>
      <c r="CY16" s="87">
        <f t="shared" si="31"/>
        <v>0</v>
      </c>
      <c r="DB16" s="87">
        <f t="shared" si="32"/>
        <v>0</v>
      </c>
      <c r="DE16" s="87">
        <f t="shared" si="33"/>
        <v>0</v>
      </c>
      <c r="DH16" s="87">
        <f t="shared" si="34"/>
        <v>0</v>
      </c>
      <c r="DK16" s="87">
        <f t="shared" si="35"/>
        <v>0</v>
      </c>
      <c r="DN16" s="87">
        <f t="shared" si="36"/>
        <v>0</v>
      </c>
      <c r="DQ16" s="87">
        <f t="shared" si="37"/>
        <v>0</v>
      </c>
      <c r="DT16" s="87">
        <f t="shared" si="38"/>
        <v>0</v>
      </c>
      <c r="DW16" s="87">
        <f t="shared" si="39"/>
        <v>0</v>
      </c>
      <c r="DZ16" s="87"/>
      <c r="EA16" s="87"/>
      <c r="EB16" s="122">
        <f t="shared" si="40"/>
        <v>0</v>
      </c>
      <c r="EC16" s="122">
        <f t="shared" si="41"/>
        <v>0</v>
      </c>
      <c r="ED16" s="87">
        <f t="shared" si="42"/>
        <v>0</v>
      </c>
      <c r="EE16" s="88">
        <f t="shared" si="43"/>
        <v>0</v>
      </c>
      <c r="EG16" s="122">
        <f t="shared" si="44"/>
        <v>0</v>
      </c>
      <c r="EH16" s="87">
        <f t="shared" si="45"/>
        <v>0</v>
      </c>
      <c r="EI16" s="88">
        <f t="shared" si="46"/>
        <v>0</v>
      </c>
      <c r="EJ16" s="88"/>
      <c r="EK16" s="122">
        <f t="shared" si="47"/>
        <v>0</v>
      </c>
      <c r="EL16" s="122">
        <f t="shared" si="48"/>
        <v>0</v>
      </c>
      <c r="EM16" s="122">
        <f t="shared" si="49"/>
        <v>0</v>
      </c>
      <c r="EN16" s="88">
        <f t="shared" si="50"/>
        <v>0</v>
      </c>
      <c r="EP16" s="87"/>
    </row>
    <row r="17" spans="1:146" x14ac:dyDescent="0.25">
      <c r="A17" s="35">
        <f t="shared" si="51"/>
        <v>44384</v>
      </c>
      <c r="B17" s="87">
        <v>0</v>
      </c>
      <c r="D17" s="87">
        <f t="shared" si="0"/>
        <v>0</v>
      </c>
      <c r="G17" s="87">
        <f t="shared" si="1"/>
        <v>0</v>
      </c>
      <c r="J17" s="87">
        <f t="shared" si="2"/>
        <v>0</v>
      </c>
      <c r="M17" s="87">
        <f t="shared" si="3"/>
        <v>0</v>
      </c>
      <c r="P17" s="87">
        <f t="shared" si="4"/>
        <v>0</v>
      </c>
      <c r="S17" s="87">
        <f t="shared" si="5"/>
        <v>0</v>
      </c>
      <c r="V17" s="87">
        <f t="shared" si="6"/>
        <v>0</v>
      </c>
      <c r="Y17" s="87">
        <f t="shared" si="7"/>
        <v>0</v>
      </c>
      <c r="AB17" s="87">
        <f t="shared" si="8"/>
        <v>0</v>
      </c>
      <c r="AE17" s="87">
        <v>0</v>
      </c>
      <c r="AH17" s="87">
        <v>0</v>
      </c>
      <c r="AI17" s="120"/>
      <c r="AJ17" s="121"/>
      <c r="AK17" s="87">
        <f t="shared" si="9"/>
        <v>0</v>
      </c>
      <c r="AL17" s="120"/>
      <c r="AM17" s="121"/>
      <c r="AN17" s="87">
        <f t="shared" si="10"/>
        <v>0</v>
      </c>
      <c r="AO17" s="120"/>
      <c r="AP17" s="121"/>
      <c r="AQ17" s="87">
        <f t="shared" si="11"/>
        <v>0</v>
      </c>
      <c r="AR17" s="120"/>
      <c r="AS17" s="121"/>
      <c r="AT17" s="87">
        <f t="shared" si="12"/>
        <v>0</v>
      </c>
      <c r="AW17" s="87">
        <f t="shared" si="13"/>
        <v>0</v>
      </c>
      <c r="AZ17" s="87">
        <f t="shared" si="14"/>
        <v>0</v>
      </c>
      <c r="BC17" s="87">
        <f t="shared" si="15"/>
        <v>0</v>
      </c>
      <c r="BF17" s="87">
        <f t="shared" si="16"/>
        <v>0</v>
      </c>
      <c r="BI17" s="87">
        <f t="shared" si="17"/>
        <v>0</v>
      </c>
      <c r="BL17" s="87">
        <f t="shared" si="18"/>
        <v>0</v>
      </c>
      <c r="BO17" s="87">
        <f t="shared" si="19"/>
        <v>0</v>
      </c>
      <c r="BR17" s="87">
        <f t="shared" si="20"/>
        <v>0</v>
      </c>
      <c r="BU17" s="87">
        <f t="shared" si="21"/>
        <v>0</v>
      </c>
      <c r="BX17" s="87">
        <f t="shared" si="22"/>
        <v>0</v>
      </c>
      <c r="CA17" s="87">
        <f t="shared" si="23"/>
        <v>0</v>
      </c>
      <c r="CD17" s="87">
        <f t="shared" si="24"/>
        <v>0</v>
      </c>
      <c r="CG17" s="87">
        <f t="shared" si="25"/>
        <v>0</v>
      </c>
      <c r="CJ17" s="87">
        <f t="shared" si="26"/>
        <v>0</v>
      </c>
      <c r="CM17" s="87">
        <f t="shared" si="27"/>
        <v>0</v>
      </c>
      <c r="CP17" s="87">
        <f t="shared" si="28"/>
        <v>0</v>
      </c>
      <c r="CS17" s="87">
        <f t="shared" si="29"/>
        <v>0</v>
      </c>
      <c r="CV17" s="87">
        <f t="shared" si="30"/>
        <v>0</v>
      </c>
      <c r="CY17" s="87">
        <f t="shared" si="31"/>
        <v>0</v>
      </c>
      <c r="DB17" s="87">
        <f t="shared" si="32"/>
        <v>0</v>
      </c>
      <c r="DE17" s="87">
        <f t="shared" si="33"/>
        <v>0</v>
      </c>
      <c r="DH17" s="87">
        <f t="shared" si="34"/>
        <v>0</v>
      </c>
      <c r="DK17" s="87">
        <f t="shared" si="35"/>
        <v>0</v>
      </c>
      <c r="DN17" s="87">
        <f t="shared" si="36"/>
        <v>0</v>
      </c>
      <c r="DQ17" s="87">
        <f t="shared" si="37"/>
        <v>0</v>
      </c>
      <c r="DT17" s="87">
        <f t="shared" si="38"/>
        <v>0</v>
      </c>
      <c r="DW17" s="87">
        <f t="shared" si="39"/>
        <v>0</v>
      </c>
      <c r="DZ17" s="87"/>
      <c r="EA17" s="87"/>
      <c r="EB17" s="122">
        <f t="shared" si="40"/>
        <v>0</v>
      </c>
      <c r="EC17" s="122">
        <f t="shared" si="41"/>
        <v>0</v>
      </c>
      <c r="ED17" s="87">
        <f t="shared" si="42"/>
        <v>0</v>
      </c>
      <c r="EE17" s="88">
        <f t="shared" si="43"/>
        <v>0</v>
      </c>
      <c r="EG17" s="122">
        <f t="shared" si="44"/>
        <v>0</v>
      </c>
      <c r="EH17" s="87">
        <f t="shared" si="45"/>
        <v>0</v>
      </c>
      <c r="EI17" s="88">
        <f t="shared" si="46"/>
        <v>0</v>
      </c>
      <c r="EJ17" s="88"/>
      <c r="EK17" s="122">
        <f t="shared" si="47"/>
        <v>0</v>
      </c>
      <c r="EL17" s="122">
        <f t="shared" si="48"/>
        <v>0</v>
      </c>
      <c r="EM17" s="122">
        <f t="shared" si="49"/>
        <v>0</v>
      </c>
      <c r="EN17" s="88">
        <f t="shared" si="50"/>
        <v>0</v>
      </c>
      <c r="EP17" s="87"/>
    </row>
    <row r="18" spans="1:146" x14ac:dyDescent="0.25">
      <c r="A18" s="35">
        <f t="shared" si="51"/>
        <v>44385</v>
      </c>
      <c r="B18" s="87">
        <v>0</v>
      </c>
      <c r="D18" s="87">
        <f t="shared" si="0"/>
        <v>0</v>
      </c>
      <c r="G18" s="87">
        <f t="shared" si="1"/>
        <v>0</v>
      </c>
      <c r="J18" s="87">
        <f t="shared" si="2"/>
        <v>0</v>
      </c>
      <c r="M18" s="87">
        <f t="shared" si="3"/>
        <v>0</v>
      </c>
      <c r="P18" s="87">
        <f t="shared" si="4"/>
        <v>0</v>
      </c>
      <c r="S18" s="87">
        <f t="shared" si="5"/>
        <v>0</v>
      </c>
      <c r="V18" s="87">
        <f t="shared" si="6"/>
        <v>0</v>
      </c>
      <c r="Y18" s="87">
        <f t="shared" si="7"/>
        <v>0</v>
      </c>
      <c r="AB18" s="87">
        <f t="shared" si="8"/>
        <v>0</v>
      </c>
      <c r="AE18" s="87">
        <v>0</v>
      </c>
      <c r="AH18" s="87">
        <v>0</v>
      </c>
      <c r="AI18" s="120"/>
      <c r="AJ18" s="121"/>
      <c r="AK18" s="87">
        <f t="shared" si="9"/>
        <v>0</v>
      </c>
      <c r="AL18" s="120"/>
      <c r="AM18" s="121"/>
      <c r="AN18" s="87">
        <f t="shared" si="10"/>
        <v>0</v>
      </c>
      <c r="AO18" s="120"/>
      <c r="AP18" s="121"/>
      <c r="AQ18" s="87">
        <f t="shared" si="11"/>
        <v>0</v>
      </c>
      <c r="AR18" s="120"/>
      <c r="AS18" s="121"/>
      <c r="AT18" s="87">
        <f t="shared" si="12"/>
        <v>0</v>
      </c>
      <c r="AW18" s="87">
        <f t="shared" si="13"/>
        <v>0</v>
      </c>
      <c r="AZ18" s="87">
        <f t="shared" si="14"/>
        <v>0</v>
      </c>
      <c r="BC18" s="87">
        <f t="shared" si="15"/>
        <v>0</v>
      </c>
      <c r="BF18" s="87">
        <f t="shared" si="16"/>
        <v>0</v>
      </c>
      <c r="BI18" s="87">
        <f t="shared" si="17"/>
        <v>0</v>
      </c>
      <c r="BL18" s="87">
        <f t="shared" si="18"/>
        <v>0</v>
      </c>
      <c r="BO18" s="87">
        <f t="shared" si="19"/>
        <v>0</v>
      </c>
      <c r="BR18" s="87">
        <f t="shared" si="20"/>
        <v>0</v>
      </c>
      <c r="BU18" s="87">
        <f t="shared" si="21"/>
        <v>0</v>
      </c>
      <c r="BX18" s="87">
        <f t="shared" si="22"/>
        <v>0</v>
      </c>
      <c r="CA18" s="87">
        <f t="shared" si="23"/>
        <v>0</v>
      </c>
      <c r="CD18" s="87">
        <f t="shared" si="24"/>
        <v>0</v>
      </c>
      <c r="CG18" s="87">
        <f t="shared" si="25"/>
        <v>0</v>
      </c>
      <c r="CJ18" s="87">
        <f t="shared" si="26"/>
        <v>0</v>
      </c>
      <c r="CM18" s="87">
        <f t="shared" si="27"/>
        <v>0</v>
      </c>
      <c r="CP18" s="87">
        <f t="shared" si="28"/>
        <v>0</v>
      </c>
      <c r="CS18" s="87">
        <f t="shared" si="29"/>
        <v>0</v>
      </c>
      <c r="CV18" s="87">
        <f t="shared" si="30"/>
        <v>0</v>
      </c>
      <c r="CY18" s="87">
        <f t="shared" si="31"/>
        <v>0</v>
      </c>
      <c r="DB18" s="87">
        <f t="shared" si="32"/>
        <v>0</v>
      </c>
      <c r="DE18" s="87">
        <f t="shared" si="33"/>
        <v>0</v>
      </c>
      <c r="DH18" s="87">
        <f t="shared" si="34"/>
        <v>0</v>
      </c>
      <c r="DK18" s="87">
        <f t="shared" si="35"/>
        <v>0</v>
      </c>
      <c r="DN18" s="87">
        <f t="shared" si="36"/>
        <v>0</v>
      </c>
      <c r="DQ18" s="87">
        <f t="shared" si="37"/>
        <v>0</v>
      </c>
      <c r="DT18" s="87">
        <f t="shared" si="38"/>
        <v>0</v>
      </c>
      <c r="DW18" s="87">
        <f t="shared" si="39"/>
        <v>0</v>
      </c>
      <c r="DZ18" s="87"/>
      <c r="EA18" s="87"/>
      <c r="EB18" s="122">
        <f t="shared" si="40"/>
        <v>0</v>
      </c>
      <c r="EC18" s="122">
        <f t="shared" si="41"/>
        <v>0</v>
      </c>
      <c r="ED18" s="87">
        <f t="shared" si="42"/>
        <v>0</v>
      </c>
      <c r="EE18" s="88">
        <f t="shared" si="43"/>
        <v>0</v>
      </c>
      <c r="EG18" s="122">
        <f t="shared" si="44"/>
        <v>0</v>
      </c>
      <c r="EH18" s="87">
        <f t="shared" si="45"/>
        <v>0</v>
      </c>
      <c r="EI18" s="88">
        <f t="shared" si="46"/>
        <v>0</v>
      </c>
      <c r="EJ18" s="88"/>
      <c r="EK18" s="122">
        <f t="shared" si="47"/>
        <v>0</v>
      </c>
      <c r="EL18" s="122">
        <f t="shared" si="48"/>
        <v>0</v>
      </c>
      <c r="EM18" s="122">
        <f t="shared" si="49"/>
        <v>0</v>
      </c>
      <c r="EN18" s="88">
        <f t="shared" si="50"/>
        <v>0</v>
      </c>
      <c r="EP18" s="87"/>
    </row>
    <row r="19" spans="1:146" x14ac:dyDescent="0.25">
      <c r="A19" s="35">
        <f t="shared" si="51"/>
        <v>44386</v>
      </c>
      <c r="B19" s="87">
        <v>0</v>
      </c>
      <c r="D19" s="87">
        <f t="shared" si="0"/>
        <v>0</v>
      </c>
      <c r="G19" s="87">
        <f t="shared" si="1"/>
        <v>0</v>
      </c>
      <c r="J19" s="87">
        <f t="shared" si="2"/>
        <v>0</v>
      </c>
      <c r="M19" s="87">
        <f t="shared" si="3"/>
        <v>0</v>
      </c>
      <c r="P19" s="87">
        <f t="shared" si="4"/>
        <v>0</v>
      </c>
      <c r="S19" s="87">
        <f t="shared" si="5"/>
        <v>0</v>
      </c>
      <c r="V19" s="87">
        <f t="shared" si="6"/>
        <v>0</v>
      </c>
      <c r="Y19" s="87">
        <f t="shared" si="7"/>
        <v>0</v>
      </c>
      <c r="AB19" s="87">
        <f t="shared" si="8"/>
        <v>0</v>
      </c>
      <c r="AE19" s="87">
        <v>0</v>
      </c>
      <c r="AH19" s="87">
        <v>0</v>
      </c>
      <c r="AI19" s="120"/>
      <c r="AJ19" s="121"/>
      <c r="AK19" s="87">
        <f t="shared" si="9"/>
        <v>0</v>
      </c>
      <c r="AL19" s="120"/>
      <c r="AM19" s="121"/>
      <c r="AN19" s="87">
        <f t="shared" si="10"/>
        <v>0</v>
      </c>
      <c r="AO19" s="120"/>
      <c r="AP19" s="121"/>
      <c r="AQ19" s="87">
        <f t="shared" si="11"/>
        <v>0</v>
      </c>
      <c r="AR19" s="120"/>
      <c r="AS19" s="121"/>
      <c r="AT19" s="87">
        <f t="shared" si="12"/>
        <v>0</v>
      </c>
      <c r="AW19" s="87">
        <f t="shared" si="13"/>
        <v>0</v>
      </c>
      <c r="AZ19" s="87">
        <f t="shared" si="14"/>
        <v>0</v>
      </c>
      <c r="BC19" s="87">
        <f t="shared" si="15"/>
        <v>0</v>
      </c>
      <c r="BF19" s="87">
        <f t="shared" si="16"/>
        <v>0</v>
      </c>
      <c r="BI19" s="87">
        <f t="shared" si="17"/>
        <v>0</v>
      </c>
      <c r="BL19" s="87">
        <f t="shared" si="18"/>
        <v>0</v>
      </c>
      <c r="BO19" s="87">
        <f t="shared" si="19"/>
        <v>0</v>
      </c>
      <c r="BR19" s="87">
        <f t="shared" si="20"/>
        <v>0</v>
      </c>
      <c r="BU19" s="87">
        <f t="shared" si="21"/>
        <v>0</v>
      </c>
      <c r="BX19" s="87">
        <f t="shared" si="22"/>
        <v>0</v>
      </c>
      <c r="CA19" s="87">
        <f t="shared" si="23"/>
        <v>0</v>
      </c>
      <c r="CD19" s="87">
        <f t="shared" si="24"/>
        <v>0</v>
      </c>
      <c r="CG19" s="87">
        <f t="shared" si="25"/>
        <v>0</v>
      </c>
      <c r="CJ19" s="87">
        <f t="shared" si="26"/>
        <v>0</v>
      </c>
      <c r="CM19" s="87">
        <f t="shared" si="27"/>
        <v>0</v>
      </c>
      <c r="CP19" s="87">
        <f t="shared" si="28"/>
        <v>0</v>
      </c>
      <c r="CS19" s="87">
        <f t="shared" si="29"/>
        <v>0</v>
      </c>
      <c r="CV19" s="87">
        <f t="shared" si="30"/>
        <v>0</v>
      </c>
      <c r="CY19" s="87">
        <f t="shared" si="31"/>
        <v>0</v>
      </c>
      <c r="DB19" s="87">
        <f t="shared" si="32"/>
        <v>0</v>
      </c>
      <c r="DE19" s="87">
        <f t="shared" si="33"/>
        <v>0</v>
      </c>
      <c r="DH19" s="87">
        <f t="shared" si="34"/>
        <v>0</v>
      </c>
      <c r="DK19" s="87">
        <f t="shared" si="35"/>
        <v>0</v>
      </c>
      <c r="DN19" s="87">
        <f t="shared" si="36"/>
        <v>0</v>
      </c>
      <c r="DQ19" s="87">
        <f t="shared" si="37"/>
        <v>0</v>
      </c>
      <c r="DT19" s="87">
        <f t="shared" si="38"/>
        <v>0</v>
      </c>
      <c r="DW19" s="87">
        <f t="shared" si="39"/>
        <v>0</v>
      </c>
      <c r="DZ19" s="87"/>
      <c r="EA19" s="87"/>
      <c r="EB19" s="122">
        <f t="shared" si="40"/>
        <v>0</v>
      </c>
      <c r="EC19" s="122">
        <f t="shared" si="41"/>
        <v>0</v>
      </c>
      <c r="ED19" s="87">
        <f t="shared" si="42"/>
        <v>0</v>
      </c>
      <c r="EE19" s="88">
        <f t="shared" si="43"/>
        <v>0</v>
      </c>
      <c r="EG19" s="122">
        <f t="shared" si="44"/>
        <v>0</v>
      </c>
      <c r="EH19" s="87">
        <f t="shared" si="45"/>
        <v>0</v>
      </c>
      <c r="EI19" s="88">
        <f t="shared" si="46"/>
        <v>0</v>
      </c>
      <c r="EJ19" s="88"/>
      <c r="EK19" s="122">
        <f t="shared" si="47"/>
        <v>0</v>
      </c>
      <c r="EL19" s="122">
        <f t="shared" si="48"/>
        <v>0</v>
      </c>
      <c r="EM19" s="122">
        <f t="shared" si="49"/>
        <v>0</v>
      </c>
      <c r="EN19" s="88">
        <f t="shared" si="50"/>
        <v>0</v>
      </c>
      <c r="EP19" s="87"/>
    </row>
    <row r="20" spans="1:146" x14ac:dyDescent="0.25">
      <c r="A20" s="35">
        <f t="shared" si="51"/>
        <v>44387</v>
      </c>
      <c r="B20" s="87">
        <v>0</v>
      </c>
      <c r="D20" s="87">
        <f t="shared" si="0"/>
        <v>0</v>
      </c>
      <c r="G20" s="87">
        <f t="shared" si="1"/>
        <v>0</v>
      </c>
      <c r="J20" s="87">
        <f t="shared" si="2"/>
        <v>0</v>
      </c>
      <c r="M20" s="87">
        <f t="shared" si="3"/>
        <v>0</v>
      </c>
      <c r="P20" s="87">
        <f t="shared" si="4"/>
        <v>0</v>
      </c>
      <c r="S20" s="87">
        <f t="shared" si="5"/>
        <v>0</v>
      </c>
      <c r="V20" s="87">
        <f t="shared" si="6"/>
        <v>0</v>
      </c>
      <c r="Y20" s="87">
        <f t="shared" si="7"/>
        <v>0</v>
      </c>
      <c r="AB20" s="87">
        <f t="shared" si="8"/>
        <v>0</v>
      </c>
      <c r="AE20" s="87">
        <v>0</v>
      </c>
      <c r="AH20" s="87">
        <v>0</v>
      </c>
      <c r="AI20" s="120"/>
      <c r="AJ20" s="121"/>
      <c r="AK20" s="87">
        <f t="shared" si="9"/>
        <v>0</v>
      </c>
      <c r="AL20" s="120"/>
      <c r="AM20" s="121"/>
      <c r="AN20" s="87">
        <f t="shared" si="10"/>
        <v>0</v>
      </c>
      <c r="AO20" s="120"/>
      <c r="AP20" s="121"/>
      <c r="AQ20" s="87">
        <f t="shared" si="11"/>
        <v>0</v>
      </c>
      <c r="AR20" s="120"/>
      <c r="AS20" s="121"/>
      <c r="AT20" s="87">
        <f t="shared" si="12"/>
        <v>0</v>
      </c>
      <c r="AW20" s="87">
        <f t="shared" si="13"/>
        <v>0</v>
      </c>
      <c r="AZ20" s="87">
        <f t="shared" si="14"/>
        <v>0</v>
      </c>
      <c r="BC20" s="87">
        <f t="shared" si="15"/>
        <v>0</v>
      </c>
      <c r="BF20" s="87">
        <f t="shared" si="16"/>
        <v>0</v>
      </c>
      <c r="BI20" s="87">
        <f t="shared" si="17"/>
        <v>0</v>
      </c>
      <c r="BL20" s="87">
        <f t="shared" si="18"/>
        <v>0</v>
      </c>
      <c r="BO20" s="87">
        <f t="shared" si="19"/>
        <v>0</v>
      </c>
      <c r="BR20" s="87">
        <f t="shared" si="20"/>
        <v>0</v>
      </c>
      <c r="BU20" s="87">
        <f t="shared" si="21"/>
        <v>0</v>
      </c>
      <c r="BX20" s="87">
        <f t="shared" si="22"/>
        <v>0</v>
      </c>
      <c r="CA20" s="87">
        <f t="shared" si="23"/>
        <v>0</v>
      </c>
      <c r="CD20" s="87">
        <f t="shared" si="24"/>
        <v>0</v>
      </c>
      <c r="CG20" s="87">
        <f t="shared" si="25"/>
        <v>0</v>
      </c>
      <c r="CJ20" s="87">
        <f t="shared" si="26"/>
        <v>0</v>
      </c>
      <c r="CM20" s="87">
        <f t="shared" si="27"/>
        <v>0</v>
      </c>
      <c r="CP20" s="87">
        <f t="shared" si="28"/>
        <v>0</v>
      </c>
      <c r="CS20" s="87">
        <f t="shared" si="29"/>
        <v>0</v>
      </c>
      <c r="CV20" s="87">
        <f t="shared" si="30"/>
        <v>0</v>
      </c>
      <c r="CY20" s="87">
        <f t="shared" si="31"/>
        <v>0</v>
      </c>
      <c r="DB20" s="87">
        <f t="shared" si="32"/>
        <v>0</v>
      </c>
      <c r="DE20" s="87">
        <f t="shared" si="33"/>
        <v>0</v>
      </c>
      <c r="DH20" s="87">
        <f t="shared" si="34"/>
        <v>0</v>
      </c>
      <c r="DK20" s="87">
        <f t="shared" si="35"/>
        <v>0</v>
      </c>
      <c r="DN20" s="87">
        <f t="shared" si="36"/>
        <v>0</v>
      </c>
      <c r="DQ20" s="87">
        <f t="shared" si="37"/>
        <v>0</v>
      </c>
      <c r="DT20" s="87">
        <f t="shared" si="38"/>
        <v>0</v>
      </c>
      <c r="DW20" s="87">
        <f t="shared" si="39"/>
        <v>0</v>
      </c>
      <c r="DZ20" s="87"/>
      <c r="EA20" s="87"/>
      <c r="EB20" s="122">
        <f t="shared" si="40"/>
        <v>0</v>
      </c>
      <c r="EC20" s="122">
        <f t="shared" si="41"/>
        <v>0</v>
      </c>
      <c r="ED20" s="87">
        <f t="shared" si="42"/>
        <v>0</v>
      </c>
      <c r="EE20" s="88">
        <f t="shared" si="43"/>
        <v>0</v>
      </c>
      <c r="EG20" s="122">
        <f t="shared" si="44"/>
        <v>0</v>
      </c>
      <c r="EH20" s="87">
        <f t="shared" si="45"/>
        <v>0</v>
      </c>
      <c r="EI20" s="88">
        <f t="shared" si="46"/>
        <v>0</v>
      </c>
      <c r="EJ20" s="88"/>
      <c r="EK20" s="122">
        <f t="shared" si="47"/>
        <v>0</v>
      </c>
      <c r="EL20" s="122">
        <f t="shared" si="48"/>
        <v>0</v>
      </c>
      <c r="EM20" s="122">
        <f t="shared" si="49"/>
        <v>0</v>
      </c>
      <c r="EN20" s="88">
        <f t="shared" si="50"/>
        <v>0</v>
      </c>
      <c r="EP20" s="87"/>
    </row>
    <row r="21" spans="1:146" x14ac:dyDescent="0.25">
      <c r="A21" s="35">
        <f t="shared" si="51"/>
        <v>44388</v>
      </c>
      <c r="B21" s="87">
        <v>0</v>
      </c>
      <c r="D21" s="87">
        <f t="shared" si="0"/>
        <v>0</v>
      </c>
      <c r="G21" s="87">
        <f t="shared" si="1"/>
        <v>0</v>
      </c>
      <c r="J21" s="87">
        <f t="shared" si="2"/>
        <v>0</v>
      </c>
      <c r="M21" s="87">
        <f t="shared" si="3"/>
        <v>0</v>
      </c>
      <c r="P21" s="87">
        <f t="shared" si="4"/>
        <v>0</v>
      </c>
      <c r="S21" s="87">
        <f t="shared" si="5"/>
        <v>0</v>
      </c>
      <c r="V21" s="87">
        <f t="shared" si="6"/>
        <v>0</v>
      </c>
      <c r="Y21" s="87">
        <f t="shared" si="7"/>
        <v>0</v>
      </c>
      <c r="AB21" s="87">
        <f t="shared" si="8"/>
        <v>0</v>
      </c>
      <c r="AE21" s="87">
        <v>0</v>
      </c>
      <c r="AH21" s="87">
        <v>0</v>
      </c>
      <c r="AI21" s="120"/>
      <c r="AJ21" s="121"/>
      <c r="AK21" s="87">
        <f t="shared" si="9"/>
        <v>0</v>
      </c>
      <c r="AL21" s="120"/>
      <c r="AM21" s="121"/>
      <c r="AN21" s="87">
        <f t="shared" si="10"/>
        <v>0</v>
      </c>
      <c r="AO21" s="120"/>
      <c r="AP21" s="121"/>
      <c r="AQ21" s="87">
        <f t="shared" si="11"/>
        <v>0</v>
      </c>
      <c r="AR21" s="120"/>
      <c r="AS21" s="121"/>
      <c r="AT21" s="87">
        <f t="shared" si="12"/>
        <v>0</v>
      </c>
      <c r="AW21" s="87">
        <f t="shared" si="13"/>
        <v>0</v>
      </c>
      <c r="AZ21" s="87">
        <f t="shared" si="14"/>
        <v>0</v>
      </c>
      <c r="BC21" s="87">
        <f t="shared" si="15"/>
        <v>0</v>
      </c>
      <c r="BF21" s="87">
        <f t="shared" si="16"/>
        <v>0</v>
      </c>
      <c r="BI21" s="87">
        <f t="shared" si="17"/>
        <v>0</v>
      </c>
      <c r="BL21" s="87">
        <f t="shared" si="18"/>
        <v>0</v>
      </c>
      <c r="BO21" s="87">
        <f t="shared" si="19"/>
        <v>0</v>
      </c>
      <c r="BR21" s="87">
        <f t="shared" si="20"/>
        <v>0</v>
      </c>
      <c r="BU21" s="87">
        <f t="shared" si="21"/>
        <v>0</v>
      </c>
      <c r="BX21" s="87">
        <f t="shared" si="22"/>
        <v>0</v>
      </c>
      <c r="CA21" s="87">
        <f t="shared" si="23"/>
        <v>0</v>
      </c>
      <c r="CD21" s="87">
        <f t="shared" si="24"/>
        <v>0</v>
      </c>
      <c r="CG21" s="87">
        <f t="shared" si="25"/>
        <v>0</v>
      </c>
      <c r="CJ21" s="87">
        <f t="shared" si="26"/>
        <v>0</v>
      </c>
      <c r="CM21" s="87">
        <f t="shared" si="27"/>
        <v>0</v>
      </c>
      <c r="CP21" s="87">
        <f t="shared" si="28"/>
        <v>0</v>
      </c>
      <c r="CS21" s="87">
        <f t="shared" si="29"/>
        <v>0</v>
      </c>
      <c r="CV21" s="87">
        <f t="shared" si="30"/>
        <v>0</v>
      </c>
      <c r="CY21" s="87">
        <f t="shared" si="31"/>
        <v>0</v>
      </c>
      <c r="DB21" s="87">
        <f t="shared" si="32"/>
        <v>0</v>
      </c>
      <c r="DE21" s="87">
        <f t="shared" si="33"/>
        <v>0</v>
      </c>
      <c r="DH21" s="87">
        <f t="shared" si="34"/>
        <v>0</v>
      </c>
      <c r="DK21" s="87">
        <f t="shared" si="35"/>
        <v>0</v>
      </c>
      <c r="DN21" s="87">
        <f t="shared" si="36"/>
        <v>0</v>
      </c>
      <c r="DQ21" s="87">
        <f t="shared" si="37"/>
        <v>0</v>
      </c>
      <c r="DT21" s="87">
        <f t="shared" si="38"/>
        <v>0</v>
      </c>
      <c r="DW21" s="87">
        <f t="shared" si="39"/>
        <v>0</v>
      </c>
      <c r="DZ21" s="87"/>
      <c r="EA21" s="87"/>
      <c r="EB21" s="122">
        <f t="shared" si="40"/>
        <v>0</v>
      </c>
      <c r="EC21" s="122">
        <f t="shared" si="41"/>
        <v>0</v>
      </c>
      <c r="ED21" s="87">
        <f t="shared" si="42"/>
        <v>0</v>
      </c>
      <c r="EE21" s="88">
        <f t="shared" si="43"/>
        <v>0</v>
      </c>
      <c r="EG21" s="122">
        <f t="shared" si="44"/>
        <v>0</v>
      </c>
      <c r="EH21" s="87">
        <f t="shared" si="45"/>
        <v>0</v>
      </c>
      <c r="EI21" s="88">
        <f t="shared" si="46"/>
        <v>0</v>
      </c>
      <c r="EJ21" s="88"/>
      <c r="EK21" s="122">
        <f t="shared" si="47"/>
        <v>0</v>
      </c>
      <c r="EL21" s="122">
        <f t="shared" si="48"/>
        <v>0</v>
      </c>
      <c r="EM21" s="122">
        <f t="shared" si="49"/>
        <v>0</v>
      </c>
      <c r="EN21" s="88">
        <f t="shared" si="50"/>
        <v>0</v>
      </c>
      <c r="EP21" s="87"/>
    </row>
    <row r="22" spans="1:146" x14ac:dyDescent="0.25">
      <c r="A22" s="35">
        <f t="shared" si="51"/>
        <v>44389</v>
      </c>
      <c r="B22" s="87">
        <v>0</v>
      </c>
      <c r="D22" s="87">
        <f t="shared" si="0"/>
        <v>0</v>
      </c>
      <c r="G22" s="87">
        <f t="shared" si="1"/>
        <v>0</v>
      </c>
      <c r="J22" s="87">
        <f t="shared" si="2"/>
        <v>0</v>
      </c>
      <c r="M22" s="87">
        <f t="shared" si="3"/>
        <v>0</v>
      </c>
      <c r="P22" s="87">
        <f t="shared" si="4"/>
        <v>0</v>
      </c>
      <c r="S22" s="87">
        <f t="shared" si="5"/>
        <v>0</v>
      </c>
      <c r="V22" s="87">
        <f t="shared" si="6"/>
        <v>0</v>
      </c>
      <c r="Y22" s="87">
        <f t="shared" si="7"/>
        <v>0</v>
      </c>
      <c r="AB22" s="87">
        <f t="shared" si="8"/>
        <v>0</v>
      </c>
      <c r="AE22" s="87">
        <v>0</v>
      </c>
      <c r="AH22" s="87">
        <v>0</v>
      </c>
      <c r="AI22" s="120"/>
      <c r="AJ22" s="121"/>
      <c r="AK22" s="87">
        <f t="shared" si="9"/>
        <v>0</v>
      </c>
      <c r="AL22" s="120"/>
      <c r="AM22" s="121"/>
      <c r="AN22" s="87">
        <f t="shared" si="10"/>
        <v>0</v>
      </c>
      <c r="AO22" s="120"/>
      <c r="AP22" s="121"/>
      <c r="AQ22" s="87">
        <f t="shared" si="11"/>
        <v>0</v>
      </c>
      <c r="AR22" s="120"/>
      <c r="AS22" s="121"/>
      <c r="AT22" s="87">
        <f t="shared" si="12"/>
        <v>0</v>
      </c>
      <c r="AW22" s="87">
        <f t="shared" si="13"/>
        <v>0</v>
      </c>
      <c r="AZ22" s="87">
        <f t="shared" si="14"/>
        <v>0</v>
      </c>
      <c r="BC22" s="87">
        <f t="shared" si="15"/>
        <v>0</v>
      </c>
      <c r="BF22" s="87">
        <f t="shared" si="16"/>
        <v>0</v>
      </c>
      <c r="BI22" s="87">
        <f t="shared" si="17"/>
        <v>0</v>
      </c>
      <c r="BL22" s="87">
        <f t="shared" si="18"/>
        <v>0</v>
      </c>
      <c r="BO22" s="87">
        <f t="shared" si="19"/>
        <v>0</v>
      </c>
      <c r="BR22" s="87">
        <f t="shared" si="20"/>
        <v>0</v>
      </c>
      <c r="BU22" s="87">
        <f t="shared" si="21"/>
        <v>0</v>
      </c>
      <c r="BX22" s="87">
        <f t="shared" si="22"/>
        <v>0</v>
      </c>
      <c r="CA22" s="87">
        <f t="shared" si="23"/>
        <v>0</v>
      </c>
      <c r="CD22" s="87">
        <f t="shared" si="24"/>
        <v>0</v>
      </c>
      <c r="CG22" s="87">
        <f t="shared" si="25"/>
        <v>0</v>
      </c>
      <c r="CJ22" s="87">
        <f t="shared" si="26"/>
        <v>0</v>
      </c>
      <c r="CM22" s="87">
        <f t="shared" si="27"/>
        <v>0</v>
      </c>
      <c r="CP22" s="87">
        <f t="shared" si="28"/>
        <v>0</v>
      </c>
      <c r="CS22" s="87">
        <f t="shared" si="29"/>
        <v>0</v>
      </c>
      <c r="CV22" s="87">
        <f t="shared" si="30"/>
        <v>0</v>
      </c>
      <c r="CY22" s="87">
        <f t="shared" si="31"/>
        <v>0</v>
      </c>
      <c r="DB22" s="87">
        <f t="shared" si="32"/>
        <v>0</v>
      </c>
      <c r="DE22" s="87">
        <f t="shared" si="33"/>
        <v>0</v>
      </c>
      <c r="DH22" s="87">
        <f t="shared" si="34"/>
        <v>0</v>
      </c>
      <c r="DK22" s="87">
        <f t="shared" si="35"/>
        <v>0</v>
      </c>
      <c r="DN22" s="87">
        <f t="shared" si="36"/>
        <v>0</v>
      </c>
      <c r="DQ22" s="87">
        <f t="shared" si="37"/>
        <v>0</v>
      </c>
      <c r="DT22" s="87">
        <f t="shared" si="38"/>
        <v>0</v>
      </c>
      <c r="DW22" s="87">
        <f t="shared" si="39"/>
        <v>0</v>
      </c>
      <c r="DZ22" s="87"/>
      <c r="EA22" s="87"/>
      <c r="EB22" s="122">
        <f t="shared" si="40"/>
        <v>0</v>
      </c>
      <c r="EC22" s="122">
        <f t="shared" si="41"/>
        <v>0</v>
      </c>
      <c r="ED22" s="87">
        <f t="shared" si="42"/>
        <v>0</v>
      </c>
      <c r="EE22" s="88">
        <f t="shared" si="43"/>
        <v>0</v>
      </c>
      <c r="EG22" s="122">
        <f t="shared" si="44"/>
        <v>0</v>
      </c>
      <c r="EH22" s="87">
        <f t="shared" si="45"/>
        <v>0</v>
      </c>
      <c r="EI22" s="88">
        <f t="shared" si="46"/>
        <v>0</v>
      </c>
      <c r="EJ22" s="88"/>
      <c r="EK22" s="122">
        <f t="shared" si="47"/>
        <v>0</v>
      </c>
      <c r="EL22" s="122">
        <f t="shared" si="48"/>
        <v>0</v>
      </c>
      <c r="EM22" s="122">
        <f t="shared" si="49"/>
        <v>0</v>
      </c>
      <c r="EN22" s="88">
        <f t="shared" si="50"/>
        <v>0</v>
      </c>
      <c r="EP22" s="87"/>
    </row>
    <row r="23" spans="1:146" x14ac:dyDescent="0.25">
      <c r="A23" s="35">
        <f t="shared" si="51"/>
        <v>44390</v>
      </c>
      <c r="B23" s="87">
        <v>0</v>
      </c>
      <c r="D23" s="87">
        <f t="shared" si="0"/>
        <v>0</v>
      </c>
      <c r="G23" s="87">
        <f t="shared" si="1"/>
        <v>0</v>
      </c>
      <c r="J23" s="87">
        <f t="shared" si="2"/>
        <v>0</v>
      </c>
      <c r="M23" s="87">
        <f t="shared" si="3"/>
        <v>0</v>
      </c>
      <c r="P23" s="87">
        <f t="shared" si="4"/>
        <v>0</v>
      </c>
      <c r="S23" s="87">
        <f t="shared" si="5"/>
        <v>0</v>
      </c>
      <c r="V23" s="87">
        <f t="shared" si="6"/>
        <v>0</v>
      </c>
      <c r="Y23" s="87">
        <f t="shared" si="7"/>
        <v>0</v>
      </c>
      <c r="AB23" s="87">
        <f t="shared" si="8"/>
        <v>0</v>
      </c>
      <c r="AE23" s="87">
        <v>0</v>
      </c>
      <c r="AH23" s="87">
        <v>0</v>
      </c>
      <c r="AI23" s="120"/>
      <c r="AJ23" s="121"/>
      <c r="AK23" s="87">
        <f t="shared" si="9"/>
        <v>0</v>
      </c>
      <c r="AL23" s="120"/>
      <c r="AM23" s="121"/>
      <c r="AN23" s="87">
        <f t="shared" si="10"/>
        <v>0</v>
      </c>
      <c r="AO23" s="120"/>
      <c r="AP23" s="121"/>
      <c r="AQ23" s="87">
        <f t="shared" si="11"/>
        <v>0</v>
      </c>
      <c r="AR23" s="120"/>
      <c r="AS23" s="121"/>
      <c r="AT23" s="87">
        <f t="shared" si="12"/>
        <v>0</v>
      </c>
      <c r="AW23" s="87">
        <f t="shared" si="13"/>
        <v>0</v>
      </c>
      <c r="AZ23" s="87">
        <f t="shared" si="14"/>
        <v>0</v>
      </c>
      <c r="BC23" s="87">
        <f t="shared" si="15"/>
        <v>0</v>
      </c>
      <c r="BF23" s="87">
        <f t="shared" si="16"/>
        <v>0</v>
      </c>
      <c r="BI23" s="87">
        <f t="shared" si="17"/>
        <v>0</v>
      </c>
      <c r="BL23" s="87">
        <f t="shared" si="18"/>
        <v>0</v>
      </c>
      <c r="BO23" s="87">
        <f t="shared" si="19"/>
        <v>0</v>
      </c>
      <c r="BR23" s="87">
        <f t="shared" si="20"/>
        <v>0</v>
      </c>
      <c r="BU23" s="87">
        <f t="shared" si="21"/>
        <v>0</v>
      </c>
      <c r="BX23" s="87">
        <f t="shared" si="22"/>
        <v>0</v>
      </c>
      <c r="CA23" s="87">
        <f t="shared" si="23"/>
        <v>0</v>
      </c>
      <c r="CD23" s="87">
        <f t="shared" si="24"/>
        <v>0</v>
      </c>
      <c r="CG23" s="87">
        <f t="shared" si="25"/>
        <v>0</v>
      </c>
      <c r="CJ23" s="87">
        <f t="shared" si="26"/>
        <v>0</v>
      </c>
      <c r="CM23" s="87">
        <f t="shared" si="27"/>
        <v>0</v>
      </c>
      <c r="CP23" s="87">
        <f t="shared" si="28"/>
        <v>0</v>
      </c>
      <c r="CS23" s="87">
        <f t="shared" si="29"/>
        <v>0</v>
      </c>
      <c r="CV23" s="87">
        <f t="shared" si="30"/>
        <v>0</v>
      </c>
      <c r="CY23" s="87">
        <f t="shared" si="31"/>
        <v>0</v>
      </c>
      <c r="DB23" s="87">
        <f t="shared" si="32"/>
        <v>0</v>
      </c>
      <c r="DE23" s="87">
        <f t="shared" si="33"/>
        <v>0</v>
      </c>
      <c r="DH23" s="87">
        <f t="shared" si="34"/>
        <v>0</v>
      </c>
      <c r="DK23" s="87">
        <f t="shared" si="35"/>
        <v>0</v>
      </c>
      <c r="DN23" s="87">
        <f t="shared" si="36"/>
        <v>0</v>
      </c>
      <c r="DQ23" s="87">
        <f t="shared" si="37"/>
        <v>0</v>
      </c>
      <c r="DT23" s="87">
        <f t="shared" si="38"/>
        <v>0</v>
      </c>
      <c r="DW23" s="87">
        <f t="shared" si="39"/>
        <v>0</v>
      </c>
      <c r="DZ23" s="87"/>
      <c r="EA23" s="87"/>
      <c r="EB23" s="122">
        <f t="shared" si="40"/>
        <v>0</v>
      </c>
      <c r="EC23" s="122">
        <f t="shared" si="41"/>
        <v>0</v>
      </c>
      <c r="ED23" s="87">
        <f t="shared" si="42"/>
        <v>0</v>
      </c>
      <c r="EE23" s="88">
        <f t="shared" si="43"/>
        <v>0</v>
      </c>
      <c r="EG23" s="122">
        <f t="shared" si="44"/>
        <v>0</v>
      </c>
      <c r="EH23" s="87">
        <f t="shared" si="45"/>
        <v>0</v>
      </c>
      <c r="EI23" s="88">
        <f t="shared" si="46"/>
        <v>0</v>
      </c>
      <c r="EJ23" s="88"/>
      <c r="EK23" s="122">
        <f t="shared" si="47"/>
        <v>0</v>
      </c>
      <c r="EL23" s="122">
        <f t="shared" si="48"/>
        <v>0</v>
      </c>
      <c r="EM23" s="122">
        <f t="shared" si="49"/>
        <v>0</v>
      </c>
      <c r="EN23" s="88">
        <f t="shared" si="50"/>
        <v>0</v>
      </c>
      <c r="EP23" s="87"/>
    </row>
    <row r="24" spans="1:146" x14ac:dyDescent="0.25">
      <c r="A24" s="35">
        <f t="shared" si="51"/>
        <v>44391</v>
      </c>
      <c r="B24" s="87">
        <v>0</v>
      </c>
      <c r="D24" s="87">
        <f t="shared" si="0"/>
        <v>0</v>
      </c>
      <c r="G24" s="87">
        <f t="shared" si="1"/>
        <v>0</v>
      </c>
      <c r="J24" s="87">
        <f t="shared" si="2"/>
        <v>0</v>
      </c>
      <c r="M24" s="87">
        <f t="shared" si="3"/>
        <v>0</v>
      </c>
      <c r="P24" s="87">
        <f t="shared" si="4"/>
        <v>0</v>
      </c>
      <c r="S24" s="87">
        <f t="shared" si="5"/>
        <v>0</v>
      </c>
      <c r="V24" s="87">
        <f t="shared" si="6"/>
        <v>0</v>
      </c>
      <c r="Y24" s="87">
        <f t="shared" si="7"/>
        <v>0</v>
      </c>
      <c r="AB24" s="87">
        <f t="shared" si="8"/>
        <v>0</v>
      </c>
      <c r="AE24" s="87">
        <v>0</v>
      </c>
      <c r="AH24" s="87">
        <v>0</v>
      </c>
      <c r="AI24" s="120"/>
      <c r="AJ24" s="121"/>
      <c r="AK24" s="87">
        <f t="shared" si="9"/>
        <v>0</v>
      </c>
      <c r="AL24" s="120"/>
      <c r="AM24" s="121"/>
      <c r="AN24" s="87">
        <f t="shared" si="10"/>
        <v>0</v>
      </c>
      <c r="AO24" s="120"/>
      <c r="AP24" s="121"/>
      <c r="AQ24" s="87">
        <f t="shared" si="11"/>
        <v>0</v>
      </c>
      <c r="AR24" s="120"/>
      <c r="AS24" s="121"/>
      <c r="AT24" s="87">
        <f t="shared" si="12"/>
        <v>0</v>
      </c>
      <c r="AW24" s="87">
        <f t="shared" si="13"/>
        <v>0</v>
      </c>
      <c r="AZ24" s="87">
        <f t="shared" si="14"/>
        <v>0</v>
      </c>
      <c r="BC24" s="87">
        <f t="shared" si="15"/>
        <v>0</v>
      </c>
      <c r="BF24" s="87">
        <f t="shared" si="16"/>
        <v>0</v>
      </c>
      <c r="BI24" s="87">
        <f t="shared" si="17"/>
        <v>0</v>
      </c>
      <c r="BL24" s="87">
        <f t="shared" si="18"/>
        <v>0</v>
      </c>
      <c r="BO24" s="87">
        <f t="shared" si="19"/>
        <v>0</v>
      </c>
      <c r="BR24" s="87">
        <f t="shared" si="20"/>
        <v>0</v>
      </c>
      <c r="BU24" s="87">
        <f t="shared" si="21"/>
        <v>0</v>
      </c>
      <c r="BX24" s="87">
        <f t="shared" si="22"/>
        <v>0</v>
      </c>
      <c r="CA24" s="87">
        <f t="shared" si="23"/>
        <v>0</v>
      </c>
      <c r="CD24" s="87">
        <f t="shared" si="24"/>
        <v>0</v>
      </c>
      <c r="CG24" s="87">
        <f t="shared" si="25"/>
        <v>0</v>
      </c>
      <c r="CJ24" s="87">
        <f t="shared" si="26"/>
        <v>0</v>
      </c>
      <c r="CM24" s="87">
        <f t="shared" si="27"/>
        <v>0</v>
      </c>
      <c r="CP24" s="87">
        <f t="shared" si="28"/>
        <v>0</v>
      </c>
      <c r="CS24" s="87">
        <f t="shared" si="29"/>
        <v>0</v>
      </c>
      <c r="CV24" s="87">
        <f t="shared" si="30"/>
        <v>0</v>
      </c>
      <c r="CY24" s="87">
        <f t="shared" si="31"/>
        <v>0</v>
      </c>
      <c r="DB24" s="87">
        <f t="shared" si="32"/>
        <v>0</v>
      </c>
      <c r="DE24" s="87">
        <f t="shared" si="33"/>
        <v>0</v>
      </c>
      <c r="DH24" s="87">
        <f t="shared" si="34"/>
        <v>0</v>
      </c>
      <c r="DK24" s="87">
        <f t="shared" si="35"/>
        <v>0</v>
      </c>
      <c r="DN24" s="87">
        <f t="shared" si="36"/>
        <v>0</v>
      </c>
      <c r="DQ24" s="87">
        <f t="shared" si="37"/>
        <v>0</v>
      </c>
      <c r="DT24" s="87">
        <f t="shared" si="38"/>
        <v>0</v>
      </c>
      <c r="DW24" s="87">
        <f t="shared" si="39"/>
        <v>0</v>
      </c>
      <c r="DZ24" s="87"/>
      <c r="EA24" s="87"/>
      <c r="EB24" s="122">
        <f t="shared" si="40"/>
        <v>0</v>
      </c>
      <c r="EC24" s="122">
        <f t="shared" si="41"/>
        <v>0</v>
      </c>
      <c r="ED24" s="87">
        <f t="shared" si="42"/>
        <v>0</v>
      </c>
      <c r="EE24" s="88">
        <f t="shared" si="43"/>
        <v>0</v>
      </c>
      <c r="EG24" s="122">
        <f t="shared" si="44"/>
        <v>0</v>
      </c>
      <c r="EH24" s="87">
        <f t="shared" si="45"/>
        <v>0</v>
      </c>
      <c r="EI24" s="88">
        <f t="shared" si="46"/>
        <v>0</v>
      </c>
      <c r="EJ24" s="88"/>
      <c r="EK24" s="122">
        <f t="shared" si="47"/>
        <v>0</v>
      </c>
      <c r="EL24" s="122">
        <f t="shared" si="48"/>
        <v>0</v>
      </c>
      <c r="EM24" s="122">
        <f t="shared" si="49"/>
        <v>0</v>
      </c>
      <c r="EN24" s="88">
        <f t="shared" si="50"/>
        <v>0</v>
      </c>
      <c r="EP24" s="87"/>
    </row>
    <row r="25" spans="1:146" x14ac:dyDescent="0.25">
      <c r="A25" s="35">
        <f t="shared" si="51"/>
        <v>44392</v>
      </c>
      <c r="B25" s="87">
        <v>0</v>
      </c>
      <c r="D25" s="87">
        <f t="shared" si="0"/>
        <v>0</v>
      </c>
      <c r="G25" s="87">
        <f t="shared" si="1"/>
        <v>0</v>
      </c>
      <c r="J25" s="87">
        <f t="shared" si="2"/>
        <v>0</v>
      </c>
      <c r="M25" s="87">
        <f t="shared" si="3"/>
        <v>0</v>
      </c>
      <c r="P25" s="87">
        <f t="shared" si="4"/>
        <v>0</v>
      </c>
      <c r="S25" s="87">
        <f t="shared" si="5"/>
        <v>0</v>
      </c>
      <c r="V25" s="87">
        <f t="shared" si="6"/>
        <v>0</v>
      </c>
      <c r="Y25" s="87">
        <f t="shared" si="7"/>
        <v>0</v>
      </c>
      <c r="AB25" s="87">
        <f t="shared" si="8"/>
        <v>0</v>
      </c>
      <c r="AE25" s="87">
        <v>0</v>
      </c>
      <c r="AH25" s="87">
        <v>0</v>
      </c>
      <c r="AI25" s="120"/>
      <c r="AJ25" s="121"/>
      <c r="AK25" s="87">
        <f t="shared" si="9"/>
        <v>0</v>
      </c>
      <c r="AL25" s="120"/>
      <c r="AM25" s="121"/>
      <c r="AN25" s="87">
        <f t="shared" si="10"/>
        <v>0</v>
      </c>
      <c r="AO25" s="120"/>
      <c r="AP25" s="121"/>
      <c r="AQ25" s="87">
        <f t="shared" si="11"/>
        <v>0</v>
      </c>
      <c r="AR25" s="120"/>
      <c r="AS25" s="121"/>
      <c r="AT25" s="87">
        <f t="shared" si="12"/>
        <v>0</v>
      </c>
      <c r="AW25" s="87">
        <f t="shared" si="13"/>
        <v>0</v>
      </c>
      <c r="AZ25" s="87">
        <f t="shared" si="14"/>
        <v>0</v>
      </c>
      <c r="BC25" s="87">
        <f t="shared" si="15"/>
        <v>0</v>
      </c>
      <c r="BF25" s="87">
        <f t="shared" si="16"/>
        <v>0</v>
      </c>
      <c r="BI25" s="87">
        <f t="shared" si="17"/>
        <v>0</v>
      </c>
      <c r="BL25" s="87">
        <f t="shared" si="18"/>
        <v>0</v>
      </c>
      <c r="BO25" s="87">
        <f t="shared" si="19"/>
        <v>0</v>
      </c>
      <c r="BR25" s="87">
        <f t="shared" si="20"/>
        <v>0</v>
      </c>
      <c r="BU25" s="87">
        <f t="shared" si="21"/>
        <v>0</v>
      </c>
      <c r="BX25" s="87">
        <f t="shared" si="22"/>
        <v>0</v>
      </c>
      <c r="CA25" s="87">
        <f t="shared" si="23"/>
        <v>0</v>
      </c>
      <c r="CD25" s="87">
        <f t="shared" si="24"/>
        <v>0</v>
      </c>
      <c r="CG25" s="87">
        <f t="shared" si="25"/>
        <v>0</v>
      </c>
      <c r="CJ25" s="87">
        <f t="shared" si="26"/>
        <v>0</v>
      </c>
      <c r="CM25" s="87">
        <f t="shared" si="27"/>
        <v>0</v>
      </c>
      <c r="CP25" s="87">
        <f t="shared" si="28"/>
        <v>0</v>
      </c>
      <c r="CS25" s="87">
        <f t="shared" si="29"/>
        <v>0</v>
      </c>
      <c r="CV25" s="87">
        <f t="shared" si="30"/>
        <v>0</v>
      </c>
      <c r="CY25" s="87">
        <f t="shared" si="31"/>
        <v>0</v>
      </c>
      <c r="DB25" s="87">
        <f t="shared" si="32"/>
        <v>0</v>
      </c>
      <c r="DE25" s="87">
        <f t="shared" si="33"/>
        <v>0</v>
      </c>
      <c r="DH25" s="87">
        <f t="shared" si="34"/>
        <v>0</v>
      </c>
      <c r="DK25" s="87">
        <f t="shared" si="35"/>
        <v>0</v>
      </c>
      <c r="DN25" s="87">
        <f t="shared" si="36"/>
        <v>0</v>
      </c>
      <c r="DQ25" s="87">
        <f t="shared" si="37"/>
        <v>0</v>
      </c>
      <c r="DT25" s="87">
        <f t="shared" si="38"/>
        <v>0</v>
      </c>
      <c r="DW25" s="87">
        <f t="shared" si="39"/>
        <v>0</v>
      </c>
      <c r="DZ25" s="87"/>
      <c r="EA25" s="87"/>
      <c r="EB25" s="122">
        <f t="shared" si="40"/>
        <v>0</v>
      </c>
      <c r="EC25" s="122">
        <f t="shared" si="41"/>
        <v>0</v>
      </c>
      <c r="ED25" s="87">
        <f t="shared" si="42"/>
        <v>0</v>
      </c>
      <c r="EE25" s="88">
        <f t="shared" si="43"/>
        <v>0</v>
      </c>
      <c r="EG25" s="122">
        <f t="shared" si="44"/>
        <v>0</v>
      </c>
      <c r="EH25" s="87">
        <f t="shared" si="45"/>
        <v>0</v>
      </c>
      <c r="EI25" s="88">
        <f t="shared" si="46"/>
        <v>0</v>
      </c>
      <c r="EJ25" s="88"/>
      <c r="EK25" s="122">
        <f t="shared" si="47"/>
        <v>0</v>
      </c>
      <c r="EL25" s="122">
        <f t="shared" si="48"/>
        <v>0</v>
      </c>
      <c r="EM25" s="122">
        <f t="shared" si="49"/>
        <v>0</v>
      </c>
      <c r="EN25" s="88">
        <f t="shared" si="50"/>
        <v>0</v>
      </c>
      <c r="EP25" s="87"/>
    </row>
    <row r="26" spans="1:146" x14ac:dyDescent="0.25">
      <c r="A26" s="35">
        <f t="shared" si="51"/>
        <v>44393</v>
      </c>
      <c r="B26" s="87">
        <v>0</v>
      </c>
      <c r="D26" s="87">
        <f t="shared" si="0"/>
        <v>0</v>
      </c>
      <c r="G26" s="87">
        <f t="shared" si="1"/>
        <v>0</v>
      </c>
      <c r="J26" s="87">
        <f t="shared" si="2"/>
        <v>0</v>
      </c>
      <c r="M26" s="87">
        <f t="shared" si="3"/>
        <v>0</v>
      </c>
      <c r="P26" s="87">
        <f t="shared" si="4"/>
        <v>0</v>
      </c>
      <c r="S26" s="87">
        <f t="shared" si="5"/>
        <v>0</v>
      </c>
      <c r="V26" s="87">
        <f t="shared" si="6"/>
        <v>0</v>
      </c>
      <c r="Y26" s="87">
        <f t="shared" si="7"/>
        <v>0</v>
      </c>
      <c r="AB26" s="87">
        <f t="shared" si="8"/>
        <v>0</v>
      </c>
      <c r="AE26" s="87">
        <v>0</v>
      </c>
      <c r="AH26" s="87">
        <v>0</v>
      </c>
      <c r="AI26" s="120"/>
      <c r="AJ26" s="121"/>
      <c r="AK26" s="87">
        <f t="shared" si="9"/>
        <v>0</v>
      </c>
      <c r="AL26" s="120"/>
      <c r="AM26" s="121"/>
      <c r="AN26" s="87">
        <f t="shared" si="10"/>
        <v>0</v>
      </c>
      <c r="AO26" s="120"/>
      <c r="AP26" s="121"/>
      <c r="AQ26" s="87">
        <f t="shared" si="11"/>
        <v>0</v>
      </c>
      <c r="AR26" s="120"/>
      <c r="AS26" s="121"/>
      <c r="AT26" s="87">
        <f t="shared" si="12"/>
        <v>0</v>
      </c>
      <c r="AW26" s="87">
        <f t="shared" si="13"/>
        <v>0</v>
      </c>
      <c r="AZ26" s="87">
        <f t="shared" si="14"/>
        <v>0</v>
      </c>
      <c r="BC26" s="87">
        <f t="shared" si="15"/>
        <v>0</v>
      </c>
      <c r="BF26" s="87">
        <f t="shared" si="16"/>
        <v>0</v>
      </c>
      <c r="BI26" s="87">
        <f t="shared" si="17"/>
        <v>0</v>
      </c>
      <c r="BL26" s="87">
        <f t="shared" si="18"/>
        <v>0</v>
      </c>
      <c r="BO26" s="87">
        <f t="shared" si="19"/>
        <v>0</v>
      </c>
      <c r="BR26" s="87">
        <f t="shared" si="20"/>
        <v>0</v>
      </c>
      <c r="BU26" s="87">
        <f t="shared" si="21"/>
        <v>0</v>
      </c>
      <c r="BX26" s="87">
        <f t="shared" si="22"/>
        <v>0</v>
      </c>
      <c r="CA26" s="87">
        <f t="shared" si="23"/>
        <v>0</v>
      </c>
      <c r="CD26" s="87">
        <f t="shared" si="24"/>
        <v>0</v>
      </c>
      <c r="CG26" s="87">
        <f t="shared" si="25"/>
        <v>0</v>
      </c>
      <c r="CJ26" s="87">
        <f t="shared" si="26"/>
        <v>0</v>
      </c>
      <c r="CM26" s="87">
        <f t="shared" si="27"/>
        <v>0</v>
      </c>
      <c r="CP26" s="87">
        <f t="shared" si="28"/>
        <v>0</v>
      </c>
      <c r="CS26" s="87">
        <f t="shared" si="29"/>
        <v>0</v>
      </c>
      <c r="CV26" s="87">
        <f t="shared" si="30"/>
        <v>0</v>
      </c>
      <c r="CY26" s="87">
        <f t="shared" si="31"/>
        <v>0</v>
      </c>
      <c r="DB26" s="87">
        <f t="shared" si="32"/>
        <v>0</v>
      </c>
      <c r="DE26" s="87">
        <f t="shared" si="33"/>
        <v>0</v>
      </c>
      <c r="DH26" s="87">
        <f t="shared" si="34"/>
        <v>0</v>
      </c>
      <c r="DK26" s="87">
        <f t="shared" si="35"/>
        <v>0</v>
      </c>
      <c r="DN26" s="87">
        <f t="shared" si="36"/>
        <v>0</v>
      </c>
      <c r="DQ26" s="87">
        <f t="shared" si="37"/>
        <v>0</v>
      </c>
      <c r="DT26" s="87">
        <f t="shared" si="38"/>
        <v>0</v>
      </c>
      <c r="DW26" s="87">
        <f t="shared" si="39"/>
        <v>0</v>
      </c>
      <c r="DZ26" s="87"/>
      <c r="EA26" s="87"/>
      <c r="EB26" s="122">
        <f t="shared" si="40"/>
        <v>0</v>
      </c>
      <c r="EC26" s="122">
        <f t="shared" si="41"/>
        <v>0</v>
      </c>
      <c r="ED26" s="87">
        <f t="shared" si="42"/>
        <v>0</v>
      </c>
      <c r="EE26" s="88">
        <f t="shared" si="43"/>
        <v>0</v>
      </c>
      <c r="EG26" s="122">
        <f t="shared" si="44"/>
        <v>0</v>
      </c>
      <c r="EH26" s="87">
        <f t="shared" si="45"/>
        <v>0</v>
      </c>
      <c r="EI26" s="88">
        <f t="shared" si="46"/>
        <v>0</v>
      </c>
      <c r="EJ26" s="88"/>
      <c r="EK26" s="122">
        <f t="shared" si="47"/>
        <v>0</v>
      </c>
      <c r="EL26" s="122">
        <f t="shared" si="48"/>
        <v>0</v>
      </c>
      <c r="EM26" s="122">
        <f t="shared" si="49"/>
        <v>0</v>
      </c>
      <c r="EN26" s="88">
        <f t="shared" si="50"/>
        <v>0</v>
      </c>
      <c r="EP26" s="87"/>
    </row>
    <row r="27" spans="1:146" x14ac:dyDescent="0.25">
      <c r="A27" s="35">
        <f t="shared" si="51"/>
        <v>44394</v>
      </c>
      <c r="B27" s="87">
        <v>0</v>
      </c>
      <c r="D27" s="87">
        <f t="shared" si="0"/>
        <v>0</v>
      </c>
      <c r="G27" s="87">
        <f t="shared" si="1"/>
        <v>0</v>
      </c>
      <c r="J27" s="87">
        <f t="shared" si="2"/>
        <v>0</v>
      </c>
      <c r="M27" s="87">
        <f t="shared" si="3"/>
        <v>0</v>
      </c>
      <c r="P27" s="87">
        <f t="shared" si="4"/>
        <v>0</v>
      </c>
      <c r="S27" s="87">
        <f t="shared" si="5"/>
        <v>0</v>
      </c>
      <c r="V27" s="87">
        <f t="shared" si="6"/>
        <v>0</v>
      </c>
      <c r="Y27" s="87">
        <f t="shared" si="7"/>
        <v>0</v>
      </c>
      <c r="AB27" s="87">
        <f t="shared" si="8"/>
        <v>0</v>
      </c>
      <c r="AE27" s="87">
        <v>0</v>
      </c>
      <c r="AH27" s="87">
        <v>0</v>
      </c>
      <c r="AI27" s="120"/>
      <c r="AJ27" s="121"/>
      <c r="AK27" s="87">
        <f t="shared" si="9"/>
        <v>0</v>
      </c>
      <c r="AL27" s="120"/>
      <c r="AM27" s="121"/>
      <c r="AN27" s="87">
        <f t="shared" si="10"/>
        <v>0</v>
      </c>
      <c r="AO27" s="120"/>
      <c r="AP27" s="121"/>
      <c r="AQ27" s="87">
        <f t="shared" si="11"/>
        <v>0</v>
      </c>
      <c r="AR27" s="120"/>
      <c r="AS27" s="121"/>
      <c r="AT27" s="87">
        <f t="shared" si="12"/>
        <v>0</v>
      </c>
      <c r="AW27" s="87">
        <f t="shared" si="13"/>
        <v>0</v>
      </c>
      <c r="AZ27" s="87">
        <f t="shared" si="14"/>
        <v>0</v>
      </c>
      <c r="BC27" s="87">
        <f t="shared" si="15"/>
        <v>0</v>
      </c>
      <c r="BF27" s="87">
        <f t="shared" si="16"/>
        <v>0</v>
      </c>
      <c r="BI27" s="87">
        <f t="shared" si="17"/>
        <v>0</v>
      </c>
      <c r="BL27" s="87">
        <f t="shared" si="18"/>
        <v>0</v>
      </c>
      <c r="BO27" s="87">
        <f t="shared" si="19"/>
        <v>0</v>
      </c>
      <c r="BR27" s="87">
        <f t="shared" si="20"/>
        <v>0</v>
      </c>
      <c r="BU27" s="87">
        <f t="shared" si="21"/>
        <v>0</v>
      </c>
      <c r="BX27" s="87">
        <f t="shared" si="22"/>
        <v>0</v>
      </c>
      <c r="CA27" s="87">
        <f t="shared" si="23"/>
        <v>0</v>
      </c>
      <c r="CD27" s="87">
        <f t="shared" si="24"/>
        <v>0</v>
      </c>
      <c r="CG27" s="87">
        <f t="shared" si="25"/>
        <v>0</v>
      </c>
      <c r="CJ27" s="87">
        <f t="shared" si="26"/>
        <v>0</v>
      </c>
      <c r="CM27" s="87">
        <f t="shared" si="27"/>
        <v>0</v>
      </c>
      <c r="CP27" s="87">
        <f t="shared" si="28"/>
        <v>0</v>
      </c>
      <c r="CS27" s="87">
        <f t="shared" si="29"/>
        <v>0</v>
      </c>
      <c r="CV27" s="87">
        <f t="shared" si="30"/>
        <v>0</v>
      </c>
      <c r="CY27" s="87">
        <f t="shared" si="31"/>
        <v>0</v>
      </c>
      <c r="DB27" s="87">
        <f t="shared" si="32"/>
        <v>0</v>
      </c>
      <c r="DE27" s="87">
        <f t="shared" si="33"/>
        <v>0</v>
      </c>
      <c r="DH27" s="87">
        <f t="shared" si="34"/>
        <v>0</v>
      </c>
      <c r="DK27" s="87">
        <f t="shared" si="35"/>
        <v>0</v>
      </c>
      <c r="DN27" s="87">
        <f t="shared" si="36"/>
        <v>0</v>
      </c>
      <c r="DQ27" s="87">
        <f t="shared" si="37"/>
        <v>0</v>
      </c>
      <c r="DT27" s="87">
        <f t="shared" si="38"/>
        <v>0</v>
      </c>
      <c r="DW27" s="87">
        <f t="shared" si="39"/>
        <v>0</v>
      </c>
      <c r="DZ27" s="87"/>
      <c r="EA27" s="87"/>
      <c r="EB27" s="122">
        <f t="shared" si="40"/>
        <v>0</v>
      </c>
      <c r="EC27" s="122">
        <f t="shared" si="41"/>
        <v>0</v>
      </c>
      <c r="ED27" s="87">
        <f t="shared" si="42"/>
        <v>0</v>
      </c>
      <c r="EE27" s="88">
        <f t="shared" si="43"/>
        <v>0</v>
      </c>
      <c r="EG27" s="122">
        <f t="shared" si="44"/>
        <v>0</v>
      </c>
      <c r="EH27" s="87">
        <f t="shared" si="45"/>
        <v>0</v>
      </c>
      <c r="EI27" s="88">
        <f t="shared" si="46"/>
        <v>0</v>
      </c>
      <c r="EJ27" s="88"/>
      <c r="EK27" s="122">
        <f t="shared" si="47"/>
        <v>0</v>
      </c>
      <c r="EL27" s="122">
        <f t="shared" si="48"/>
        <v>0</v>
      </c>
      <c r="EM27" s="122">
        <f t="shared" si="49"/>
        <v>0</v>
      </c>
      <c r="EN27" s="88">
        <f t="shared" si="50"/>
        <v>0</v>
      </c>
      <c r="EP27" s="87"/>
    </row>
    <row r="28" spans="1:146" x14ac:dyDescent="0.25">
      <c r="A28" s="35">
        <f t="shared" si="51"/>
        <v>44395</v>
      </c>
      <c r="B28" s="87">
        <v>0</v>
      </c>
      <c r="D28" s="87">
        <f t="shared" si="0"/>
        <v>0</v>
      </c>
      <c r="G28" s="87">
        <f t="shared" si="1"/>
        <v>0</v>
      </c>
      <c r="J28" s="87">
        <f t="shared" si="2"/>
        <v>0</v>
      </c>
      <c r="M28" s="87">
        <f t="shared" si="3"/>
        <v>0</v>
      </c>
      <c r="P28" s="87">
        <f t="shared" si="4"/>
        <v>0</v>
      </c>
      <c r="S28" s="87">
        <f t="shared" si="5"/>
        <v>0</v>
      </c>
      <c r="V28" s="87">
        <f t="shared" si="6"/>
        <v>0</v>
      </c>
      <c r="Y28" s="87">
        <f t="shared" si="7"/>
        <v>0</v>
      </c>
      <c r="AB28" s="87">
        <f t="shared" si="8"/>
        <v>0</v>
      </c>
      <c r="AE28" s="87">
        <v>0</v>
      </c>
      <c r="AH28" s="87">
        <v>0</v>
      </c>
      <c r="AI28" s="120"/>
      <c r="AJ28" s="121"/>
      <c r="AK28" s="87">
        <f t="shared" si="9"/>
        <v>0</v>
      </c>
      <c r="AL28" s="120"/>
      <c r="AM28" s="121"/>
      <c r="AN28" s="87">
        <f t="shared" si="10"/>
        <v>0</v>
      </c>
      <c r="AO28" s="120"/>
      <c r="AP28" s="121"/>
      <c r="AQ28" s="87">
        <f t="shared" si="11"/>
        <v>0</v>
      </c>
      <c r="AR28" s="120"/>
      <c r="AS28" s="121"/>
      <c r="AT28" s="87">
        <f t="shared" si="12"/>
        <v>0</v>
      </c>
      <c r="AW28" s="87">
        <f t="shared" si="13"/>
        <v>0</v>
      </c>
      <c r="AZ28" s="87">
        <f t="shared" si="14"/>
        <v>0</v>
      </c>
      <c r="BC28" s="87">
        <f t="shared" si="15"/>
        <v>0</v>
      </c>
      <c r="BF28" s="87">
        <f t="shared" si="16"/>
        <v>0</v>
      </c>
      <c r="BI28" s="87">
        <f t="shared" si="17"/>
        <v>0</v>
      </c>
      <c r="BL28" s="87">
        <f t="shared" si="18"/>
        <v>0</v>
      </c>
      <c r="BO28" s="87">
        <f t="shared" si="19"/>
        <v>0</v>
      </c>
      <c r="BR28" s="87">
        <f t="shared" si="20"/>
        <v>0</v>
      </c>
      <c r="BU28" s="87">
        <f t="shared" si="21"/>
        <v>0</v>
      </c>
      <c r="BX28" s="87">
        <f t="shared" si="22"/>
        <v>0</v>
      </c>
      <c r="CA28" s="87">
        <f t="shared" si="23"/>
        <v>0</v>
      </c>
      <c r="CD28" s="87">
        <f t="shared" si="24"/>
        <v>0</v>
      </c>
      <c r="CG28" s="87">
        <f t="shared" si="25"/>
        <v>0</v>
      </c>
      <c r="CJ28" s="87">
        <f t="shared" si="26"/>
        <v>0</v>
      </c>
      <c r="CM28" s="87">
        <f t="shared" si="27"/>
        <v>0</v>
      </c>
      <c r="CP28" s="87">
        <f t="shared" si="28"/>
        <v>0</v>
      </c>
      <c r="CS28" s="87">
        <f t="shared" si="29"/>
        <v>0</v>
      </c>
      <c r="CV28" s="87">
        <f t="shared" si="30"/>
        <v>0</v>
      </c>
      <c r="CY28" s="87">
        <f t="shared" si="31"/>
        <v>0</v>
      </c>
      <c r="DB28" s="87">
        <f t="shared" si="32"/>
        <v>0</v>
      </c>
      <c r="DE28" s="87">
        <f t="shared" si="33"/>
        <v>0</v>
      </c>
      <c r="DH28" s="87">
        <f t="shared" si="34"/>
        <v>0</v>
      </c>
      <c r="DK28" s="87">
        <f t="shared" si="35"/>
        <v>0</v>
      </c>
      <c r="DN28" s="87">
        <f t="shared" si="36"/>
        <v>0</v>
      </c>
      <c r="DQ28" s="87">
        <f t="shared" si="37"/>
        <v>0</v>
      </c>
      <c r="DT28" s="87">
        <f t="shared" si="38"/>
        <v>0</v>
      </c>
      <c r="DW28" s="87">
        <f t="shared" si="39"/>
        <v>0</v>
      </c>
      <c r="DZ28" s="87"/>
      <c r="EA28" s="87"/>
      <c r="EB28" s="122">
        <f t="shared" si="40"/>
        <v>0</v>
      </c>
      <c r="EC28" s="122">
        <f t="shared" si="41"/>
        <v>0</v>
      </c>
      <c r="ED28" s="87">
        <f t="shared" si="42"/>
        <v>0</v>
      </c>
      <c r="EE28" s="88">
        <f t="shared" si="43"/>
        <v>0</v>
      </c>
      <c r="EG28" s="122">
        <f t="shared" si="44"/>
        <v>0</v>
      </c>
      <c r="EH28" s="87">
        <f t="shared" si="45"/>
        <v>0</v>
      </c>
      <c r="EI28" s="88">
        <f t="shared" si="46"/>
        <v>0</v>
      </c>
      <c r="EJ28" s="88"/>
      <c r="EK28" s="122">
        <f t="shared" si="47"/>
        <v>0</v>
      </c>
      <c r="EL28" s="122">
        <f t="shared" si="48"/>
        <v>0</v>
      </c>
      <c r="EM28" s="122">
        <f t="shared" si="49"/>
        <v>0</v>
      </c>
      <c r="EN28" s="88">
        <f t="shared" si="50"/>
        <v>0</v>
      </c>
      <c r="EP28" s="87"/>
    </row>
    <row r="29" spans="1:146" x14ac:dyDescent="0.25">
      <c r="A29" s="35">
        <f t="shared" si="51"/>
        <v>44396</v>
      </c>
      <c r="B29" s="87">
        <v>0</v>
      </c>
      <c r="D29" s="87">
        <f t="shared" si="0"/>
        <v>0</v>
      </c>
      <c r="G29" s="87">
        <f t="shared" si="1"/>
        <v>0</v>
      </c>
      <c r="J29" s="87">
        <f t="shared" si="2"/>
        <v>0</v>
      </c>
      <c r="M29" s="87">
        <f t="shared" si="3"/>
        <v>0</v>
      </c>
      <c r="P29" s="87">
        <f t="shared" si="4"/>
        <v>0</v>
      </c>
      <c r="S29" s="87">
        <f t="shared" si="5"/>
        <v>0</v>
      </c>
      <c r="V29" s="87">
        <f t="shared" si="6"/>
        <v>0</v>
      </c>
      <c r="Y29" s="87">
        <f t="shared" si="7"/>
        <v>0</v>
      </c>
      <c r="AB29" s="87">
        <f t="shared" si="8"/>
        <v>0</v>
      </c>
      <c r="AE29" s="87">
        <v>0</v>
      </c>
      <c r="AH29" s="87">
        <v>0</v>
      </c>
      <c r="AI29" s="120">
        <f>13275000</f>
        <v>13275000</v>
      </c>
      <c r="AJ29" s="121">
        <v>1.6000000000000001E-3</v>
      </c>
      <c r="AK29" s="87">
        <f t="shared" si="9"/>
        <v>59</v>
      </c>
      <c r="AL29" s="120"/>
      <c r="AM29" s="121"/>
      <c r="AN29" s="87">
        <f t="shared" si="10"/>
        <v>0</v>
      </c>
      <c r="AO29" s="120"/>
      <c r="AP29" s="121"/>
      <c r="AQ29" s="87">
        <f t="shared" si="11"/>
        <v>0</v>
      </c>
      <c r="AR29" s="120"/>
      <c r="AS29" s="121"/>
      <c r="AT29" s="87">
        <f t="shared" si="12"/>
        <v>0</v>
      </c>
      <c r="AW29" s="87">
        <f t="shared" si="13"/>
        <v>0</v>
      </c>
      <c r="AZ29" s="87">
        <f t="shared" si="14"/>
        <v>0</v>
      </c>
      <c r="BC29" s="87">
        <f t="shared" si="15"/>
        <v>0</v>
      </c>
      <c r="BF29" s="87">
        <f t="shared" si="16"/>
        <v>0</v>
      </c>
      <c r="BI29" s="87">
        <f t="shared" si="17"/>
        <v>0</v>
      </c>
      <c r="BL29" s="87">
        <f t="shared" si="18"/>
        <v>0</v>
      </c>
      <c r="BO29" s="87">
        <f t="shared" si="19"/>
        <v>0</v>
      </c>
      <c r="BR29" s="87">
        <f t="shared" si="20"/>
        <v>0</v>
      </c>
      <c r="BU29" s="87">
        <f t="shared" si="21"/>
        <v>0</v>
      </c>
      <c r="BX29" s="87">
        <f t="shared" si="22"/>
        <v>0</v>
      </c>
      <c r="CA29" s="87">
        <f t="shared" si="23"/>
        <v>0</v>
      </c>
      <c r="CD29" s="87">
        <f t="shared" si="24"/>
        <v>0</v>
      </c>
      <c r="CG29" s="87">
        <f t="shared" si="25"/>
        <v>0</v>
      </c>
      <c r="CJ29" s="87">
        <f t="shared" si="26"/>
        <v>0</v>
      </c>
      <c r="CM29" s="87">
        <f t="shared" si="27"/>
        <v>0</v>
      </c>
      <c r="CP29" s="87">
        <f t="shared" si="28"/>
        <v>0</v>
      </c>
      <c r="CS29" s="87">
        <f t="shared" si="29"/>
        <v>0</v>
      </c>
      <c r="CV29" s="87">
        <f t="shared" si="30"/>
        <v>0</v>
      </c>
      <c r="CY29" s="87">
        <f t="shared" si="31"/>
        <v>0</v>
      </c>
      <c r="DB29" s="87">
        <f t="shared" si="32"/>
        <v>0</v>
      </c>
      <c r="DE29" s="87">
        <f t="shared" si="33"/>
        <v>0</v>
      </c>
      <c r="DH29" s="87">
        <f t="shared" si="34"/>
        <v>0</v>
      </c>
      <c r="DK29" s="87">
        <f t="shared" si="35"/>
        <v>0</v>
      </c>
      <c r="DN29" s="87">
        <f t="shared" si="36"/>
        <v>0</v>
      </c>
      <c r="DQ29" s="87">
        <f t="shared" si="37"/>
        <v>0</v>
      </c>
      <c r="DT29" s="87">
        <f t="shared" si="38"/>
        <v>0</v>
      </c>
      <c r="DW29" s="87">
        <f t="shared" si="39"/>
        <v>0</v>
      </c>
      <c r="DZ29" s="87"/>
      <c r="EA29" s="87"/>
      <c r="EB29" s="122">
        <f t="shared" si="40"/>
        <v>13275000</v>
      </c>
      <c r="EC29" s="122">
        <f t="shared" si="41"/>
        <v>0</v>
      </c>
      <c r="ED29" s="87">
        <f t="shared" si="42"/>
        <v>59</v>
      </c>
      <c r="EE29" s="88">
        <f t="shared" si="43"/>
        <v>1.5999999999999999E-3</v>
      </c>
      <c r="EG29" s="122">
        <f t="shared" si="44"/>
        <v>0</v>
      </c>
      <c r="EH29" s="87">
        <f t="shared" si="45"/>
        <v>0</v>
      </c>
      <c r="EI29" s="88">
        <f t="shared" si="46"/>
        <v>0</v>
      </c>
      <c r="EJ29" s="88"/>
      <c r="EK29" s="122">
        <f t="shared" si="47"/>
        <v>13275000</v>
      </c>
      <c r="EL29" s="122">
        <f t="shared" si="48"/>
        <v>0</v>
      </c>
      <c r="EM29" s="122">
        <f t="shared" si="49"/>
        <v>59</v>
      </c>
      <c r="EN29" s="88">
        <f t="shared" si="50"/>
        <v>1.5999999999999999E-3</v>
      </c>
      <c r="EP29" s="87"/>
    </row>
    <row r="30" spans="1:146" x14ac:dyDescent="0.25">
      <c r="A30" s="35">
        <f t="shared" si="51"/>
        <v>44397</v>
      </c>
      <c r="B30" s="87">
        <v>0</v>
      </c>
      <c r="D30" s="87">
        <f t="shared" si="0"/>
        <v>0</v>
      </c>
      <c r="G30" s="87">
        <f t="shared" si="1"/>
        <v>0</v>
      </c>
      <c r="J30" s="87">
        <f t="shared" si="2"/>
        <v>0</v>
      </c>
      <c r="M30" s="87">
        <f t="shared" si="3"/>
        <v>0</v>
      </c>
      <c r="P30" s="87">
        <f t="shared" si="4"/>
        <v>0</v>
      </c>
      <c r="S30" s="87">
        <f t="shared" si="5"/>
        <v>0</v>
      </c>
      <c r="V30" s="87">
        <f t="shared" si="6"/>
        <v>0</v>
      </c>
      <c r="Y30" s="87">
        <f t="shared" si="7"/>
        <v>0</v>
      </c>
      <c r="AB30" s="87">
        <f t="shared" si="8"/>
        <v>0</v>
      </c>
      <c r="AE30" s="87">
        <v>0</v>
      </c>
      <c r="AH30" s="87">
        <v>0</v>
      </c>
      <c r="AI30" s="120">
        <f>12450000</f>
        <v>12450000</v>
      </c>
      <c r="AJ30" s="121">
        <v>1.6000000000000001E-3</v>
      </c>
      <c r="AK30" s="87">
        <f t="shared" si="9"/>
        <v>55.333333333333336</v>
      </c>
      <c r="AL30" s="120"/>
      <c r="AM30" s="121"/>
      <c r="AN30" s="87">
        <f t="shared" si="10"/>
        <v>0</v>
      </c>
      <c r="AO30" s="120"/>
      <c r="AP30" s="121"/>
      <c r="AQ30" s="87">
        <f t="shared" si="11"/>
        <v>0</v>
      </c>
      <c r="AR30" s="120"/>
      <c r="AS30" s="121"/>
      <c r="AT30" s="87">
        <f t="shared" si="12"/>
        <v>0</v>
      </c>
      <c r="AW30" s="87">
        <f t="shared" si="13"/>
        <v>0</v>
      </c>
      <c r="AZ30" s="87">
        <f t="shared" si="14"/>
        <v>0</v>
      </c>
      <c r="BC30" s="87">
        <f t="shared" si="15"/>
        <v>0</v>
      </c>
      <c r="BF30" s="87">
        <f t="shared" si="16"/>
        <v>0</v>
      </c>
      <c r="BI30" s="87">
        <f t="shared" si="17"/>
        <v>0</v>
      </c>
      <c r="BL30" s="87">
        <f t="shared" si="18"/>
        <v>0</v>
      </c>
      <c r="BO30" s="87">
        <f t="shared" si="19"/>
        <v>0</v>
      </c>
      <c r="BR30" s="87">
        <f t="shared" si="20"/>
        <v>0</v>
      </c>
      <c r="BU30" s="87">
        <f t="shared" si="21"/>
        <v>0</v>
      </c>
      <c r="BX30" s="87">
        <f t="shared" si="22"/>
        <v>0</v>
      </c>
      <c r="CA30" s="87">
        <f t="shared" si="23"/>
        <v>0</v>
      </c>
      <c r="CD30" s="87">
        <f t="shared" si="24"/>
        <v>0</v>
      </c>
      <c r="CG30" s="87">
        <f t="shared" si="25"/>
        <v>0</v>
      </c>
      <c r="CJ30" s="87">
        <f t="shared" si="26"/>
        <v>0</v>
      </c>
      <c r="CM30" s="87">
        <f t="shared" si="27"/>
        <v>0</v>
      </c>
      <c r="CP30" s="87">
        <f t="shared" si="28"/>
        <v>0</v>
      </c>
      <c r="CS30" s="87">
        <f t="shared" si="29"/>
        <v>0</v>
      </c>
      <c r="CV30" s="87">
        <f t="shared" si="30"/>
        <v>0</v>
      </c>
      <c r="CY30" s="87">
        <f t="shared" si="31"/>
        <v>0</v>
      </c>
      <c r="DB30" s="87">
        <f t="shared" si="32"/>
        <v>0</v>
      </c>
      <c r="DE30" s="87">
        <f t="shared" si="33"/>
        <v>0</v>
      </c>
      <c r="DH30" s="87">
        <f t="shared" si="34"/>
        <v>0</v>
      </c>
      <c r="DK30" s="87">
        <f t="shared" si="35"/>
        <v>0</v>
      </c>
      <c r="DN30" s="87">
        <f t="shared" si="36"/>
        <v>0</v>
      </c>
      <c r="DQ30" s="87">
        <f t="shared" si="37"/>
        <v>0</v>
      </c>
      <c r="DT30" s="87">
        <f t="shared" si="38"/>
        <v>0</v>
      </c>
      <c r="DW30" s="87">
        <f t="shared" si="39"/>
        <v>0</v>
      </c>
      <c r="DZ30" s="87"/>
      <c r="EA30" s="87"/>
      <c r="EB30" s="122">
        <f t="shared" si="40"/>
        <v>12450000</v>
      </c>
      <c r="EC30" s="122">
        <f t="shared" si="41"/>
        <v>0</v>
      </c>
      <c r="ED30" s="87">
        <f t="shared" si="42"/>
        <v>55.333333333333336</v>
      </c>
      <c r="EE30" s="88">
        <f t="shared" si="43"/>
        <v>1.6000000000000003E-3</v>
      </c>
      <c r="EG30" s="122">
        <f t="shared" si="44"/>
        <v>0</v>
      </c>
      <c r="EH30" s="87">
        <f t="shared" si="45"/>
        <v>0</v>
      </c>
      <c r="EI30" s="88">
        <f t="shared" si="46"/>
        <v>0</v>
      </c>
      <c r="EJ30" s="88"/>
      <c r="EK30" s="122">
        <f t="shared" si="47"/>
        <v>12450000</v>
      </c>
      <c r="EL30" s="122">
        <f t="shared" si="48"/>
        <v>0</v>
      </c>
      <c r="EM30" s="122">
        <f t="shared" si="49"/>
        <v>55.333333333333336</v>
      </c>
      <c r="EN30" s="88">
        <f t="shared" si="50"/>
        <v>1.6000000000000003E-3</v>
      </c>
      <c r="EP30" s="87"/>
    </row>
    <row r="31" spans="1:146" x14ac:dyDescent="0.25">
      <c r="A31" s="35">
        <f t="shared" si="51"/>
        <v>44398</v>
      </c>
      <c r="B31" s="87">
        <v>5875000</v>
      </c>
      <c r="C31" s="88">
        <v>5.0000000000000001E-4</v>
      </c>
      <c r="D31" s="87">
        <f t="shared" si="0"/>
        <v>8.1597222222222214</v>
      </c>
      <c r="G31" s="87">
        <f t="shared" si="1"/>
        <v>0</v>
      </c>
      <c r="J31" s="87">
        <f t="shared" si="2"/>
        <v>0</v>
      </c>
      <c r="M31" s="87">
        <f t="shared" si="3"/>
        <v>0</v>
      </c>
      <c r="P31" s="87">
        <f t="shared" si="4"/>
        <v>0</v>
      </c>
      <c r="S31" s="87">
        <f t="shared" si="5"/>
        <v>0</v>
      </c>
      <c r="V31" s="87">
        <f t="shared" si="6"/>
        <v>0</v>
      </c>
      <c r="Y31" s="87">
        <f t="shared" si="7"/>
        <v>0</v>
      </c>
      <c r="AB31" s="87">
        <f t="shared" si="8"/>
        <v>0</v>
      </c>
      <c r="AE31" s="87">
        <v>0</v>
      </c>
      <c r="AH31" s="87">
        <v>0</v>
      </c>
      <c r="AI31" s="120"/>
      <c r="AJ31" s="121"/>
      <c r="AK31" s="87">
        <f t="shared" si="9"/>
        <v>0</v>
      </c>
      <c r="AL31" s="120"/>
      <c r="AM31" s="121"/>
      <c r="AN31" s="87">
        <f t="shared" si="10"/>
        <v>0</v>
      </c>
      <c r="AO31" s="120"/>
      <c r="AP31" s="121"/>
      <c r="AQ31" s="87">
        <f t="shared" si="11"/>
        <v>0</v>
      </c>
      <c r="AR31" s="120"/>
      <c r="AS31" s="121"/>
      <c r="AT31" s="87">
        <f t="shared" si="12"/>
        <v>0</v>
      </c>
      <c r="AW31" s="87">
        <f t="shared" si="13"/>
        <v>0</v>
      </c>
      <c r="AZ31" s="87">
        <f t="shared" si="14"/>
        <v>0</v>
      </c>
      <c r="BC31" s="87">
        <f t="shared" si="15"/>
        <v>0</v>
      </c>
      <c r="BF31" s="87">
        <f t="shared" si="16"/>
        <v>0</v>
      </c>
      <c r="BI31" s="87">
        <f t="shared" si="17"/>
        <v>0</v>
      </c>
      <c r="BL31" s="87">
        <f t="shared" si="18"/>
        <v>0</v>
      </c>
      <c r="BO31" s="87">
        <f t="shared" si="19"/>
        <v>0</v>
      </c>
      <c r="BR31" s="87">
        <f t="shared" si="20"/>
        <v>0</v>
      </c>
      <c r="BU31" s="87">
        <f t="shared" si="21"/>
        <v>0</v>
      </c>
      <c r="BX31" s="87">
        <f t="shared" si="22"/>
        <v>0</v>
      </c>
      <c r="CA31" s="87">
        <f t="shared" si="23"/>
        <v>0</v>
      </c>
      <c r="CD31" s="87">
        <f t="shared" si="24"/>
        <v>0</v>
      </c>
      <c r="CG31" s="87">
        <f t="shared" si="25"/>
        <v>0</v>
      </c>
      <c r="CJ31" s="87">
        <f t="shared" si="26"/>
        <v>0</v>
      </c>
      <c r="CM31" s="87">
        <f t="shared" si="27"/>
        <v>0</v>
      </c>
      <c r="CP31" s="87">
        <f t="shared" si="28"/>
        <v>0</v>
      </c>
      <c r="CS31" s="87">
        <f t="shared" si="29"/>
        <v>0</v>
      </c>
      <c r="CV31" s="87">
        <f t="shared" si="30"/>
        <v>0</v>
      </c>
      <c r="CY31" s="87">
        <f t="shared" si="31"/>
        <v>0</v>
      </c>
      <c r="DB31" s="87">
        <f t="shared" si="32"/>
        <v>0</v>
      </c>
      <c r="DE31" s="87">
        <f t="shared" si="33"/>
        <v>0</v>
      </c>
      <c r="DH31" s="87">
        <f t="shared" si="34"/>
        <v>0</v>
      </c>
      <c r="DK31" s="87">
        <f t="shared" si="35"/>
        <v>0</v>
      </c>
      <c r="DN31" s="87">
        <f t="shared" si="36"/>
        <v>0</v>
      </c>
      <c r="DQ31" s="87">
        <f t="shared" si="37"/>
        <v>0</v>
      </c>
      <c r="DT31" s="87">
        <f t="shared" si="38"/>
        <v>0</v>
      </c>
      <c r="DW31" s="87">
        <f t="shared" si="39"/>
        <v>0</v>
      </c>
      <c r="DZ31" s="87"/>
      <c r="EA31" s="87"/>
      <c r="EB31" s="122">
        <f t="shared" si="40"/>
        <v>5875000</v>
      </c>
      <c r="EC31" s="122">
        <f t="shared" si="41"/>
        <v>5875000</v>
      </c>
      <c r="ED31" s="87">
        <f t="shared" si="42"/>
        <v>8.1597222222222214</v>
      </c>
      <c r="EE31" s="88">
        <f t="shared" si="43"/>
        <v>4.999999999999999E-4</v>
      </c>
      <c r="EG31" s="122">
        <f t="shared" si="44"/>
        <v>0</v>
      </c>
      <c r="EH31" s="87">
        <f t="shared" si="45"/>
        <v>0</v>
      </c>
      <c r="EI31" s="88">
        <f t="shared" si="46"/>
        <v>0</v>
      </c>
      <c r="EJ31" s="88"/>
      <c r="EK31" s="122">
        <f t="shared" si="47"/>
        <v>0</v>
      </c>
      <c r="EL31" s="122">
        <f t="shared" si="48"/>
        <v>0</v>
      </c>
      <c r="EM31" s="122">
        <f t="shared" si="49"/>
        <v>0</v>
      </c>
      <c r="EN31" s="88">
        <f t="shared" si="50"/>
        <v>0</v>
      </c>
      <c r="EP31" s="87"/>
    </row>
    <row r="32" spans="1:146" x14ac:dyDescent="0.25">
      <c r="A32" s="35">
        <f t="shared" si="51"/>
        <v>44399</v>
      </c>
      <c r="B32" s="87">
        <v>0</v>
      </c>
      <c r="D32" s="87">
        <f t="shared" si="0"/>
        <v>0</v>
      </c>
      <c r="G32" s="87">
        <f t="shared" si="1"/>
        <v>0</v>
      </c>
      <c r="J32" s="87">
        <f t="shared" si="2"/>
        <v>0</v>
      </c>
      <c r="M32" s="87">
        <f t="shared" si="3"/>
        <v>0</v>
      </c>
      <c r="P32" s="87">
        <f t="shared" si="4"/>
        <v>0</v>
      </c>
      <c r="S32" s="87">
        <f t="shared" si="5"/>
        <v>0</v>
      </c>
      <c r="V32" s="87">
        <f t="shared" si="6"/>
        <v>0</v>
      </c>
      <c r="Y32" s="87">
        <f t="shared" si="7"/>
        <v>0</v>
      </c>
      <c r="AB32" s="87">
        <f t="shared" si="8"/>
        <v>0</v>
      </c>
      <c r="AE32" s="87">
        <v>0</v>
      </c>
      <c r="AH32" s="87">
        <v>0</v>
      </c>
      <c r="AI32" s="120"/>
      <c r="AJ32" s="121"/>
      <c r="AK32" s="87">
        <f t="shared" si="9"/>
        <v>0</v>
      </c>
      <c r="AL32" s="120"/>
      <c r="AM32" s="121"/>
      <c r="AN32" s="87">
        <f t="shared" si="10"/>
        <v>0</v>
      </c>
      <c r="AO32" s="120"/>
      <c r="AP32" s="121"/>
      <c r="AQ32" s="87">
        <f t="shared" si="11"/>
        <v>0</v>
      </c>
      <c r="AR32" s="120"/>
      <c r="AS32" s="121"/>
      <c r="AT32" s="87">
        <f t="shared" si="12"/>
        <v>0</v>
      </c>
      <c r="AW32" s="87">
        <f t="shared" si="13"/>
        <v>0</v>
      </c>
      <c r="AZ32" s="87">
        <f t="shared" si="14"/>
        <v>0</v>
      </c>
      <c r="BC32" s="87">
        <f t="shared" si="15"/>
        <v>0</v>
      </c>
      <c r="BF32" s="87">
        <f t="shared" si="16"/>
        <v>0</v>
      </c>
      <c r="BI32" s="87">
        <f t="shared" si="17"/>
        <v>0</v>
      </c>
      <c r="BL32" s="87">
        <f t="shared" si="18"/>
        <v>0</v>
      </c>
      <c r="BO32" s="87">
        <f t="shared" si="19"/>
        <v>0</v>
      </c>
      <c r="BR32" s="87">
        <f t="shared" si="20"/>
        <v>0</v>
      </c>
      <c r="BU32" s="87">
        <f t="shared" si="21"/>
        <v>0</v>
      </c>
      <c r="BX32" s="87">
        <f t="shared" si="22"/>
        <v>0</v>
      </c>
      <c r="CA32" s="87">
        <f t="shared" si="23"/>
        <v>0</v>
      </c>
      <c r="CD32" s="87">
        <f t="shared" si="24"/>
        <v>0</v>
      </c>
      <c r="CG32" s="87">
        <f t="shared" si="25"/>
        <v>0</v>
      </c>
      <c r="CJ32" s="87">
        <f t="shared" si="26"/>
        <v>0</v>
      </c>
      <c r="CM32" s="87">
        <f t="shared" si="27"/>
        <v>0</v>
      </c>
      <c r="CP32" s="87">
        <f t="shared" si="28"/>
        <v>0</v>
      </c>
      <c r="CS32" s="87">
        <f t="shared" si="29"/>
        <v>0</v>
      </c>
      <c r="CV32" s="87">
        <f t="shared" si="30"/>
        <v>0</v>
      </c>
      <c r="CY32" s="87">
        <f t="shared" si="31"/>
        <v>0</v>
      </c>
      <c r="DB32" s="87">
        <f t="shared" si="32"/>
        <v>0</v>
      </c>
      <c r="DE32" s="87">
        <f t="shared" si="33"/>
        <v>0</v>
      </c>
      <c r="DH32" s="87">
        <f t="shared" si="34"/>
        <v>0</v>
      </c>
      <c r="DK32" s="87">
        <f t="shared" si="35"/>
        <v>0</v>
      </c>
      <c r="DN32" s="87">
        <f t="shared" si="36"/>
        <v>0</v>
      </c>
      <c r="DQ32" s="87">
        <f t="shared" si="37"/>
        <v>0</v>
      </c>
      <c r="DT32" s="87">
        <f t="shared" si="38"/>
        <v>0</v>
      </c>
      <c r="DW32" s="87">
        <f t="shared" si="39"/>
        <v>0</v>
      </c>
      <c r="DZ32" s="87"/>
      <c r="EA32" s="87"/>
      <c r="EB32" s="122">
        <f t="shared" si="40"/>
        <v>0</v>
      </c>
      <c r="EC32" s="122">
        <f t="shared" si="41"/>
        <v>0</v>
      </c>
      <c r="ED32" s="87">
        <f t="shared" si="42"/>
        <v>0</v>
      </c>
      <c r="EE32" s="88">
        <f t="shared" si="43"/>
        <v>0</v>
      </c>
      <c r="EG32" s="122">
        <f t="shared" si="44"/>
        <v>0</v>
      </c>
      <c r="EH32" s="87">
        <f t="shared" si="45"/>
        <v>0</v>
      </c>
      <c r="EI32" s="88">
        <f t="shared" si="46"/>
        <v>0</v>
      </c>
      <c r="EJ32" s="88"/>
      <c r="EK32" s="122">
        <f t="shared" si="47"/>
        <v>0</v>
      </c>
      <c r="EL32" s="122">
        <f t="shared" si="48"/>
        <v>0</v>
      </c>
      <c r="EM32" s="122">
        <f t="shared" si="49"/>
        <v>0</v>
      </c>
      <c r="EN32" s="88">
        <f t="shared" si="50"/>
        <v>0</v>
      </c>
      <c r="EP32" s="87"/>
    </row>
    <row r="33" spans="1:146" x14ac:dyDescent="0.25">
      <c r="A33" s="35">
        <f t="shared" si="51"/>
        <v>44400</v>
      </c>
      <c r="B33" s="87">
        <v>0</v>
      </c>
      <c r="D33" s="87">
        <f t="shared" si="0"/>
        <v>0</v>
      </c>
      <c r="G33" s="87">
        <f t="shared" si="1"/>
        <v>0</v>
      </c>
      <c r="J33" s="87">
        <f t="shared" si="2"/>
        <v>0</v>
      </c>
      <c r="M33" s="87">
        <f t="shared" si="3"/>
        <v>0</v>
      </c>
      <c r="P33" s="87">
        <f t="shared" si="4"/>
        <v>0</v>
      </c>
      <c r="S33" s="87">
        <f t="shared" si="5"/>
        <v>0</v>
      </c>
      <c r="V33" s="87">
        <f t="shared" si="6"/>
        <v>0</v>
      </c>
      <c r="Y33" s="87">
        <f t="shared" si="7"/>
        <v>0</v>
      </c>
      <c r="AB33" s="87">
        <f t="shared" si="8"/>
        <v>0</v>
      </c>
      <c r="AE33" s="87">
        <v>0</v>
      </c>
      <c r="AH33" s="87">
        <v>0</v>
      </c>
      <c r="AI33" s="120"/>
      <c r="AJ33" s="121"/>
      <c r="AK33" s="87">
        <f t="shared" si="9"/>
        <v>0</v>
      </c>
      <c r="AL33" s="120"/>
      <c r="AM33" s="121"/>
      <c r="AN33" s="87">
        <f t="shared" si="10"/>
        <v>0</v>
      </c>
      <c r="AO33" s="120"/>
      <c r="AP33" s="121"/>
      <c r="AQ33" s="87">
        <f t="shared" si="11"/>
        <v>0</v>
      </c>
      <c r="AR33" s="120"/>
      <c r="AS33" s="121"/>
      <c r="AT33" s="87">
        <f t="shared" si="12"/>
        <v>0</v>
      </c>
      <c r="AW33" s="87">
        <f t="shared" si="13"/>
        <v>0</v>
      </c>
      <c r="AZ33" s="87">
        <f t="shared" si="14"/>
        <v>0</v>
      </c>
      <c r="BC33" s="87">
        <f t="shared" si="15"/>
        <v>0</v>
      </c>
      <c r="BF33" s="87">
        <f t="shared" si="16"/>
        <v>0</v>
      </c>
      <c r="BI33" s="87">
        <f t="shared" si="17"/>
        <v>0</v>
      </c>
      <c r="BL33" s="87">
        <f t="shared" si="18"/>
        <v>0</v>
      </c>
      <c r="BO33" s="87">
        <f t="shared" si="19"/>
        <v>0</v>
      </c>
      <c r="BR33" s="87">
        <f t="shared" si="20"/>
        <v>0</v>
      </c>
      <c r="BU33" s="87">
        <f t="shared" si="21"/>
        <v>0</v>
      </c>
      <c r="BX33" s="87">
        <f t="shared" si="22"/>
        <v>0</v>
      </c>
      <c r="CA33" s="87">
        <f t="shared" si="23"/>
        <v>0</v>
      </c>
      <c r="CD33" s="87">
        <f t="shared" si="24"/>
        <v>0</v>
      </c>
      <c r="CG33" s="87">
        <f t="shared" si="25"/>
        <v>0</v>
      </c>
      <c r="CJ33" s="87">
        <f t="shared" si="26"/>
        <v>0</v>
      </c>
      <c r="CM33" s="87">
        <f t="shared" si="27"/>
        <v>0</v>
      </c>
      <c r="CP33" s="87">
        <f t="shared" si="28"/>
        <v>0</v>
      </c>
      <c r="CS33" s="87">
        <f t="shared" si="29"/>
        <v>0</v>
      </c>
      <c r="CV33" s="87">
        <f t="shared" si="30"/>
        <v>0</v>
      </c>
      <c r="CY33" s="87">
        <f t="shared" si="31"/>
        <v>0</v>
      </c>
      <c r="DB33" s="87">
        <f t="shared" si="32"/>
        <v>0</v>
      </c>
      <c r="DE33" s="87">
        <f t="shared" si="33"/>
        <v>0</v>
      </c>
      <c r="DH33" s="87">
        <f t="shared" si="34"/>
        <v>0</v>
      </c>
      <c r="DK33" s="87">
        <f t="shared" si="35"/>
        <v>0</v>
      </c>
      <c r="DN33" s="87">
        <f t="shared" si="36"/>
        <v>0</v>
      </c>
      <c r="DQ33" s="87">
        <f t="shared" si="37"/>
        <v>0</v>
      </c>
      <c r="DT33" s="87">
        <f t="shared" si="38"/>
        <v>0</v>
      </c>
      <c r="DW33" s="87">
        <f t="shared" si="39"/>
        <v>0</v>
      </c>
      <c r="DZ33" s="87"/>
      <c r="EA33" s="87"/>
      <c r="EB33" s="122">
        <f t="shared" si="40"/>
        <v>0</v>
      </c>
      <c r="EC33" s="122">
        <f t="shared" si="41"/>
        <v>0</v>
      </c>
      <c r="ED33" s="87">
        <f t="shared" si="42"/>
        <v>0</v>
      </c>
      <c r="EE33" s="88">
        <f t="shared" si="43"/>
        <v>0</v>
      </c>
      <c r="EG33" s="122">
        <f t="shared" si="44"/>
        <v>0</v>
      </c>
      <c r="EH33" s="87">
        <f t="shared" si="45"/>
        <v>0</v>
      </c>
      <c r="EI33" s="88">
        <f t="shared" si="46"/>
        <v>0</v>
      </c>
      <c r="EJ33" s="88"/>
      <c r="EK33" s="122">
        <f t="shared" si="47"/>
        <v>0</v>
      </c>
      <c r="EL33" s="122">
        <f t="shared" si="48"/>
        <v>0</v>
      </c>
      <c r="EM33" s="122">
        <f t="shared" si="49"/>
        <v>0</v>
      </c>
      <c r="EN33" s="88">
        <f t="shared" si="50"/>
        <v>0</v>
      </c>
      <c r="EP33" s="87"/>
    </row>
    <row r="34" spans="1:146" x14ac:dyDescent="0.25">
      <c r="A34" s="35">
        <f t="shared" si="51"/>
        <v>44401</v>
      </c>
      <c r="B34" s="87">
        <v>0</v>
      </c>
      <c r="D34" s="87">
        <f t="shared" si="0"/>
        <v>0</v>
      </c>
      <c r="G34" s="87">
        <f t="shared" si="1"/>
        <v>0</v>
      </c>
      <c r="J34" s="87">
        <f t="shared" si="2"/>
        <v>0</v>
      </c>
      <c r="M34" s="87">
        <f t="shared" si="3"/>
        <v>0</v>
      </c>
      <c r="P34" s="87">
        <f t="shared" si="4"/>
        <v>0</v>
      </c>
      <c r="S34" s="87">
        <f t="shared" si="5"/>
        <v>0</v>
      </c>
      <c r="V34" s="87">
        <f t="shared" si="6"/>
        <v>0</v>
      </c>
      <c r="Y34" s="87">
        <f t="shared" si="7"/>
        <v>0</v>
      </c>
      <c r="AB34" s="87">
        <f t="shared" si="8"/>
        <v>0</v>
      </c>
      <c r="AE34" s="87">
        <v>0</v>
      </c>
      <c r="AH34" s="87">
        <v>0</v>
      </c>
      <c r="AI34" s="120"/>
      <c r="AJ34" s="121"/>
      <c r="AK34" s="87">
        <f t="shared" si="9"/>
        <v>0</v>
      </c>
      <c r="AL34" s="120"/>
      <c r="AM34" s="121"/>
      <c r="AN34" s="87">
        <f t="shared" si="10"/>
        <v>0</v>
      </c>
      <c r="AO34" s="120"/>
      <c r="AP34" s="121"/>
      <c r="AQ34" s="87">
        <f t="shared" si="11"/>
        <v>0</v>
      </c>
      <c r="AR34" s="120"/>
      <c r="AS34" s="121"/>
      <c r="AT34" s="87">
        <f t="shared" si="12"/>
        <v>0</v>
      </c>
      <c r="AW34" s="87">
        <f t="shared" si="13"/>
        <v>0</v>
      </c>
      <c r="AZ34" s="87">
        <f t="shared" si="14"/>
        <v>0</v>
      </c>
      <c r="BC34" s="87">
        <f t="shared" si="15"/>
        <v>0</v>
      </c>
      <c r="BF34" s="87">
        <f t="shared" si="16"/>
        <v>0</v>
      </c>
      <c r="BI34" s="87">
        <f t="shared" si="17"/>
        <v>0</v>
      </c>
      <c r="BL34" s="87">
        <f t="shared" si="18"/>
        <v>0</v>
      </c>
      <c r="BO34" s="87">
        <f t="shared" si="19"/>
        <v>0</v>
      </c>
      <c r="BR34" s="87">
        <f t="shared" si="20"/>
        <v>0</v>
      </c>
      <c r="BU34" s="87">
        <f t="shared" si="21"/>
        <v>0</v>
      </c>
      <c r="BX34" s="87">
        <f t="shared" si="22"/>
        <v>0</v>
      </c>
      <c r="CA34" s="87">
        <f t="shared" si="23"/>
        <v>0</v>
      </c>
      <c r="CD34" s="87">
        <f t="shared" si="24"/>
        <v>0</v>
      </c>
      <c r="CG34" s="87">
        <f t="shared" si="25"/>
        <v>0</v>
      </c>
      <c r="CJ34" s="87">
        <f t="shared" si="26"/>
        <v>0</v>
      </c>
      <c r="CM34" s="87">
        <f t="shared" si="27"/>
        <v>0</v>
      </c>
      <c r="CP34" s="87">
        <f t="shared" si="28"/>
        <v>0</v>
      </c>
      <c r="CS34" s="87">
        <f t="shared" si="29"/>
        <v>0</v>
      </c>
      <c r="CV34" s="87">
        <f t="shared" si="30"/>
        <v>0</v>
      </c>
      <c r="CY34" s="87">
        <f t="shared" si="31"/>
        <v>0</v>
      </c>
      <c r="DB34" s="87">
        <f t="shared" si="32"/>
        <v>0</v>
      </c>
      <c r="DE34" s="87">
        <f t="shared" si="33"/>
        <v>0</v>
      </c>
      <c r="DH34" s="87">
        <f t="shared" si="34"/>
        <v>0</v>
      </c>
      <c r="DK34" s="87">
        <f t="shared" si="35"/>
        <v>0</v>
      </c>
      <c r="DN34" s="87">
        <f t="shared" si="36"/>
        <v>0</v>
      </c>
      <c r="DQ34" s="87">
        <f t="shared" si="37"/>
        <v>0</v>
      </c>
      <c r="DT34" s="87">
        <f t="shared" si="38"/>
        <v>0</v>
      </c>
      <c r="DW34" s="87">
        <f t="shared" si="39"/>
        <v>0</v>
      </c>
      <c r="DZ34" s="87"/>
      <c r="EA34" s="87"/>
      <c r="EB34" s="122">
        <f t="shared" si="40"/>
        <v>0</v>
      </c>
      <c r="EC34" s="122">
        <f t="shared" si="41"/>
        <v>0</v>
      </c>
      <c r="ED34" s="87">
        <f t="shared" si="42"/>
        <v>0</v>
      </c>
      <c r="EE34" s="88">
        <f t="shared" si="43"/>
        <v>0</v>
      </c>
      <c r="EG34" s="122">
        <f t="shared" si="44"/>
        <v>0</v>
      </c>
      <c r="EH34" s="87">
        <f t="shared" si="45"/>
        <v>0</v>
      </c>
      <c r="EI34" s="88">
        <f t="shared" si="46"/>
        <v>0</v>
      </c>
      <c r="EJ34" s="88"/>
      <c r="EK34" s="122">
        <f t="shared" si="47"/>
        <v>0</v>
      </c>
      <c r="EL34" s="122">
        <f t="shared" si="48"/>
        <v>0</v>
      </c>
      <c r="EM34" s="122">
        <f t="shared" si="49"/>
        <v>0</v>
      </c>
      <c r="EN34" s="88">
        <f t="shared" si="50"/>
        <v>0</v>
      </c>
      <c r="EP34" s="87"/>
    </row>
    <row r="35" spans="1:146" x14ac:dyDescent="0.25">
      <c r="A35" s="35">
        <f t="shared" si="51"/>
        <v>44402</v>
      </c>
      <c r="B35" s="87">
        <v>0</v>
      </c>
      <c r="D35" s="87">
        <f t="shared" si="0"/>
        <v>0</v>
      </c>
      <c r="G35" s="87">
        <f t="shared" si="1"/>
        <v>0</v>
      </c>
      <c r="J35" s="87">
        <f t="shared" si="2"/>
        <v>0</v>
      </c>
      <c r="M35" s="87">
        <f t="shared" si="3"/>
        <v>0</v>
      </c>
      <c r="P35" s="87">
        <f t="shared" si="4"/>
        <v>0</v>
      </c>
      <c r="S35" s="87">
        <f t="shared" si="5"/>
        <v>0</v>
      </c>
      <c r="V35" s="87">
        <f t="shared" si="6"/>
        <v>0</v>
      </c>
      <c r="Y35" s="87">
        <f t="shared" si="7"/>
        <v>0</v>
      </c>
      <c r="AB35" s="87">
        <f t="shared" si="8"/>
        <v>0</v>
      </c>
      <c r="AE35" s="87">
        <v>0</v>
      </c>
      <c r="AH35" s="87">
        <v>0</v>
      </c>
      <c r="AI35" s="120"/>
      <c r="AJ35" s="121"/>
      <c r="AK35" s="87">
        <f t="shared" si="9"/>
        <v>0</v>
      </c>
      <c r="AL35" s="120"/>
      <c r="AM35" s="121"/>
      <c r="AN35" s="87">
        <f t="shared" si="10"/>
        <v>0</v>
      </c>
      <c r="AO35" s="120"/>
      <c r="AP35" s="121"/>
      <c r="AQ35" s="87">
        <f t="shared" si="11"/>
        <v>0</v>
      </c>
      <c r="AR35" s="120"/>
      <c r="AS35" s="121"/>
      <c r="AT35" s="87">
        <f t="shared" si="12"/>
        <v>0</v>
      </c>
      <c r="AW35" s="87">
        <f t="shared" si="13"/>
        <v>0</v>
      </c>
      <c r="AZ35" s="87">
        <f t="shared" si="14"/>
        <v>0</v>
      </c>
      <c r="BC35" s="87">
        <f t="shared" si="15"/>
        <v>0</v>
      </c>
      <c r="BF35" s="87">
        <f t="shared" si="16"/>
        <v>0</v>
      </c>
      <c r="BI35" s="87">
        <f t="shared" si="17"/>
        <v>0</v>
      </c>
      <c r="BL35" s="87">
        <f t="shared" si="18"/>
        <v>0</v>
      </c>
      <c r="BO35" s="87">
        <f t="shared" si="19"/>
        <v>0</v>
      </c>
      <c r="BR35" s="87">
        <f t="shared" si="20"/>
        <v>0</v>
      </c>
      <c r="BU35" s="87">
        <f t="shared" si="21"/>
        <v>0</v>
      </c>
      <c r="BX35" s="87">
        <f t="shared" si="22"/>
        <v>0</v>
      </c>
      <c r="CA35" s="87">
        <f t="shared" si="23"/>
        <v>0</v>
      </c>
      <c r="CD35" s="87">
        <f t="shared" si="24"/>
        <v>0</v>
      </c>
      <c r="CG35" s="87">
        <f t="shared" si="25"/>
        <v>0</v>
      </c>
      <c r="CJ35" s="87">
        <f t="shared" si="26"/>
        <v>0</v>
      </c>
      <c r="CM35" s="87">
        <f t="shared" si="27"/>
        <v>0</v>
      </c>
      <c r="CP35" s="87">
        <f t="shared" si="28"/>
        <v>0</v>
      </c>
      <c r="CS35" s="87">
        <f t="shared" si="29"/>
        <v>0</v>
      </c>
      <c r="CV35" s="87">
        <f t="shared" si="30"/>
        <v>0</v>
      </c>
      <c r="CY35" s="87">
        <f t="shared" si="31"/>
        <v>0</v>
      </c>
      <c r="DB35" s="87">
        <f t="shared" si="32"/>
        <v>0</v>
      </c>
      <c r="DE35" s="87">
        <f t="shared" si="33"/>
        <v>0</v>
      </c>
      <c r="DH35" s="87">
        <f t="shared" si="34"/>
        <v>0</v>
      </c>
      <c r="DK35" s="87">
        <f t="shared" si="35"/>
        <v>0</v>
      </c>
      <c r="DN35" s="87">
        <f t="shared" si="36"/>
        <v>0</v>
      </c>
      <c r="DQ35" s="87">
        <f t="shared" si="37"/>
        <v>0</v>
      </c>
      <c r="DT35" s="87">
        <f t="shared" si="38"/>
        <v>0</v>
      </c>
      <c r="DW35" s="87">
        <f t="shared" si="39"/>
        <v>0</v>
      </c>
      <c r="DZ35" s="87"/>
      <c r="EA35" s="87"/>
      <c r="EB35" s="122">
        <f t="shared" si="40"/>
        <v>0</v>
      </c>
      <c r="EC35" s="122">
        <f t="shared" si="41"/>
        <v>0</v>
      </c>
      <c r="ED35" s="87">
        <f t="shared" si="42"/>
        <v>0</v>
      </c>
      <c r="EE35" s="88">
        <f t="shared" si="43"/>
        <v>0</v>
      </c>
      <c r="EG35" s="122">
        <f t="shared" si="44"/>
        <v>0</v>
      </c>
      <c r="EH35" s="87">
        <f t="shared" si="45"/>
        <v>0</v>
      </c>
      <c r="EI35" s="88">
        <f t="shared" si="46"/>
        <v>0</v>
      </c>
      <c r="EJ35" s="88"/>
      <c r="EK35" s="122">
        <f t="shared" si="47"/>
        <v>0</v>
      </c>
      <c r="EL35" s="122">
        <f t="shared" si="48"/>
        <v>0</v>
      </c>
      <c r="EM35" s="122">
        <f t="shared" si="49"/>
        <v>0</v>
      </c>
      <c r="EN35" s="88">
        <f t="shared" si="50"/>
        <v>0</v>
      </c>
      <c r="EP35" s="87"/>
    </row>
    <row r="36" spans="1:146" x14ac:dyDescent="0.25">
      <c r="A36" s="35">
        <f t="shared" si="51"/>
        <v>44403</v>
      </c>
      <c r="B36" s="87">
        <v>0</v>
      </c>
      <c r="D36" s="87">
        <f t="shared" si="0"/>
        <v>0</v>
      </c>
      <c r="G36" s="87">
        <f t="shared" si="1"/>
        <v>0</v>
      </c>
      <c r="J36" s="87">
        <f t="shared" si="2"/>
        <v>0</v>
      </c>
      <c r="M36" s="87">
        <f t="shared" si="3"/>
        <v>0</v>
      </c>
      <c r="P36" s="87">
        <f t="shared" si="4"/>
        <v>0</v>
      </c>
      <c r="S36" s="87">
        <f t="shared" si="5"/>
        <v>0</v>
      </c>
      <c r="V36" s="87">
        <f t="shared" si="6"/>
        <v>0</v>
      </c>
      <c r="Y36" s="87">
        <f t="shared" si="7"/>
        <v>0</v>
      </c>
      <c r="AB36" s="87">
        <f t="shared" si="8"/>
        <v>0</v>
      </c>
      <c r="AE36" s="87">
        <v>0</v>
      </c>
      <c r="AH36" s="87">
        <v>0</v>
      </c>
      <c r="AI36" s="120"/>
      <c r="AJ36" s="121"/>
      <c r="AK36" s="87">
        <f t="shared" si="9"/>
        <v>0</v>
      </c>
      <c r="AL36" s="120"/>
      <c r="AM36" s="121"/>
      <c r="AN36" s="87">
        <f t="shared" si="10"/>
        <v>0</v>
      </c>
      <c r="AO36" s="120"/>
      <c r="AP36" s="121"/>
      <c r="AQ36" s="87">
        <f t="shared" si="11"/>
        <v>0</v>
      </c>
      <c r="AR36" s="120"/>
      <c r="AS36" s="121"/>
      <c r="AT36" s="87">
        <f t="shared" si="12"/>
        <v>0</v>
      </c>
      <c r="AW36" s="87">
        <f t="shared" si="13"/>
        <v>0</v>
      </c>
      <c r="AZ36" s="87">
        <f t="shared" si="14"/>
        <v>0</v>
      </c>
      <c r="BC36" s="87">
        <f t="shared" si="15"/>
        <v>0</v>
      </c>
      <c r="BF36" s="87">
        <f t="shared" si="16"/>
        <v>0</v>
      </c>
      <c r="BI36" s="87">
        <f t="shared" si="17"/>
        <v>0</v>
      </c>
      <c r="BL36" s="87">
        <f t="shared" si="18"/>
        <v>0</v>
      </c>
      <c r="BO36" s="87">
        <f t="shared" si="19"/>
        <v>0</v>
      </c>
      <c r="BR36" s="87">
        <f t="shared" si="20"/>
        <v>0</v>
      </c>
      <c r="BU36" s="87">
        <f t="shared" si="21"/>
        <v>0</v>
      </c>
      <c r="BX36" s="87">
        <f t="shared" si="22"/>
        <v>0</v>
      </c>
      <c r="CA36" s="87">
        <f t="shared" si="23"/>
        <v>0</v>
      </c>
      <c r="CD36" s="87">
        <f t="shared" si="24"/>
        <v>0</v>
      </c>
      <c r="CG36" s="87">
        <f t="shared" si="25"/>
        <v>0</v>
      </c>
      <c r="CJ36" s="87">
        <f t="shared" si="26"/>
        <v>0</v>
      </c>
      <c r="CM36" s="87">
        <f t="shared" si="27"/>
        <v>0</v>
      </c>
      <c r="CP36" s="87">
        <f t="shared" si="28"/>
        <v>0</v>
      </c>
      <c r="CS36" s="87">
        <f t="shared" si="29"/>
        <v>0</v>
      </c>
      <c r="CV36" s="87">
        <f t="shared" si="30"/>
        <v>0</v>
      </c>
      <c r="CY36" s="87">
        <f t="shared" si="31"/>
        <v>0</v>
      </c>
      <c r="DB36" s="87">
        <f t="shared" si="32"/>
        <v>0</v>
      </c>
      <c r="DE36" s="87">
        <f t="shared" si="33"/>
        <v>0</v>
      </c>
      <c r="DH36" s="87">
        <f t="shared" si="34"/>
        <v>0</v>
      </c>
      <c r="DK36" s="87">
        <f t="shared" si="35"/>
        <v>0</v>
      </c>
      <c r="DN36" s="87">
        <f t="shared" si="36"/>
        <v>0</v>
      </c>
      <c r="DQ36" s="87">
        <f t="shared" si="37"/>
        <v>0</v>
      </c>
      <c r="DT36" s="87">
        <f t="shared" si="38"/>
        <v>0</v>
      </c>
      <c r="DW36" s="87">
        <f t="shared" si="39"/>
        <v>0</v>
      </c>
      <c r="DZ36" s="87"/>
      <c r="EA36" s="87"/>
      <c r="EB36" s="122">
        <f t="shared" si="40"/>
        <v>0</v>
      </c>
      <c r="EC36" s="122">
        <f t="shared" si="41"/>
        <v>0</v>
      </c>
      <c r="ED36" s="87">
        <f t="shared" si="42"/>
        <v>0</v>
      </c>
      <c r="EE36" s="88">
        <f t="shared" si="43"/>
        <v>0</v>
      </c>
      <c r="EG36" s="122">
        <f t="shared" si="44"/>
        <v>0</v>
      </c>
      <c r="EH36" s="87">
        <f t="shared" si="45"/>
        <v>0</v>
      </c>
      <c r="EI36" s="88">
        <f t="shared" si="46"/>
        <v>0</v>
      </c>
      <c r="EJ36" s="88"/>
      <c r="EK36" s="122">
        <f t="shared" si="47"/>
        <v>0</v>
      </c>
      <c r="EL36" s="122">
        <f t="shared" si="48"/>
        <v>0</v>
      </c>
      <c r="EM36" s="122">
        <f t="shared" si="49"/>
        <v>0</v>
      </c>
      <c r="EN36" s="88">
        <f t="shared" si="50"/>
        <v>0</v>
      </c>
      <c r="EP36" s="87"/>
    </row>
    <row r="37" spans="1:146" x14ac:dyDescent="0.25">
      <c r="A37" s="35">
        <f t="shared" si="51"/>
        <v>44404</v>
      </c>
      <c r="B37" s="87">
        <v>0</v>
      </c>
      <c r="D37" s="87">
        <f t="shared" si="0"/>
        <v>0</v>
      </c>
      <c r="G37" s="87">
        <f t="shared" si="1"/>
        <v>0</v>
      </c>
      <c r="J37" s="87">
        <f t="shared" si="2"/>
        <v>0</v>
      </c>
      <c r="M37" s="87">
        <f t="shared" si="3"/>
        <v>0</v>
      </c>
      <c r="P37" s="87">
        <f t="shared" si="4"/>
        <v>0</v>
      </c>
      <c r="S37" s="87">
        <f t="shared" si="5"/>
        <v>0</v>
      </c>
      <c r="V37" s="87">
        <f t="shared" si="6"/>
        <v>0</v>
      </c>
      <c r="Y37" s="87">
        <f t="shared" si="7"/>
        <v>0</v>
      </c>
      <c r="AB37" s="87">
        <f t="shared" si="8"/>
        <v>0</v>
      </c>
      <c r="AE37" s="87">
        <v>0</v>
      </c>
      <c r="AH37" s="87">
        <v>0</v>
      </c>
      <c r="AI37" s="120"/>
      <c r="AJ37" s="121"/>
      <c r="AK37" s="87">
        <f t="shared" si="9"/>
        <v>0</v>
      </c>
      <c r="AL37" s="120"/>
      <c r="AM37" s="121"/>
      <c r="AN37" s="87">
        <f t="shared" si="10"/>
        <v>0</v>
      </c>
      <c r="AO37" s="120"/>
      <c r="AP37" s="121"/>
      <c r="AQ37" s="87">
        <f t="shared" si="11"/>
        <v>0</v>
      </c>
      <c r="AR37" s="120"/>
      <c r="AS37" s="121"/>
      <c r="AT37" s="87">
        <f t="shared" si="12"/>
        <v>0</v>
      </c>
      <c r="AW37" s="87">
        <f t="shared" si="13"/>
        <v>0</v>
      </c>
      <c r="AZ37" s="87">
        <f t="shared" si="14"/>
        <v>0</v>
      </c>
      <c r="BC37" s="87">
        <f t="shared" si="15"/>
        <v>0</v>
      </c>
      <c r="BF37" s="87">
        <f t="shared" si="16"/>
        <v>0</v>
      </c>
      <c r="BI37" s="87">
        <f t="shared" si="17"/>
        <v>0</v>
      </c>
      <c r="BL37" s="87">
        <f t="shared" si="18"/>
        <v>0</v>
      </c>
      <c r="BO37" s="87">
        <f t="shared" si="19"/>
        <v>0</v>
      </c>
      <c r="BR37" s="87">
        <f t="shared" si="20"/>
        <v>0</v>
      </c>
      <c r="BU37" s="87">
        <f t="shared" si="21"/>
        <v>0</v>
      </c>
      <c r="BX37" s="87">
        <f t="shared" si="22"/>
        <v>0</v>
      </c>
      <c r="CA37" s="87">
        <f t="shared" si="23"/>
        <v>0</v>
      </c>
      <c r="CD37" s="87">
        <f t="shared" si="24"/>
        <v>0</v>
      </c>
      <c r="CG37" s="87">
        <f t="shared" si="25"/>
        <v>0</v>
      </c>
      <c r="CJ37" s="87">
        <f t="shared" si="26"/>
        <v>0</v>
      </c>
      <c r="CM37" s="87">
        <f t="shared" si="27"/>
        <v>0</v>
      </c>
      <c r="CP37" s="87">
        <f t="shared" si="28"/>
        <v>0</v>
      </c>
      <c r="CS37" s="87">
        <f t="shared" si="29"/>
        <v>0</v>
      </c>
      <c r="CV37" s="87">
        <f t="shared" si="30"/>
        <v>0</v>
      </c>
      <c r="CY37" s="87">
        <f t="shared" si="31"/>
        <v>0</v>
      </c>
      <c r="DB37" s="87">
        <f t="shared" si="32"/>
        <v>0</v>
      </c>
      <c r="DE37" s="87">
        <f t="shared" si="33"/>
        <v>0</v>
      </c>
      <c r="DH37" s="87">
        <f t="shared" si="34"/>
        <v>0</v>
      </c>
      <c r="DK37" s="87">
        <f t="shared" si="35"/>
        <v>0</v>
      </c>
      <c r="DN37" s="87">
        <f t="shared" si="36"/>
        <v>0</v>
      </c>
      <c r="DQ37" s="87">
        <f t="shared" si="37"/>
        <v>0</v>
      </c>
      <c r="DT37" s="87">
        <f t="shared" si="38"/>
        <v>0</v>
      </c>
      <c r="DW37" s="87">
        <f t="shared" si="39"/>
        <v>0</v>
      </c>
      <c r="DZ37" s="87"/>
      <c r="EA37" s="87"/>
      <c r="EB37" s="122">
        <f t="shared" si="40"/>
        <v>0</v>
      </c>
      <c r="EC37" s="122">
        <f t="shared" si="41"/>
        <v>0</v>
      </c>
      <c r="ED37" s="87">
        <f t="shared" si="42"/>
        <v>0</v>
      </c>
      <c r="EE37" s="88">
        <f t="shared" si="43"/>
        <v>0</v>
      </c>
      <c r="EG37" s="122">
        <f t="shared" si="44"/>
        <v>0</v>
      </c>
      <c r="EH37" s="87">
        <f t="shared" si="45"/>
        <v>0</v>
      </c>
      <c r="EI37" s="88">
        <f t="shared" si="46"/>
        <v>0</v>
      </c>
      <c r="EJ37" s="88"/>
      <c r="EK37" s="122">
        <f t="shared" si="47"/>
        <v>0</v>
      </c>
      <c r="EL37" s="122">
        <f t="shared" si="48"/>
        <v>0</v>
      </c>
      <c r="EM37" s="122">
        <f t="shared" si="49"/>
        <v>0</v>
      </c>
      <c r="EN37" s="88">
        <f t="shared" si="50"/>
        <v>0</v>
      </c>
      <c r="EP37" s="87"/>
    </row>
    <row r="38" spans="1:146" x14ac:dyDescent="0.25">
      <c r="A38" s="35">
        <f t="shared" si="51"/>
        <v>44405</v>
      </c>
      <c r="B38" s="87">
        <v>0</v>
      </c>
      <c r="D38" s="87">
        <f t="shared" si="0"/>
        <v>0</v>
      </c>
      <c r="G38" s="87">
        <f t="shared" si="1"/>
        <v>0</v>
      </c>
      <c r="J38" s="87">
        <f t="shared" si="2"/>
        <v>0</v>
      </c>
      <c r="M38" s="87">
        <f t="shared" si="3"/>
        <v>0</v>
      </c>
      <c r="P38" s="87">
        <f t="shared" si="4"/>
        <v>0</v>
      </c>
      <c r="S38" s="87">
        <f t="shared" si="5"/>
        <v>0</v>
      </c>
      <c r="V38" s="87">
        <f t="shared" si="6"/>
        <v>0</v>
      </c>
      <c r="Y38" s="87">
        <f t="shared" si="7"/>
        <v>0</v>
      </c>
      <c r="AB38" s="87">
        <f t="shared" si="8"/>
        <v>0</v>
      </c>
      <c r="AE38" s="87">
        <v>0</v>
      </c>
      <c r="AH38" s="87">
        <v>0</v>
      </c>
      <c r="AI38" s="120"/>
      <c r="AJ38" s="121"/>
      <c r="AK38" s="87">
        <f t="shared" si="9"/>
        <v>0</v>
      </c>
      <c r="AL38" s="120"/>
      <c r="AM38" s="121"/>
      <c r="AN38" s="87">
        <f t="shared" si="10"/>
        <v>0</v>
      </c>
      <c r="AO38" s="120"/>
      <c r="AP38" s="121"/>
      <c r="AQ38" s="87">
        <f t="shared" si="11"/>
        <v>0</v>
      </c>
      <c r="AR38" s="120"/>
      <c r="AS38" s="121"/>
      <c r="AT38" s="87">
        <f t="shared" si="12"/>
        <v>0</v>
      </c>
      <c r="AW38" s="87">
        <f t="shared" si="13"/>
        <v>0</v>
      </c>
      <c r="AZ38" s="87">
        <f t="shared" si="14"/>
        <v>0</v>
      </c>
      <c r="BC38" s="87">
        <f t="shared" si="15"/>
        <v>0</v>
      </c>
      <c r="BF38" s="87">
        <f t="shared" si="16"/>
        <v>0</v>
      </c>
      <c r="BI38" s="87">
        <f t="shared" si="17"/>
        <v>0</v>
      </c>
      <c r="BL38" s="87">
        <f t="shared" si="18"/>
        <v>0</v>
      </c>
      <c r="BO38" s="87">
        <f t="shared" si="19"/>
        <v>0</v>
      </c>
      <c r="BR38" s="87">
        <f t="shared" si="20"/>
        <v>0</v>
      </c>
      <c r="BU38" s="87">
        <f t="shared" si="21"/>
        <v>0</v>
      </c>
      <c r="BX38" s="87">
        <f t="shared" si="22"/>
        <v>0</v>
      </c>
      <c r="CA38" s="87">
        <f t="shared" si="23"/>
        <v>0</v>
      </c>
      <c r="CD38" s="87">
        <f t="shared" si="24"/>
        <v>0</v>
      </c>
      <c r="CG38" s="87">
        <f t="shared" si="25"/>
        <v>0</v>
      </c>
      <c r="CJ38" s="87">
        <f t="shared" si="26"/>
        <v>0</v>
      </c>
      <c r="CM38" s="87">
        <f t="shared" si="27"/>
        <v>0</v>
      </c>
      <c r="CP38" s="87">
        <f t="shared" si="28"/>
        <v>0</v>
      </c>
      <c r="CS38" s="87">
        <f t="shared" si="29"/>
        <v>0</v>
      </c>
      <c r="CV38" s="87">
        <f t="shared" si="30"/>
        <v>0</v>
      </c>
      <c r="CY38" s="87">
        <f t="shared" si="31"/>
        <v>0</v>
      </c>
      <c r="DB38" s="87">
        <f t="shared" si="32"/>
        <v>0</v>
      </c>
      <c r="DE38" s="87">
        <f t="shared" si="33"/>
        <v>0</v>
      </c>
      <c r="DH38" s="87">
        <f t="shared" si="34"/>
        <v>0</v>
      </c>
      <c r="DK38" s="87">
        <f t="shared" si="35"/>
        <v>0</v>
      </c>
      <c r="DN38" s="87">
        <f t="shared" si="36"/>
        <v>0</v>
      </c>
      <c r="DQ38" s="87">
        <f t="shared" si="37"/>
        <v>0</v>
      </c>
      <c r="DT38" s="87">
        <f t="shared" si="38"/>
        <v>0</v>
      </c>
      <c r="DW38" s="87">
        <f t="shared" si="39"/>
        <v>0</v>
      </c>
      <c r="DZ38" s="87"/>
      <c r="EA38" s="87"/>
      <c r="EB38" s="122">
        <f t="shared" si="40"/>
        <v>0</v>
      </c>
      <c r="EC38" s="122">
        <f t="shared" si="41"/>
        <v>0</v>
      </c>
      <c r="ED38" s="87">
        <f t="shared" si="42"/>
        <v>0</v>
      </c>
      <c r="EE38" s="88">
        <f t="shared" si="43"/>
        <v>0</v>
      </c>
      <c r="EG38" s="122">
        <f t="shared" si="44"/>
        <v>0</v>
      </c>
      <c r="EH38" s="87">
        <f t="shared" si="45"/>
        <v>0</v>
      </c>
      <c r="EI38" s="88">
        <f t="shared" si="46"/>
        <v>0</v>
      </c>
      <c r="EJ38" s="88"/>
      <c r="EK38" s="122">
        <f t="shared" si="47"/>
        <v>0</v>
      </c>
      <c r="EL38" s="122">
        <f t="shared" si="48"/>
        <v>0</v>
      </c>
      <c r="EM38" s="122">
        <f t="shared" si="49"/>
        <v>0</v>
      </c>
      <c r="EN38" s="88">
        <f t="shared" si="50"/>
        <v>0</v>
      </c>
      <c r="EP38" s="87"/>
    </row>
    <row r="39" spans="1:146" x14ac:dyDescent="0.25">
      <c r="A39" s="35">
        <f t="shared" si="51"/>
        <v>44406</v>
      </c>
      <c r="B39" s="87">
        <v>0</v>
      </c>
      <c r="D39" s="87">
        <f t="shared" si="0"/>
        <v>0</v>
      </c>
      <c r="G39" s="87">
        <f t="shared" si="1"/>
        <v>0</v>
      </c>
      <c r="J39" s="87">
        <f t="shared" si="2"/>
        <v>0</v>
      </c>
      <c r="M39" s="87">
        <f t="shared" si="3"/>
        <v>0</v>
      </c>
      <c r="P39" s="87">
        <f t="shared" si="4"/>
        <v>0</v>
      </c>
      <c r="S39" s="87">
        <f t="shared" si="5"/>
        <v>0</v>
      </c>
      <c r="V39" s="87">
        <f t="shared" si="6"/>
        <v>0</v>
      </c>
      <c r="Y39" s="87">
        <f t="shared" si="7"/>
        <v>0</v>
      </c>
      <c r="AB39" s="87">
        <f t="shared" si="8"/>
        <v>0</v>
      </c>
      <c r="AE39" s="87">
        <v>0</v>
      </c>
      <c r="AH39" s="87">
        <v>0</v>
      </c>
      <c r="AI39" s="120"/>
      <c r="AJ39" s="121"/>
      <c r="AK39" s="87">
        <f t="shared" si="9"/>
        <v>0</v>
      </c>
      <c r="AL39" s="120"/>
      <c r="AM39" s="121"/>
      <c r="AN39" s="87">
        <f t="shared" si="10"/>
        <v>0</v>
      </c>
      <c r="AO39" s="120"/>
      <c r="AP39" s="121"/>
      <c r="AQ39" s="87">
        <f t="shared" si="11"/>
        <v>0</v>
      </c>
      <c r="AR39" s="120"/>
      <c r="AS39" s="121"/>
      <c r="AT39" s="87">
        <f t="shared" si="12"/>
        <v>0</v>
      </c>
      <c r="AW39" s="87">
        <f t="shared" si="13"/>
        <v>0</v>
      </c>
      <c r="AZ39" s="87">
        <f t="shared" si="14"/>
        <v>0</v>
      </c>
      <c r="BC39" s="87">
        <f t="shared" si="15"/>
        <v>0</v>
      </c>
      <c r="BF39" s="87">
        <f t="shared" si="16"/>
        <v>0</v>
      </c>
      <c r="BI39" s="87">
        <f t="shared" si="17"/>
        <v>0</v>
      </c>
      <c r="BL39" s="87">
        <f t="shared" si="18"/>
        <v>0</v>
      </c>
      <c r="BO39" s="87">
        <f t="shared" si="19"/>
        <v>0</v>
      </c>
      <c r="BR39" s="87">
        <f t="shared" si="20"/>
        <v>0</v>
      </c>
      <c r="BU39" s="87">
        <f t="shared" si="21"/>
        <v>0</v>
      </c>
      <c r="BX39" s="87">
        <f t="shared" si="22"/>
        <v>0</v>
      </c>
      <c r="CA39" s="87">
        <f t="shared" si="23"/>
        <v>0</v>
      </c>
      <c r="CD39" s="87">
        <f t="shared" si="24"/>
        <v>0</v>
      </c>
      <c r="CG39" s="87">
        <f t="shared" si="25"/>
        <v>0</v>
      </c>
      <c r="CJ39" s="87">
        <f t="shared" si="26"/>
        <v>0</v>
      </c>
      <c r="CM39" s="87">
        <f t="shared" si="27"/>
        <v>0</v>
      </c>
      <c r="CP39" s="87">
        <f t="shared" si="28"/>
        <v>0</v>
      </c>
      <c r="CS39" s="87">
        <f t="shared" si="29"/>
        <v>0</v>
      </c>
      <c r="CV39" s="87">
        <f t="shared" si="30"/>
        <v>0</v>
      </c>
      <c r="CY39" s="87">
        <f t="shared" si="31"/>
        <v>0</v>
      </c>
      <c r="DB39" s="87">
        <f t="shared" si="32"/>
        <v>0</v>
      </c>
      <c r="DE39" s="87">
        <f t="shared" si="33"/>
        <v>0</v>
      </c>
      <c r="DH39" s="87">
        <f t="shared" si="34"/>
        <v>0</v>
      </c>
      <c r="DK39" s="87">
        <f t="shared" si="35"/>
        <v>0</v>
      </c>
      <c r="DN39" s="87">
        <f t="shared" si="36"/>
        <v>0</v>
      </c>
      <c r="DQ39" s="87">
        <f t="shared" si="37"/>
        <v>0</v>
      </c>
      <c r="DT39" s="87">
        <f t="shared" si="38"/>
        <v>0</v>
      </c>
      <c r="DW39" s="87">
        <f t="shared" si="39"/>
        <v>0</v>
      </c>
      <c r="DZ39" s="87"/>
      <c r="EA39" s="87"/>
      <c r="EB39" s="122">
        <f t="shared" si="40"/>
        <v>0</v>
      </c>
      <c r="EC39" s="122">
        <f t="shared" si="41"/>
        <v>0</v>
      </c>
      <c r="ED39" s="87">
        <f t="shared" si="42"/>
        <v>0</v>
      </c>
      <c r="EE39" s="88">
        <f t="shared" si="43"/>
        <v>0</v>
      </c>
      <c r="EG39" s="122">
        <f t="shared" si="44"/>
        <v>0</v>
      </c>
      <c r="EH39" s="87">
        <f t="shared" si="45"/>
        <v>0</v>
      </c>
      <c r="EI39" s="88">
        <f t="shared" si="46"/>
        <v>0</v>
      </c>
      <c r="EJ39" s="88"/>
      <c r="EK39" s="122">
        <f t="shared" si="47"/>
        <v>0</v>
      </c>
      <c r="EL39" s="122">
        <f t="shared" si="48"/>
        <v>0</v>
      </c>
      <c r="EM39" s="122">
        <f t="shared" si="49"/>
        <v>0</v>
      </c>
      <c r="EN39" s="88">
        <f t="shared" si="50"/>
        <v>0</v>
      </c>
      <c r="EP39" s="87"/>
    </row>
    <row r="40" spans="1:146" x14ac:dyDescent="0.25">
      <c r="A40" s="35">
        <f t="shared" si="51"/>
        <v>44407</v>
      </c>
      <c r="B40" s="87">
        <v>0</v>
      </c>
      <c r="D40" s="87">
        <f t="shared" si="0"/>
        <v>0</v>
      </c>
      <c r="G40" s="87">
        <f t="shared" si="1"/>
        <v>0</v>
      </c>
      <c r="J40" s="87">
        <f t="shared" si="2"/>
        <v>0</v>
      </c>
      <c r="M40" s="87">
        <f t="shared" si="3"/>
        <v>0</v>
      </c>
      <c r="P40" s="87">
        <f t="shared" si="4"/>
        <v>0</v>
      </c>
      <c r="S40" s="87">
        <f t="shared" si="5"/>
        <v>0</v>
      </c>
      <c r="V40" s="87">
        <f t="shared" si="6"/>
        <v>0</v>
      </c>
      <c r="Y40" s="87">
        <f t="shared" si="7"/>
        <v>0</v>
      </c>
      <c r="AB40" s="87">
        <f t="shared" si="8"/>
        <v>0</v>
      </c>
      <c r="AE40" s="87">
        <v>0</v>
      </c>
      <c r="AH40" s="87">
        <v>0</v>
      </c>
      <c r="AI40" s="120"/>
      <c r="AJ40" s="121"/>
      <c r="AK40" s="87">
        <f t="shared" si="9"/>
        <v>0</v>
      </c>
      <c r="AL40" s="120"/>
      <c r="AM40" s="121"/>
      <c r="AN40" s="87">
        <f t="shared" si="10"/>
        <v>0</v>
      </c>
      <c r="AO40" s="120"/>
      <c r="AP40" s="121"/>
      <c r="AQ40" s="87">
        <f t="shared" si="11"/>
        <v>0</v>
      </c>
      <c r="AR40" s="120"/>
      <c r="AS40" s="121"/>
      <c r="AT40" s="87">
        <f t="shared" si="12"/>
        <v>0</v>
      </c>
      <c r="AW40" s="87">
        <f t="shared" si="13"/>
        <v>0</v>
      </c>
      <c r="AZ40" s="87">
        <f t="shared" si="14"/>
        <v>0</v>
      </c>
      <c r="BC40" s="87">
        <f t="shared" si="15"/>
        <v>0</v>
      </c>
      <c r="BF40" s="87">
        <f t="shared" si="16"/>
        <v>0</v>
      </c>
      <c r="BI40" s="87">
        <f t="shared" si="17"/>
        <v>0</v>
      </c>
      <c r="BL40" s="87">
        <f t="shared" si="18"/>
        <v>0</v>
      </c>
      <c r="BO40" s="87">
        <f t="shared" si="19"/>
        <v>0</v>
      </c>
      <c r="BR40" s="87">
        <f t="shared" si="20"/>
        <v>0</v>
      </c>
      <c r="BU40" s="87">
        <f t="shared" si="21"/>
        <v>0</v>
      </c>
      <c r="BX40" s="87">
        <f t="shared" si="22"/>
        <v>0</v>
      </c>
      <c r="CA40" s="87">
        <f t="shared" si="23"/>
        <v>0</v>
      </c>
      <c r="CD40" s="87">
        <f t="shared" si="24"/>
        <v>0</v>
      </c>
      <c r="CG40" s="87">
        <f t="shared" si="25"/>
        <v>0</v>
      </c>
      <c r="CJ40" s="87">
        <f t="shared" si="26"/>
        <v>0</v>
      </c>
      <c r="CM40" s="87">
        <f t="shared" si="27"/>
        <v>0</v>
      </c>
      <c r="CP40" s="87">
        <f t="shared" si="28"/>
        <v>0</v>
      </c>
      <c r="CS40" s="87">
        <f t="shared" si="29"/>
        <v>0</v>
      </c>
      <c r="CV40" s="87">
        <f t="shared" si="30"/>
        <v>0</v>
      </c>
      <c r="CY40" s="87">
        <f t="shared" si="31"/>
        <v>0</v>
      </c>
      <c r="DB40" s="87">
        <f t="shared" si="32"/>
        <v>0</v>
      </c>
      <c r="DE40" s="87">
        <f t="shared" si="33"/>
        <v>0</v>
      </c>
      <c r="DH40" s="87">
        <f t="shared" si="34"/>
        <v>0</v>
      </c>
      <c r="DK40" s="87">
        <f t="shared" si="35"/>
        <v>0</v>
      </c>
      <c r="DN40" s="87">
        <f t="shared" si="36"/>
        <v>0</v>
      </c>
      <c r="DQ40" s="87">
        <f t="shared" si="37"/>
        <v>0</v>
      </c>
      <c r="DT40" s="87">
        <f t="shared" si="38"/>
        <v>0</v>
      </c>
      <c r="DW40" s="87">
        <f t="shared" si="39"/>
        <v>0</v>
      </c>
      <c r="DZ40" s="85"/>
      <c r="EA40" s="87"/>
      <c r="EB40" s="122">
        <f t="shared" si="40"/>
        <v>0</v>
      </c>
      <c r="EC40" s="122">
        <f t="shared" si="41"/>
        <v>0</v>
      </c>
      <c r="ED40" s="87">
        <f t="shared" si="42"/>
        <v>0</v>
      </c>
      <c r="EE40" s="88">
        <f t="shared" si="43"/>
        <v>0</v>
      </c>
      <c r="EG40" s="122">
        <f t="shared" si="44"/>
        <v>0</v>
      </c>
      <c r="EH40" s="87">
        <f t="shared" si="45"/>
        <v>0</v>
      </c>
      <c r="EI40" s="88">
        <f t="shared" si="46"/>
        <v>0</v>
      </c>
      <c r="EJ40" s="88"/>
      <c r="EK40" s="122">
        <f t="shared" si="47"/>
        <v>0</v>
      </c>
      <c r="EL40" s="122">
        <f t="shared" si="48"/>
        <v>0</v>
      </c>
      <c r="EM40" s="122">
        <f t="shared" si="49"/>
        <v>0</v>
      </c>
      <c r="EN40" s="88">
        <f t="shared" si="50"/>
        <v>0</v>
      </c>
      <c r="EP40" s="87"/>
    </row>
    <row r="41" spans="1:146" x14ac:dyDescent="0.25">
      <c r="A41" s="35">
        <f t="shared" si="51"/>
        <v>44408</v>
      </c>
      <c r="B41" s="87">
        <v>0</v>
      </c>
      <c r="D41" s="87">
        <f t="shared" si="0"/>
        <v>0</v>
      </c>
      <c r="G41" s="87">
        <f t="shared" si="1"/>
        <v>0</v>
      </c>
      <c r="J41" s="87">
        <f t="shared" si="2"/>
        <v>0</v>
      </c>
      <c r="M41" s="87">
        <f t="shared" si="3"/>
        <v>0</v>
      </c>
      <c r="P41" s="87">
        <f t="shared" si="4"/>
        <v>0</v>
      </c>
      <c r="S41" s="87">
        <f t="shared" si="5"/>
        <v>0</v>
      </c>
      <c r="V41" s="87">
        <f t="shared" si="6"/>
        <v>0</v>
      </c>
      <c r="Y41" s="87">
        <f t="shared" si="7"/>
        <v>0</v>
      </c>
      <c r="AB41" s="87">
        <f t="shared" si="8"/>
        <v>0</v>
      </c>
      <c r="AE41" s="87">
        <v>0</v>
      </c>
      <c r="AH41" s="87">
        <v>0</v>
      </c>
      <c r="AI41" s="120"/>
      <c r="AJ41" s="121"/>
      <c r="AK41" s="87">
        <f t="shared" si="9"/>
        <v>0</v>
      </c>
      <c r="AL41" s="120"/>
      <c r="AM41" s="121"/>
      <c r="AN41" s="87">
        <f t="shared" si="10"/>
        <v>0</v>
      </c>
      <c r="AO41" s="120"/>
      <c r="AP41" s="121"/>
      <c r="AQ41" s="87">
        <f t="shared" si="11"/>
        <v>0</v>
      </c>
      <c r="AR41" s="120"/>
      <c r="AS41" s="121"/>
      <c r="AT41" s="87">
        <f t="shared" si="12"/>
        <v>0</v>
      </c>
      <c r="AW41" s="87">
        <f t="shared" si="13"/>
        <v>0</v>
      </c>
      <c r="AZ41" s="87">
        <f t="shared" si="14"/>
        <v>0</v>
      </c>
      <c r="BC41" s="87">
        <f t="shared" si="15"/>
        <v>0</v>
      </c>
      <c r="BF41" s="87">
        <f t="shared" si="16"/>
        <v>0</v>
      </c>
      <c r="BI41" s="87">
        <f t="shared" si="17"/>
        <v>0</v>
      </c>
      <c r="BL41" s="87">
        <f t="shared" si="18"/>
        <v>0</v>
      </c>
      <c r="BO41" s="87">
        <f t="shared" si="19"/>
        <v>0</v>
      </c>
      <c r="BR41" s="87">
        <f t="shared" si="20"/>
        <v>0</v>
      </c>
      <c r="BU41" s="87">
        <f t="shared" si="21"/>
        <v>0</v>
      </c>
      <c r="BX41" s="87">
        <f t="shared" si="22"/>
        <v>0</v>
      </c>
      <c r="CA41" s="87">
        <f t="shared" si="23"/>
        <v>0</v>
      </c>
      <c r="CD41" s="87">
        <f t="shared" si="24"/>
        <v>0</v>
      </c>
      <c r="CG41" s="87">
        <f t="shared" si="25"/>
        <v>0</v>
      </c>
      <c r="CJ41" s="87">
        <f t="shared" si="26"/>
        <v>0</v>
      </c>
      <c r="CM41" s="87">
        <f t="shared" si="27"/>
        <v>0</v>
      </c>
      <c r="CP41" s="87">
        <f t="shared" si="28"/>
        <v>0</v>
      </c>
      <c r="CS41" s="87">
        <f t="shared" si="29"/>
        <v>0</v>
      </c>
      <c r="CV41" s="87">
        <f t="shared" si="30"/>
        <v>0</v>
      </c>
      <c r="CY41" s="87">
        <f t="shared" si="31"/>
        <v>0</v>
      </c>
      <c r="DB41" s="87">
        <f t="shared" si="32"/>
        <v>0</v>
      </c>
      <c r="DE41" s="87">
        <f t="shared" si="33"/>
        <v>0</v>
      </c>
      <c r="DH41" s="87">
        <f t="shared" si="34"/>
        <v>0</v>
      </c>
      <c r="DK41" s="87">
        <f t="shared" si="35"/>
        <v>0</v>
      </c>
      <c r="DN41" s="87">
        <f t="shared" si="36"/>
        <v>0</v>
      </c>
      <c r="DQ41" s="87">
        <f t="shared" si="37"/>
        <v>0</v>
      </c>
      <c r="DT41" s="87">
        <f t="shared" si="38"/>
        <v>0</v>
      </c>
      <c r="DW41" s="87">
        <f t="shared" si="39"/>
        <v>0</v>
      </c>
      <c r="DZ41" s="85"/>
      <c r="EA41" s="87"/>
      <c r="EB41" s="122">
        <f t="shared" si="40"/>
        <v>0</v>
      </c>
      <c r="EC41" s="122">
        <f t="shared" si="41"/>
        <v>0</v>
      </c>
      <c r="ED41" s="87">
        <f t="shared" si="42"/>
        <v>0</v>
      </c>
      <c r="EE41" s="88">
        <f t="shared" si="43"/>
        <v>0</v>
      </c>
      <c r="EG41" s="122">
        <f t="shared" si="44"/>
        <v>0</v>
      </c>
      <c r="EH41" s="87">
        <f t="shared" si="45"/>
        <v>0</v>
      </c>
      <c r="EI41" s="88">
        <f t="shared" si="46"/>
        <v>0</v>
      </c>
      <c r="EJ41" s="88"/>
      <c r="EK41" s="122">
        <f t="shared" si="47"/>
        <v>0</v>
      </c>
      <c r="EL41" s="122">
        <f t="shared" si="48"/>
        <v>0</v>
      </c>
      <c r="EM41" s="122">
        <f t="shared" si="49"/>
        <v>0</v>
      </c>
      <c r="EN41" s="88">
        <f t="shared" si="50"/>
        <v>0</v>
      </c>
      <c r="EP41" s="87"/>
    </row>
    <row r="42" spans="1:146" x14ac:dyDescent="0.25">
      <c r="A42" s="123" t="s">
        <v>76</v>
      </c>
      <c r="D42" s="124">
        <f>SUM(D11:D41)</f>
        <v>8.1597222222222214</v>
      </c>
      <c r="G42" s="124">
        <f>SUM(G11:G41)</f>
        <v>0</v>
      </c>
      <c r="J42" s="124">
        <f>SUM(J11:J41)</f>
        <v>0</v>
      </c>
      <c r="M42" s="124">
        <f>SUM(M11:M41)</f>
        <v>0</v>
      </c>
      <c r="P42" s="124">
        <f>SUM(P11:P41)</f>
        <v>0</v>
      </c>
      <c r="S42" s="124">
        <f>SUM(S11:S41)</f>
        <v>0</v>
      </c>
      <c r="V42" s="124">
        <f>SUM(V11:V41)</f>
        <v>0</v>
      </c>
      <c r="Y42" s="124">
        <f>SUM(Y11:Y41)</f>
        <v>0</v>
      </c>
      <c r="AB42" s="124">
        <f>SUM(AB11:AB41)</f>
        <v>0</v>
      </c>
      <c r="AE42" s="124">
        <f>SUM(AE11:AE41)</f>
        <v>0</v>
      </c>
      <c r="AH42" s="124">
        <f>SUM(AH11:AH41)</f>
        <v>0</v>
      </c>
      <c r="AK42" s="124">
        <f>SUM(AK11:AK41)</f>
        <v>114.33333333333334</v>
      </c>
      <c r="AN42" s="124">
        <f>SUM(AN11:AN41)</f>
        <v>0</v>
      </c>
      <c r="AQ42" s="124">
        <f>SUM(AQ11:AQ41)</f>
        <v>0</v>
      </c>
      <c r="AT42" s="124">
        <f>SUM(AT11:AT41)</f>
        <v>0</v>
      </c>
      <c r="AW42" s="124">
        <f>SUM(AW11:AW41)</f>
        <v>0</v>
      </c>
      <c r="AZ42" s="124">
        <f>SUM(AZ11:AZ41)</f>
        <v>0</v>
      </c>
      <c r="BC42" s="124">
        <f>SUM(BC11:BC41)</f>
        <v>0</v>
      </c>
      <c r="BF42" s="124">
        <f>SUM(BF11:BF41)</f>
        <v>0</v>
      </c>
      <c r="BI42" s="124">
        <f>SUM(BI11:BI41)</f>
        <v>0</v>
      </c>
      <c r="BL42" s="124">
        <f>SUM(BL11:BL41)</f>
        <v>0</v>
      </c>
      <c r="BO42" s="124">
        <f>SUM(BO11:BO41)</f>
        <v>0</v>
      </c>
      <c r="BR42" s="124">
        <f>SUM(BR11:BR41)</f>
        <v>0</v>
      </c>
      <c r="BU42" s="124">
        <f>SUM(BU11:BU41)</f>
        <v>0</v>
      </c>
      <c r="BX42" s="124">
        <f>SUM(BX11:BX41)</f>
        <v>0</v>
      </c>
      <c r="CA42" s="124">
        <f>SUM(CA11:CA41)</f>
        <v>0</v>
      </c>
      <c r="CD42" s="124">
        <f>SUM(CD11:CD41)</f>
        <v>0</v>
      </c>
      <c r="CG42" s="124">
        <f>SUM(CG11:CG41)</f>
        <v>0</v>
      </c>
      <c r="CJ42" s="124">
        <f>SUM(CJ11:CJ41)</f>
        <v>0</v>
      </c>
      <c r="CM42" s="124">
        <f>SUM(CM11:CM41)</f>
        <v>0</v>
      </c>
      <c r="CP42" s="124">
        <f>SUM(CP11:CP41)</f>
        <v>0</v>
      </c>
      <c r="CS42" s="124">
        <f>SUM(CS11:CS41)</f>
        <v>0</v>
      </c>
      <c r="CV42" s="124">
        <f>SUM(CV11:CV41)</f>
        <v>0</v>
      </c>
      <c r="CY42" s="124">
        <f>SUM(CY11:CY41)</f>
        <v>0</v>
      </c>
      <c r="DB42" s="124">
        <f>SUM(DB11:DB41)</f>
        <v>0</v>
      </c>
      <c r="DE42" s="124">
        <f>SUM(DE11:DE41)</f>
        <v>0</v>
      </c>
      <c r="DH42" s="124">
        <f>SUM(DH11:DH41)</f>
        <v>0</v>
      </c>
      <c r="DK42" s="124">
        <f>SUM(DK11:DK41)</f>
        <v>0</v>
      </c>
      <c r="DN42" s="124">
        <f>SUM(DN11:DN41)</f>
        <v>0</v>
      </c>
      <c r="DQ42" s="124">
        <f>SUM(DQ11:DQ41)</f>
        <v>0</v>
      </c>
      <c r="DT42" s="124">
        <f>SUM(DT11:DT41)</f>
        <v>0</v>
      </c>
      <c r="DW42" s="124">
        <f>SUM(DW11:DW41)</f>
        <v>0</v>
      </c>
      <c r="DZ42" s="85"/>
      <c r="EA42" s="85"/>
      <c r="EB42" s="87"/>
      <c r="EC42" s="87"/>
      <c r="ED42" s="124">
        <f>SUM(ED11:ED41)</f>
        <v>122.49305555555557</v>
      </c>
      <c r="EE42" s="88"/>
      <c r="EG42" s="87"/>
      <c r="EH42" s="124">
        <f>SUM(EH11:EH41)</f>
        <v>0</v>
      </c>
      <c r="EI42" s="88"/>
      <c r="EJ42" s="88"/>
      <c r="EK42" s="87"/>
      <c r="EL42" s="87"/>
      <c r="EM42" s="124">
        <f>SUM(EM11:EM41)</f>
        <v>114.33333333333334</v>
      </c>
      <c r="EN42" s="88"/>
    </row>
    <row r="44" spans="1:146" x14ac:dyDescent="0.25">
      <c r="EM44" s="125"/>
    </row>
    <row r="46" spans="1:146" x14ac:dyDescent="0.25">
      <c r="EM46" s="87"/>
    </row>
    <row r="48" spans="1:146" x14ac:dyDescent="0.25">
      <c r="EM48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workbookViewId="0">
      <pane ySplit="4" topLeftCell="A5" activePane="bottomLeft" state="frozen"/>
      <selection pane="bottomLeft" activeCell="D28" sqref="D28"/>
    </sheetView>
  </sheetViews>
  <sheetFormatPr defaultColWidth="13.42578125" defaultRowHeight="15" x14ac:dyDescent="0.25"/>
  <cols>
    <col min="1" max="1" width="45.28515625" customWidth="1"/>
    <col min="2" max="2" width="19.28515625" bestFit="1" customWidth="1"/>
    <col min="3" max="4" width="21.140625" bestFit="1" customWidth="1"/>
    <col min="5" max="13" width="21.140625" customWidth="1"/>
  </cols>
  <sheetData>
    <row r="1" spans="1:13" x14ac:dyDescent="0.25">
      <c r="A1" t="s">
        <v>0</v>
      </c>
    </row>
    <row r="2" spans="1:13" ht="15.75" thickBot="1" x14ac:dyDescent="0.3">
      <c r="A2" t="s">
        <v>1</v>
      </c>
    </row>
    <row r="3" spans="1:13" ht="15.75" thickBot="1" x14ac:dyDescent="0.3">
      <c r="A3" t="s">
        <v>204</v>
      </c>
      <c r="B3" s="330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2"/>
    </row>
    <row r="4" spans="1:13" x14ac:dyDescent="0.25">
      <c r="A4" s="1"/>
      <c r="B4" s="18">
        <v>44044</v>
      </c>
      <c r="C4" s="19">
        <v>44075</v>
      </c>
      <c r="D4" s="19">
        <v>44105</v>
      </c>
      <c r="E4" s="19">
        <v>44136</v>
      </c>
      <c r="F4" s="19">
        <v>44166</v>
      </c>
      <c r="G4" s="19">
        <v>44197</v>
      </c>
      <c r="H4" s="19">
        <v>44228</v>
      </c>
      <c r="I4" s="19">
        <v>44256</v>
      </c>
      <c r="J4" s="19">
        <v>44287</v>
      </c>
      <c r="K4" s="19">
        <v>44317</v>
      </c>
      <c r="L4" s="19">
        <v>44348</v>
      </c>
      <c r="M4" s="141">
        <v>44378</v>
      </c>
    </row>
    <row r="5" spans="1:13" x14ac:dyDescent="0.25">
      <c r="A5" s="2" t="s">
        <v>27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142"/>
    </row>
    <row r="6" spans="1:13" x14ac:dyDescent="0.25">
      <c r="A6" s="3" t="s">
        <v>184</v>
      </c>
      <c r="B6" s="161">
        <v>11576.369999999995</v>
      </c>
      <c r="C6" s="151">
        <v>6444.2600000000093</v>
      </c>
      <c r="D6" s="151">
        <v>2574.4799999999959</v>
      </c>
      <c r="E6" s="151">
        <v>144553.57</v>
      </c>
      <c r="F6" s="151">
        <v>440899.18</v>
      </c>
      <c r="G6" s="151">
        <v>0</v>
      </c>
      <c r="H6" s="151">
        <v>136153.4</v>
      </c>
      <c r="I6" s="151">
        <v>31777.190000000002</v>
      </c>
      <c r="J6" s="162">
        <v>46853.469999999994</v>
      </c>
      <c r="K6" s="162">
        <v>156515.49000000002</v>
      </c>
      <c r="L6" s="162">
        <v>637545.58000000007</v>
      </c>
      <c r="M6" s="163">
        <v>197852.45000000007</v>
      </c>
    </row>
    <row r="7" spans="1:13" x14ac:dyDescent="0.25">
      <c r="A7" s="3" t="s">
        <v>185</v>
      </c>
      <c r="B7" s="161">
        <v>526.10999999999967</v>
      </c>
      <c r="C7" s="151">
        <v>447.49000000000024</v>
      </c>
      <c r="D7" s="151">
        <v>408.80999999999949</v>
      </c>
      <c r="E7" s="151">
        <v>447.88000000000102</v>
      </c>
      <c r="F7" s="151">
        <v>14585.55</v>
      </c>
      <c r="G7" s="151">
        <v>2.2200000000000002</v>
      </c>
      <c r="H7" s="151">
        <v>4014.0899999999997</v>
      </c>
      <c r="I7" s="151">
        <v>-3507.3799999999997</v>
      </c>
      <c r="J7" s="162">
        <v>0</v>
      </c>
      <c r="K7" s="162">
        <v>-514.57999999999993</v>
      </c>
      <c r="L7" s="162">
        <v>7744.27</v>
      </c>
      <c r="M7" s="163">
        <v>1457.1100000000006</v>
      </c>
    </row>
    <row r="8" spans="1:13" x14ac:dyDescent="0.25">
      <c r="A8" s="3" t="s">
        <v>186</v>
      </c>
      <c r="B8" s="161">
        <v>42434.559999999998</v>
      </c>
      <c r="C8" s="151">
        <v>29517.650000000023</v>
      </c>
      <c r="D8" s="151">
        <v>23457.629999999946</v>
      </c>
      <c r="E8" s="151">
        <v>160250.34000000003</v>
      </c>
      <c r="F8" s="151">
        <v>-189039.64</v>
      </c>
      <c r="G8" s="151">
        <v>0</v>
      </c>
      <c r="H8" s="151">
        <v>0</v>
      </c>
      <c r="I8" s="151">
        <v>0</v>
      </c>
      <c r="J8" s="162">
        <v>0</v>
      </c>
      <c r="K8" s="162">
        <v>0</v>
      </c>
      <c r="L8" s="162">
        <v>0</v>
      </c>
      <c r="M8" s="163">
        <v>0</v>
      </c>
    </row>
    <row r="9" spans="1:13" x14ac:dyDescent="0.25">
      <c r="A9" s="3" t="s">
        <v>2</v>
      </c>
      <c r="B9" s="161"/>
      <c r="C9" s="151"/>
      <c r="D9" s="151"/>
      <c r="E9" s="151"/>
      <c r="F9" s="151"/>
      <c r="G9" s="151"/>
      <c r="H9" s="151"/>
      <c r="I9" s="151"/>
      <c r="J9" s="162"/>
      <c r="K9" s="162"/>
      <c r="L9" s="162"/>
      <c r="M9" s="163"/>
    </row>
    <row r="10" spans="1:13" x14ac:dyDescent="0.25">
      <c r="A10" s="3" t="s">
        <v>187</v>
      </c>
      <c r="B10" s="16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62">
        <v>0</v>
      </c>
      <c r="K10" s="162">
        <v>0</v>
      </c>
      <c r="L10" s="162">
        <v>0</v>
      </c>
      <c r="M10" s="163">
        <v>0</v>
      </c>
    </row>
    <row r="11" spans="1:13" x14ac:dyDescent="0.25">
      <c r="A11" s="3" t="s">
        <v>188</v>
      </c>
      <c r="B11" s="161"/>
      <c r="C11" s="151"/>
      <c r="D11" s="151"/>
      <c r="E11" s="151"/>
      <c r="F11" s="151">
        <v>0</v>
      </c>
      <c r="G11" s="151">
        <v>0</v>
      </c>
      <c r="H11" s="151">
        <v>0</v>
      </c>
      <c r="I11" s="151">
        <v>0</v>
      </c>
      <c r="J11" s="162">
        <v>0</v>
      </c>
      <c r="K11" s="162">
        <v>0</v>
      </c>
      <c r="L11" s="162">
        <v>0</v>
      </c>
      <c r="M11" s="163">
        <v>0</v>
      </c>
    </row>
    <row r="12" spans="1:13" x14ac:dyDescent="0.25">
      <c r="A12" s="3" t="s">
        <v>3</v>
      </c>
      <c r="B12" s="161">
        <v>220398.75</v>
      </c>
      <c r="C12" s="162">
        <v>104817.5</v>
      </c>
      <c r="D12" s="162">
        <v>262937.5</v>
      </c>
      <c r="E12" s="162">
        <v>292322.5</v>
      </c>
      <c r="F12" s="162">
        <v>202463.75</v>
      </c>
      <c r="G12" s="162">
        <v>293763.75</v>
      </c>
      <c r="H12" s="162">
        <v>183734.92</v>
      </c>
      <c r="I12" s="162">
        <v>178465</v>
      </c>
      <c r="J12" s="162">
        <v>329872.5</v>
      </c>
      <c r="K12" s="162">
        <v>256587.5</v>
      </c>
      <c r="L12" s="162">
        <v>190714.5</v>
      </c>
      <c r="M12" s="163">
        <v>219371.56</v>
      </c>
    </row>
    <row r="13" spans="1:13" x14ac:dyDescent="0.25">
      <c r="A13" s="3" t="s">
        <v>4</v>
      </c>
      <c r="B13" s="161"/>
      <c r="C13" s="162">
        <v>-6338132.21</v>
      </c>
      <c r="D13" s="162"/>
      <c r="E13" s="162">
        <v>3333267.0383590809</v>
      </c>
      <c r="F13" s="162">
        <v>1997598.3783355651</v>
      </c>
      <c r="G13" s="162">
        <v>-1588979.9060520423</v>
      </c>
      <c r="H13" s="162">
        <v>-5211801.88</v>
      </c>
      <c r="I13" s="162">
        <v>791675.96761689894</v>
      </c>
      <c r="J13" s="162">
        <v>2316296.62</v>
      </c>
      <c r="K13" s="162">
        <v>-798387.33006937802</v>
      </c>
      <c r="L13" s="162">
        <v>-13257895.432980806</v>
      </c>
      <c r="M13" s="163">
        <v>-16011262.959931761</v>
      </c>
    </row>
    <row r="14" spans="1:13" x14ac:dyDescent="0.25">
      <c r="A14" s="3" t="s">
        <v>5</v>
      </c>
      <c r="B14" s="161"/>
      <c r="C14" s="162"/>
      <c r="D14" s="162"/>
      <c r="E14" s="162"/>
      <c r="F14" s="162">
        <v>-26929.065999999977</v>
      </c>
      <c r="G14" s="162">
        <v>-88521.747500000056</v>
      </c>
      <c r="H14" s="162">
        <v>-265563.27700000012</v>
      </c>
      <c r="I14" s="162">
        <v>-129211.67550000022</v>
      </c>
      <c r="J14" s="162">
        <v>-82054.814999999973</v>
      </c>
      <c r="K14" s="162">
        <v>-78443.809500000047</v>
      </c>
      <c r="L14" s="162">
        <v>-81116.851999999955</v>
      </c>
      <c r="M14" s="163">
        <v>-83446.368500000011</v>
      </c>
    </row>
    <row r="15" spans="1:13" x14ac:dyDescent="0.25">
      <c r="A15" s="3" t="s">
        <v>6</v>
      </c>
      <c r="B15" s="161"/>
      <c r="C15" s="162"/>
      <c r="D15" s="162"/>
      <c r="E15" s="162">
        <v>924</v>
      </c>
      <c r="F15" s="162">
        <v>344528</v>
      </c>
      <c r="G15" s="162">
        <v>991965</v>
      </c>
      <c r="H15" s="162">
        <v>1055858</v>
      </c>
      <c r="I15" s="162">
        <v>871297</v>
      </c>
      <c r="J15" s="162">
        <v>1019993</v>
      </c>
      <c r="K15" s="162">
        <v>1073859</v>
      </c>
      <c r="L15" s="162">
        <v>1256902</v>
      </c>
      <c r="M15" s="163">
        <v>185423</v>
      </c>
    </row>
    <row r="16" spans="1:13" x14ac:dyDescent="0.25">
      <c r="A16" s="3" t="s">
        <v>7</v>
      </c>
      <c r="B16" s="161"/>
      <c r="C16" s="162"/>
      <c r="D16" s="162"/>
      <c r="E16" s="162">
        <v>218</v>
      </c>
      <c r="F16" s="162">
        <v>143881</v>
      </c>
      <c r="G16" s="162">
        <v>321274</v>
      </c>
      <c r="H16" s="162">
        <v>360293</v>
      </c>
      <c r="I16" s="162">
        <v>403267</v>
      </c>
      <c r="J16" s="162">
        <v>389695</v>
      </c>
      <c r="K16" s="162">
        <v>413850</v>
      </c>
      <c r="L16" s="162">
        <v>478159</v>
      </c>
      <c r="M16" s="163">
        <v>523235</v>
      </c>
    </row>
    <row r="17" spans="1:14" x14ac:dyDescent="0.25">
      <c r="A17" s="3" t="s">
        <v>8</v>
      </c>
      <c r="B17" s="161"/>
      <c r="C17" s="162"/>
      <c r="D17" s="162"/>
      <c r="E17" s="162">
        <v>19932.310000000001</v>
      </c>
      <c r="F17" s="162">
        <v>25531.55</v>
      </c>
      <c r="G17" s="162">
        <v>643665.66000000108</v>
      </c>
      <c r="H17" s="162">
        <v>-232474.40999999992</v>
      </c>
      <c r="I17" s="162">
        <v>1936509.58</v>
      </c>
      <c r="J17" s="162">
        <v>1333890.33</v>
      </c>
      <c r="K17" s="162">
        <v>518941.67000000004</v>
      </c>
      <c r="L17" s="162">
        <v>933804.88</v>
      </c>
      <c r="M17" s="163">
        <v>1761293.0299999993</v>
      </c>
    </row>
    <row r="18" spans="1:14" x14ac:dyDescent="0.25">
      <c r="A18" s="6" t="s">
        <v>206</v>
      </c>
      <c r="B18" s="161"/>
      <c r="C18" s="162"/>
      <c r="D18" s="162"/>
      <c r="E18" s="162"/>
      <c r="F18" s="162">
        <v>73783.240000000005</v>
      </c>
      <c r="G18" s="162">
        <v>73783.240000000005</v>
      </c>
      <c r="H18" s="162">
        <v>73783.240000000005</v>
      </c>
      <c r="I18" s="162">
        <v>1366</v>
      </c>
      <c r="J18" s="162">
        <v>73783.240000000005</v>
      </c>
      <c r="K18" s="162">
        <v>73783.240000000005</v>
      </c>
      <c r="L18" s="162">
        <v>116501.35</v>
      </c>
      <c r="M18" s="163">
        <v>81315</v>
      </c>
    </row>
    <row r="19" spans="1:14" x14ac:dyDescent="0.25">
      <c r="A19" s="3" t="s">
        <v>9</v>
      </c>
      <c r="B19" s="161"/>
      <c r="C19" s="162"/>
      <c r="D19" s="162"/>
      <c r="E19" s="162"/>
      <c r="F19" s="162">
        <v>12943.970000000001</v>
      </c>
      <c r="G19" s="162">
        <v>587735.24848917685</v>
      </c>
      <c r="H19" s="162">
        <v>568089.66079415637</v>
      </c>
      <c r="I19" s="162">
        <v>577912.45464166661</v>
      </c>
      <c r="J19" s="162">
        <v>577912.45464166661</v>
      </c>
      <c r="K19" s="162">
        <v>577912.45464166661</v>
      </c>
      <c r="L19" s="162">
        <v>577912.45464166661</v>
      </c>
      <c r="M19" s="163">
        <v>577912.45464166661</v>
      </c>
    </row>
    <row r="20" spans="1:14" ht="15.75" thickBot="1" x14ac:dyDescent="0.3">
      <c r="A20" s="2" t="s">
        <v>10</v>
      </c>
      <c r="B20" s="164">
        <f t="shared" ref="B20:M20" si="0">SUM(B6:B19)</f>
        <v>274935.78999999998</v>
      </c>
      <c r="C20" s="165">
        <f t="shared" si="0"/>
        <v>-6196905.3099999996</v>
      </c>
      <c r="D20" s="165">
        <f t="shared" si="0"/>
        <v>289378.41999999993</v>
      </c>
      <c r="E20" s="165">
        <f t="shared" si="0"/>
        <v>3951915.638359081</v>
      </c>
      <c r="F20" s="165">
        <f t="shared" si="0"/>
        <v>3040245.9123355653</v>
      </c>
      <c r="G20" s="165">
        <f t="shared" si="0"/>
        <v>1234687.4649371356</v>
      </c>
      <c r="H20" s="165">
        <f t="shared" si="0"/>
        <v>-3327913.2562058428</v>
      </c>
      <c r="I20" s="165">
        <f t="shared" si="0"/>
        <v>4659551.136758565</v>
      </c>
      <c r="J20" s="165">
        <f t="shared" si="0"/>
        <v>6006241.7996416669</v>
      </c>
      <c r="K20" s="165">
        <f t="shared" si="0"/>
        <v>2194103.6350722886</v>
      </c>
      <c r="L20" s="165">
        <f t="shared" si="0"/>
        <v>-9139728.2503391393</v>
      </c>
      <c r="M20" s="166">
        <f t="shared" si="0"/>
        <v>-12546849.723790096</v>
      </c>
    </row>
    <row r="21" spans="1:14" x14ac:dyDescent="0.25"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9"/>
    </row>
    <row r="22" spans="1:14" x14ac:dyDescent="0.25">
      <c r="A22" s="6" t="s">
        <v>205</v>
      </c>
      <c r="B22" s="17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71">
        <v>0</v>
      </c>
    </row>
    <row r="23" spans="1:14" x14ac:dyDescent="0.25">
      <c r="A23" s="6" t="s">
        <v>28</v>
      </c>
      <c r="B23" s="170">
        <v>602903.54416666657</v>
      </c>
      <c r="C23" s="150">
        <v>602903.54416666657</v>
      </c>
      <c r="D23" s="150">
        <v>602903.54416666657</v>
      </c>
      <c r="E23" s="150">
        <v>602903.54416666657</v>
      </c>
      <c r="F23" s="150">
        <v>602903.54416666657</v>
      </c>
      <c r="G23" s="150">
        <v>602903.54416666657</v>
      </c>
      <c r="H23" s="150">
        <v>339700.60666666669</v>
      </c>
      <c r="I23" s="150">
        <v>339700.60666666669</v>
      </c>
      <c r="J23" s="150">
        <v>339700.60666666669</v>
      </c>
      <c r="K23" s="150">
        <v>339700.60666666669</v>
      </c>
      <c r="L23" s="150">
        <v>339700.60666666669</v>
      </c>
      <c r="M23" s="150">
        <v>339700.60666666669</v>
      </c>
      <c r="N23" s="284"/>
    </row>
    <row r="24" spans="1:14" x14ac:dyDescent="0.25">
      <c r="A24" s="3" t="s">
        <v>29</v>
      </c>
      <c r="B24" s="17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71">
        <v>0</v>
      </c>
    </row>
    <row r="25" spans="1:14" x14ac:dyDescent="0.25">
      <c r="A25" s="2" t="s">
        <v>30</v>
      </c>
      <c r="B25" s="161">
        <f>+B23+B24</f>
        <v>602903.54416666657</v>
      </c>
      <c r="C25" s="151">
        <f t="shared" ref="C25:M25" si="1">+C23+C24</f>
        <v>602903.54416666657</v>
      </c>
      <c r="D25" s="151">
        <f t="shared" si="1"/>
        <v>602903.54416666657</v>
      </c>
      <c r="E25" s="151">
        <f t="shared" si="1"/>
        <v>602903.54416666657</v>
      </c>
      <c r="F25" s="151">
        <f t="shared" si="1"/>
        <v>602903.54416666657</v>
      </c>
      <c r="G25" s="151">
        <f t="shared" si="1"/>
        <v>602903.54416666657</v>
      </c>
      <c r="H25" s="151">
        <f t="shared" si="1"/>
        <v>339700.60666666669</v>
      </c>
      <c r="I25" s="151">
        <f t="shared" si="1"/>
        <v>339700.60666666669</v>
      </c>
      <c r="J25" s="151">
        <f t="shared" si="1"/>
        <v>339700.60666666669</v>
      </c>
      <c r="K25" s="151">
        <f t="shared" si="1"/>
        <v>339700.60666666669</v>
      </c>
      <c r="L25" s="151">
        <f t="shared" si="1"/>
        <v>339700.60666666669</v>
      </c>
      <c r="M25" s="172">
        <f t="shared" si="1"/>
        <v>339700.60666666669</v>
      </c>
    </row>
    <row r="26" spans="1:14" ht="15.75" thickBot="1" x14ac:dyDescent="0.3">
      <c r="A26" s="7" t="s">
        <v>11</v>
      </c>
      <c r="B26" s="173">
        <f>-B25+B20</f>
        <v>-327967.75416666659</v>
      </c>
      <c r="C26" s="153">
        <f t="shared" ref="C26:M26" si="2">-C25+C20</f>
        <v>-6799808.854166666</v>
      </c>
      <c r="D26" s="153">
        <f t="shared" si="2"/>
        <v>-313525.12416666665</v>
      </c>
      <c r="E26" s="153">
        <f t="shared" si="2"/>
        <v>3349012.0941924145</v>
      </c>
      <c r="F26" s="153">
        <f t="shared" si="2"/>
        <v>2437342.3681688989</v>
      </c>
      <c r="G26" s="153">
        <f t="shared" si="2"/>
        <v>631783.92077046901</v>
      </c>
      <c r="H26" s="153">
        <f t="shared" si="2"/>
        <v>-3667613.8628725093</v>
      </c>
      <c r="I26" s="153">
        <f t="shared" si="2"/>
        <v>4319850.5300918985</v>
      </c>
      <c r="J26" s="153">
        <f t="shared" si="2"/>
        <v>5666541.1929750005</v>
      </c>
      <c r="K26" s="153">
        <f t="shared" si="2"/>
        <v>1854403.0284056219</v>
      </c>
      <c r="L26" s="153">
        <f t="shared" si="2"/>
        <v>-9479428.8570058066</v>
      </c>
      <c r="M26" s="154">
        <f t="shared" si="2"/>
        <v>-12886550.330456764</v>
      </c>
    </row>
    <row r="27" spans="1:14" x14ac:dyDescent="0.25">
      <c r="A27" s="2"/>
      <c r="B27" s="3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2"/>
    </row>
    <row r="28" spans="1:14" x14ac:dyDescent="0.25">
      <c r="A28" s="290" t="s">
        <v>12</v>
      </c>
      <c r="B28" s="31">
        <f>+'Aug 20 Int'!G6/12</f>
        <v>1.1382091394398505E-4</v>
      </c>
      <c r="C28" s="8">
        <f>+'Sept 20 Int'!G6/12</f>
        <v>1.0326301837624119E-4</v>
      </c>
      <c r="D28" s="8">
        <f>+'Oct 20 Int'!G6/12</f>
        <v>1.6666666666666666E-4</v>
      </c>
      <c r="E28" s="8">
        <f>'Nov 20 Int'!G6/12</f>
        <v>2.1036976780640262E-4</v>
      </c>
      <c r="F28" s="8">
        <f>'Dec 20 Int'!G6/12</f>
        <v>1.6666666666666663E-4</v>
      </c>
      <c r="G28" s="8">
        <f>'Jan 21 Int'!G6/12</f>
        <v>1.7178246984776615E-4</v>
      </c>
      <c r="H28" s="8">
        <f>'Feb 21 Int'!G6/12</f>
        <v>1.9351401425611733E-4</v>
      </c>
      <c r="I28" s="8">
        <f>'Mar 21 Int'!G6/12</f>
        <v>1.7806156363450436E-4</v>
      </c>
      <c r="J28" s="8">
        <f>'Apr 21 Int'!G6/12</f>
        <v>1.8760240406171021E-4</v>
      </c>
      <c r="K28" s="8">
        <f>'May 21 Int'!G6/12</f>
        <v>1.8689333219239947E-4</v>
      </c>
      <c r="L28" s="8">
        <f>'Jun 21 Int'!G6/12</f>
        <v>1.6804908973922257E-4</v>
      </c>
      <c r="M28" s="147">
        <f>'Jul 21 Int'!G6/12</f>
        <v>1.1629087552742618E-4</v>
      </c>
    </row>
    <row r="29" spans="1:14" x14ac:dyDescent="0.25">
      <c r="A29" s="9" t="s">
        <v>13</v>
      </c>
      <c r="B29" s="156">
        <f>(B26)*B28</f>
        <v>-37.329589523406199</v>
      </c>
      <c r="C29" s="155">
        <f t="shared" ref="C29:M29" si="3">(C26+B31)*C28</f>
        <v>-736.039581654156</v>
      </c>
      <c r="D29" s="155">
        <f t="shared" si="3"/>
        <v>-1240.3458502785295</v>
      </c>
      <c r="E29" s="155">
        <f t="shared" si="3"/>
        <v>-861.31764576880596</v>
      </c>
      <c r="F29" s="155">
        <f t="shared" si="3"/>
        <v>-276.30371713431839</v>
      </c>
      <c r="G29" s="155">
        <f t="shared" si="3"/>
        <v>-176.30287155961153</v>
      </c>
      <c r="H29" s="155">
        <f t="shared" si="3"/>
        <v>-908.37507315223127</v>
      </c>
      <c r="I29" s="155">
        <f t="shared" si="3"/>
        <v>-66.802056352191713</v>
      </c>
      <c r="J29" s="155">
        <f t="shared" si="3"/>
        <v>992.66279451692583</v>
      </c>
      <c r="K29" s="155">
        <f t="shared" si="3"/>
        <v>1335.6719575064571</v>
      </c>
      <c r="L29" s="155">
        <f t="shared" si="3"/>
        <v>-391.78726142136537</v>
      </c>
      <c r="M29" s="157">
        <f t="shared" si="3"/>
        <v>-1769.7526775460078</v>
      </c>
    </row>
    <row r="30" spans="1:14" x14ac:dyDescent="0.25">
      <c r="A30" s="2"/>
      <c r="B30" s="159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60"/>
    </row>
    <row r="31" spans="1:14" ht="15.75" thickBot="1" x14ac:dyDescent="0.3">
      <c r="A31" s="7" t="s">
        <v>14</v>
      </c>
      <c r="B31" s="173">
        <f>B26+B29</f>
        <v>-328005.08375619003</v>
      </c>
      <c r="C31" s="153">
        <f>C26+C29+B31</f>
        <v>-7128549.9775045104</v>
      </c>
      <c r="D31" s="153">
        <f t="shared" ref="D31:M31" si="4">D26+D29+C31</f>
        <v>-7443315.4475214556</v>
      </c>
      <c r="E31" s="153">
        <f t="shared" si="4"/>
        <v>-4095164.6709748097</v>
      </c>
      <c r="F31" s="153">
        <f t="shared" si="4"/>
        <v>-1658098.6065230453</v>
      </c>
      <c r="G31" s="153">
        <f t="shared" si="4"/>
        <v>-1026490.988624136</v>
      </c>
      <c r="H31" s="153">
        <f t="shared" si="4"/>
        <v>-4695013.2265697978</v>
      </c>
      <c r="I31" s="153">
        <f t="shared" si="4"/>
        <v>-375229.49853425194</v>
      </c>
      <c r="J31" s="153">
        <f t="shared" si="4"/>
        <v>5292304.3572352659</v>
      </c>
      <c r="K31" s="153">
        <f t="shared" si="4"/>
        <v>7148043.0575983943</v>
      </c>
      <c r="L31" s="153">
        <f t="shared" si="4"/>
        <v>-2331777.5866688332</v>
      </c>
      <c r="M31" s="154">
        <f t="shared" si="4"/>
        <v>-15220097.669803143</v>
      </c>
    </row>
    <row r="38" spans="2:8" x14ac:dyDescent="0.25">
      <c r="B38" s="126"/>
      <c r="C38" s="126"/>
      <c r="D38" s="126"/>
      <c r="E38" s="126"/>
      <c r="F38" s="126"/>
      <c r="G38" s="126"/>
      <c r="H38" s="126"/>
    </row>
    <row r="39" spans="2:8" x14ac:dyDescent="0.25">
      <c r="B39" s="127"/>
      <c r="C39" s="127"/>
      <c r="D39" s="127"/>
      <c r="E39" s="127"/>
      <c r="F39" s="127"/>
      <c r="G39" s="127"/>
      <c r="H39" s="127"/>
    </row>
    <row r="40" spans="2:8" x14ac:dyDescent="0.25">
      <c r="B40" s="127"/>
      <c r="C40" s="127"/>
      <c r="D40" s="127"/>
      <c r="E40" s="127"/>
      <c r="F40" s="127"/>
      <c r="G40" s="127"/>
      <c r="H40" s="127"/>
    </row>
    <row r="41" spans="2:8" x14ac:dyDescent="0.25">
      <c r="B41" s="127"/>
      <c r="C41" s="127"/>
      <c r="D41" s="127"/>
      <c r="E41" s="127"/>
      <c r="F41" s="127"/>
      <c r="G41" s="127"/>
      <c r="H41" s="127"/>
    </row>
  </sheetData>
  <mergeCells count="1">
    <mergeCell ref="B3:M3"/>
  </mergeCells>
  <pageMargins left="0.7" right="0.7" top="0.75" bottom="0.75" header="0.3" footer="0.3"/>
  <pageSetup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0"/>
  <sheetViews>
    <sheetView workbookViewId="0">
      <selection activeCell="D27" sqref="D27"/>
    </sheetView>
  </sheetViews>
  <sheetFormatPr defaultRowHeight="15" x14ac:dyDescent="0.25"/>
  <cols>
    <col min="1" max="1" width="20.28515625" customWidth="1"/>
    <col min="2" max="2" width="17.7109375" customWidth="1"/>
    <col min="3" max="4" width="16" customWidth="1"/>
    <col min="5" max="5" width="12" customWidth="1"/>
    <col min="6" max="6" width="1.7109375" bestFit="1" customWidth="1"/>
    <col min="7" max="7" width="17.42578125" customWidth="1"/>
    <col min="8" max="8" width="19.42578125" customWidth="1"/>
    <col min="14" max="14" width="11.5703125" bestFit="1" customWidth="1"/>
  </cols>
  <sheetData>
    <row r="1" spans="1:8" x14ac:dyDescent="0.25">
      <c r="A1" t="s">
        <v>0</v>
      </c>
    </row>
    <row r="2" spans="1:8" x14ac:dyDescent="0.25">
      <c r="A2" t="s">
        <v>15</v>
      </c>
    </row>
    <row r="3" spans="1:8" x14ac:dyDescent="0.25">
      <c r="A3" t="s">
        <v>204</v>
      </c>
    </row>
    <row r="4" spans="1:8" x14ac:dyDescent="0.25">
      <c r="A4" t="s">
        <v>182</v>
      </c>
    </row>
    <row r="5" spans="1:8" x14ac:dyDescent="0.25">
      <c r="A5" s="128"/>
      <c r="E5" s="283"/>
      <c r="F5" s="283"/>
    </row>
    <row r="6" spans="1:8" ht="15.75" thickBot="1" x14ac:dyDescent="0.3"/>
    <row r="7" spans="1:8" ht="48.75" customHeight="1" x14ac:dyDescent="0.25">
      <c r="A7" s="129" t="s">
        <v>36</v>
      </c>
      <c r="B7" s="129" t="s">
        <v>211</v>
      </c>
      <c r="C7" s="129" t="s">
        <v>180</v>
      </c>
      <c r="D7" s="129" t="s">
        <v>178</v>
      </c>
      <c r="E7" s="129" t="s">
        <v>213</v>
      </c>
      <c r="F7" s="129"/>
      <c r="G7" s="129" t="s">
        <v>179</v>
      </c>
      <c r="H7" s="129" t="s">
        <v>189</v>
      </c>
    </row>
    <row r="8" spans="1:8" x14ac:dyDescent="0.25">
      <c r="A8" s="138">
        <v>44044</v>
      </c>
      <c r="B8" s="130">
        <f>-'Monthly Cost Tracker 1'!C$22</f>
        <v>630404.63</v>
      </c>
      <c r="C8" s="130"/>
      <c r="D8" s="131">
        <v>2983172596</v>
      </c>
      <c r="E8" s="285">
        <f t="shared" ref="E8:E13" si="0">6899776.5/31846280575</f>
        <v>2.1665878637697081E-4</v>
      </c>
      <c r="F8" s="328">
        <v>1</v>
      </c>
      <c r="G8" s="130">
        <f>D8*E8</f>
        <v>646330.55420239747</v>
      </c>
      <c r="H8" s="181">
        <f t="shared" ref="H8:H19" si="1">G8-B8</f>
        <v>15925.924202397466</v>
      </c>
    </row>
    <row r="9" spans="1:8" x14ac:dyDescent="0.25">
      <c r="A9" s="138">
        <v>44075</v>
      </c>
      <c r="B9" s="130">
        <f>-'Monthly Cost Tracker 1'!D$22</f>
        <v>600492.69999999995</v>
      </c>
      <c r="C9" s="130"/>
      <c r="D9" s="131">
        <v>2469192266</v>
      </c>
      <c r="E9" s="285">
        <f t="shared" si="0"/>
        <v>2.1665878637697081E-4</v>
      </c>
      <c r="F9" s="328">
        <v>1</v>
      </c>
      <c r="G9" s="130">
        <f t="shared" ref="G9:G13" si="2">D9*E9</f>
        <v>534972.1996829625</v>
      </c>
      <c r="H9" s="181">
        <f t="shared" si="1"/>
        <v>-65520.500317037455</v>
      </c>
    </row>
    <row r="10" spans="1:8" x14ac:dyDescent="0.25">
      <c r="A10" s="138">
        <v>44105</v>
      </c>
      <c r="B10" s="130">
        <f>-'Monthly Cost Tracker 1'!E$22</f>
        <v>472168.22</v>
      </c>
      <c r="C10" s="130"/>
      <c r="D10" s="131">
        <v>2282452106</v>
      </c>
      <c r="E10" s="285">
        <f t="shared" si="0"/>
        <v>2.1665878637697081E-4</v>
      </c>
      <c r="F10" s="328">
        <v>1</v>
      </c>
      <c r="G10" s="130">
        <f t="shared" si="2"/>
        <v>494513.30324952112</v>
      </c>
      <c r="H10" s="181">
        <f t="shared" si="1"/>
        <v>22345.083249521151</v>
      </c>
    </row>
    <row r="11" spans="1:8" x14ac:dyDescent="0.25">
      <c r="A11" s="138">
        <v>44136</v>
      </c>
      <c r="B11" s="130">
        <f>-'Monthly Cost Tracker 1'!F$22</f>
        <v>476876.05000000005</v>
      </c>
      <c r="C11" s="130"/>
      <c r="D11" s="131">
        <v>2454242146</v>
      </c>
      <c r="E11" s="285">
        <f t="shared" si="0"/>
        <v>2.1665878637697081E-4</v>
      </c>
      <c r="F11" s="328">
        <v>1</v>
      </c>
      <c r="G11" s="130">
        <f t="shared" si="2"/>
        <v>531733.12482757238</v>
      </c>
      <c r="H11" s="181">
        <f t="shared" si="1"/>
        <v>54857.074827572331</v>
      </c>
    </row>
    <row r="12" spans="1:8" x14ac:dyDescent="0.25">
      <c r="A12" s="138">
        <v>44166</v>
      </c>
      <c r="B12" s="130">
        <f>-'Monthly Cost Tracker 1'!G$22</f>
        <v>558069.72</v>
      </c>
      <c r="C12" s="130"/>
      <c r="D12" s="131">
        <v>2929370896</v>
      </c>
      <c r="E12" s="285">
        <f t="shared" si="0"/>
        <v>2.1665878637697081E-4</v>
      </c>
      <c r="F12" s="328">
        <v>1</v>
      </c>
      <c r="G12" s="130">
        <f t="shared" si="2"/>
        <v>634673.94317537954</v>
      </c>
      <c r="H12" s="181">
        <f t="shared" si="1"/>
        <v>76604.223175379564</v>
      </c>
    </row>
    <row r="13" spans="1:8" x14ac:dyDescent="0.25">
      <c r="A13" s="138">
        <v>44197</v>
      </c>
      <c r="B13" s="130">
        <f>-'Monthly Cost Tracker 1'!H$22</f>
        <v>641855.02</v>
      </c>
      <c r="C13" s="130"/>
      <c r="D13" s="131">
        <v>3042178391</v>
      </c>
      <c r="E13" s="285">
        <f t="shared" si="0"/>
        <v>2.1665878637697081E-4</v>
      </c>
      <c r="F13" s="328">
        <v>1</v>
      </c>
      <c r="G13" s="130">
        <f t="shared" si="2"/>
        <v>659114.67813630577</v>
      </c>
      <c r="H13" s="181">
        <f t="shared" si="1"/>
        <v>17259.658136305748</v>
      </c>
    </row>
    <row r="14" spans="1:8" x14ac:dyDescent="0.25">
      <c r="A14" s="138">
        <v>44228</v>
      </c>
      <c r="B14" s="130">
        <f>-'Monthly Cost Tracker 2'!I22</f>
        <v>204961.43999999992</v>
      </c>
      <c r="C14" s="130"/>
      <c r="D14" s="131">
        <v>2567023720</v>
      </c>
      <c r="E14" s="285">
        <f t="shared" ref="E14:E25" si="3">(492803+542350)/30730452570</f>
        <v>3.368492532422213E-5</v>
      </c>
      <c r="F14" s="328">
        <v>2</v>
      </c>
      <c r="G14" s="130">
        <f>D14*E14</f>
        <v>86470.002313706893</v>
      </c>
      <c r="H14" s="130">
        <f t="shared" si="1"/>
        <v>-118491.43768629302</v>
      </c>
    </row>
    <row r="15" spans="1:8" x14ac:dyDescent="0.25">
      <c r="A15" s="138">
        <v>44256</v>
      </c>
      <c r="B15" s="130">
        <f>-'Monthly Cost Tracker 2'!J22</f>
        <v>84885.769999999975</v>
      </c>
      <c r="C15" s="130"/>
      <c r="D15" s="131">
        <v>2420457640</v>
      </c>
      <c r="E15" s="285">
        <f t="shared" si="3"/>
        <v>3.368492532422213E-5</v>
      </c>
      <c r="F15" s="328">
        <v>2</v>
      </c>
      <c r="G15" s="130">
        <f t="shared" ref="G15:G18" si="4">D15*E15</f>
        <v>81532.934853842933</v>
      </c>
      <c r="H15" s="130">
        <f t="shared" si="1"/>
        <v>-3352.8351461570419</v>
      </c>
    </row>
    <row r="16" spans="1:8" x14ac:dyDescent="0.25">
      <c r="A16" s="138">
        <v>44287</v>
      </c>
      <c r="B16" s="130">
        <f>-'Monthly Cost Tracker 2'!K22</f>
        <v>72397.499999999971</v>
      </c>
      <c r="C16" s="130"/>
      <c r="D16" s="131">
        <v>2119178799.9999998</v>
      </c>
      <c r="E16" s="285">
        <f t="shared" si="3"/>
        <v>3.368492532422213E-5</v>
      </c>
      <c r="F16" s="328">
        <v>2</v>
      </c>
      <c r="G16" s="130">
        <f t="shared" si="4"/>
        <v>71384.37962667465</v>
      </c>
      <c r="H16" s="130">
        <f t="shared" si="1"/>
        <v>-1013.1203733253205</v>
      </c>
    </row>
    <row r="17" spans="1:8" x14ac:dyDescent="0.25">
      <c r="A17" s="138">
        <v>44317</v>
      </c>
      <c r="B17" s="130">
        <f>-'Monthly Cost Tracker 2'!L22</f>
        <v>71563.989999999991</v>
      </c>
      <c r="C17" s="130"/>
      <c r="D17" s="131">
        <v>2208483810</v>
      </c>
      <c r="E17" s="285">
        <f t="shared" si="3"/>
        <v>3.368492532422213E-5</v>
      </c>
      <c r="F17" s="328">
        <v>2</v>
      </c>
      <c r="G17" s="130">
        <f t="shared" si="4"/>
        <v>74392.612219603572</v>
      </c>
      <c r="H17" s="130">
        <f t="shared" si="1"/>
        <v>2828.6222196035815</v>
      </c>
    </row>
    <row r="18" spans="1:8" x14ac:dyDescent="0.25">
      <c r="A18" s="138">
        <v>44348</v>
      </c>
      <c r="B18" s="130">
        <f>-'Monthly Cost Tracker 2'!M22</f>
        <v>82488.149999999965</v>
      </c>
      <c r="C18" s="130"/>
      <c r="D18" s="131">
        <v>2703024609.9999995</v>
      </c>
      <c r="E18" s="285">
        <f t="shared" si="3"/>
        <v>3.368492532422213E-5</v>
      </c>
      <c r="F18" s="328">
        <v>2</v>
      </c>
      <c r="G18" s="130">
        <f t="shared" si="4"/>
        <v>91051.182137384632</v>
      </c>
      <c r="H18" s="130">
        <f t="shared" si="1"/>
        <v>8563.0321373846673</v>
      </c>
    </row>
    <row r="19" spans="1:8" x14ac:dyDescent="0.25">
      <c r="A19" s="138">
        <v>44378</v>
      </c>
      <c r="B19" s="130">
        <f>-'Monthly Cost Tracker 2'!N22</f>
        <v>102643.82999999997</v>
      </c>
      <c r="C19" s="130"/>
      <c r="D19" s="131">
        <v>3036018650</v>
      </c>
      <c r="E19" s="285">
        <f t="shared" si="3"/>
        <v>3.368492532422213E-5</v>
      </c>
      <c r="F19" s="328">
        <v>2</v>
      </c>
      <c r="G19" s="130">
        <f t="shared" ref="G19:G25" si="5">D19*E19</f>
        <v>102268.06150819568</v>
      </c>
      <c r="H19" s="130">
        <f t="shared" si="1"/>
        <v>-375.76849180429417</v>
      </c>
    </row>
    <row r="20" spans="1:8" x14ac:dyDescent="0.25">
      <c r="A20" s="138">
        <v>44409</v>
      </c>
      <c r="B20" s="180"/>
      <c r="C20" s="130">
        <f>D20*E20</f>
        <v>98879.045424471929</v>
      </c>
      <c r="D20" s="131">
        <v>2935409370</v>
      </c>
      <c r="E20" s="285">
        <f t="shared" si="3"/>
        <v>3.368492532422213E-5</v>
      </c>
      <c r="F20" s="328">
        <v>2</v>
      </c>
      <c r="G20" s="130">
        <f>D20*E20</f>
        <v>98879.045424471929</v>
      </c>
      <c r="H20" s="181">
        <f t="shared" ref="H20:H25" si="6">G20-C20</f>
        <v>0</v>
      </c>
    </row>
    <row r="21" spans="1:8" x14ac:dyDescent="0.25">
      <c r="A21" s="138">
        <v>44440</v>
      </c>
      <c r="B21" s="180"/>
      <c r="C21" s="130">
        <f t="shared" ref="C21:C25" si="7">D21*E21</f>
        <v>79774.383347708368</v>
      </c>
      <c r="D21" s="131">
        <v>2368251749.9999995</v>
      </c>
      <c r="E21" s="285">
        <f t="shared" si="3"/>
        <v>3.368492532422213E-5</v>
      </c>
      <c r="F21" s="328">
        <v>2</v>
      </c>
      <c r="G21" s="130">
        <f t="shared" si="5"/>
        <v>79774.383347708368</v>
      </c>
      <c r="H21" s="181">
        <f t="shared" si="6"/>
        <v>0</v>
      </c>
    </row>
    <row r="22" spans="1:8" x14ac:dyDescent="0.25">
      <c r="A22" s="138">
        <v>44470</v>
      </c>
      <c r="B22" s="180"/>
      <c r="C22" s="130">
        <f t="shared" si="7"/>
        <v>72473.735627142116</v>
      </c>
      <c r="D22" s="131">
        <v>2151518370</v>
      </c>
      <c r="E22" s="285">
        <f t="shared" si="3"/>
        <v>3.368492532422213E-5</v>
      </c>
      <c r="F22" s="328">
        <v>2</v>
      </c>
      <c r="G22" s="130">
        <f t="shared" si="5"/>
        <v>72473.735627142116</v>
      </c>
      <c r="H22" s="181">
        <f t="shared" si="6"/>
        <v>0</v>
      </c>
    </row>
    <row r="23" spans="1:8" x14ac:dyDescent="0.25">
      <c r="A23" s="138">
        <v>44501</v>
      </c>
      <c r="B23" s="180"/>
      <c r="C23" s="130">
        <f t="shared" si="7"/>
        <v>78870.787246981621</v>
      </c>
      <c r="D23" s="131">
        <v>2341426809.9999995</v>
      </c>
      <c r="E23" s="285">
        <f t="shared" si="3"/>
        <v>3.368492532422213E-5</v>
      </c>
      <c r="F23" s="328">
        <v>2</v>
      </c>
      <c r="G23" s="130">
        <f t="shared" si="5"/>
        <v>78870.787246981621</v>
      </c>
      <c r="H23" s="181">
        <f t="shared" si="6"/>
        <v>0</v>
      </c>
    </row>
    <row r="24" spans="1:8" x14ac:dyDescent="0.25">
      <c r="A24" s="138">
        <v>44531</v>
      </c>
      <c r="B24" s="180"/>
      <c r="C24" s="130">
        <f t="shared" si="7"/>
        <v>98390.859570376328</v>
      </c>
      <c r="D24" s="131">
        <v>2920916660</v>
      </c>
      <c r="E24" s="285">
        <f t="shared" si="3"/>
        <v>3.368492532422213E-5</v>
      </c>
      <c r="F24" s="328">
        <v>2</v>
      </c>
      <c r="G24" s="130">
        <f t="shared" si="5"/>
        <v>98390.859570376328</v>
      </c>
      <c r="H24" s="181">
        <f t="shared" si="6"/>
        <v>0</v>
      </c>
    </row>
    <row r="25" spans="1:8" x14ac:dyDescent="0.25">
      <c r="A25" s="138">
        <v>44562</v>
      </c>
      <c r="B25" s="180"/>
      <c r="C25" s="130">
        <f t="shared" si="7"/>
        <v>99665.016123911264</v>
      </c>
      <c r="D25" s="131">
        <v>2958742380</v>
      </c>
      <c r="E25" s="285">
        <f t="shared" si="3"/>
        <v>3.368492532422213E-5</v>
      </c>
      <c r="F25" s="328">
        <v>2</v>
      </c>
      <c r="G25" s="130">
        <f t="shared" si="5"/>
        <v>99665.016123911264</v>
      </c>
      <c r="H25" s="181">
        <f t="shared" si="6"/>
        <v>0</v>
      </c>
    </row>
    <row r="26" spans="1:8" x14ac:dyDescent="0.25">
      <c r="B26" s="132"/>
      <c r="C26" s="132"/>
      <c r="D26" s="131"/>
      <c r="E26" s="131"/>
      <c r="F26" s="131"/>
      <c r="G26" s="130"/>
      <c r="H26" s="130"/>
    </row>
    <row r="27" spans="1:8" ht="15.75" thickBot="1" x14ac:dyDescent="0.3">
      <c r="A27" s="133" t="s">
        <v>76</v>
      </c>
      <c r="B27" s="134">
        <f>SUM(B8:B26)</f>
        <v>3998807.02</v>
      </c>
      <c r="C27" s="134">
        <f>SUM(C14:C26)</f>
        <v>528053.8273405917</v>
      </c>
      <c r="D27" s="135">
        <f>SUM(D8:D26)</f>
        <v>46891060971</v>
      </c>
      <c r="E27" s="136"/>
      <c r="F27" s="136"/>
      <c r="G27" s="134">
        <f>SUM(G8:G26)</f>
        <v>4536490.8032741398</v>
      </c>
      <c r="H27" s="134">
        <f>SUM(H8:H26)</f>
        <v>9629.955933547375</v>
      </c>
    </row>
    <row r="28" spans="1:8" ht="15.75" thickTop="1" x14ac:dyDescent="0.25">
      <c r="D28" s="177"/>
      <c r="G28" s="177"/>
      <c r="H28" s="137"/>
    </row>
    <row r="29" spans="1:8" ht="18.75" x14ac:dyDescent="0.35">
      <c r="A29" t="s">
        <v>256</v>
      </c>
      <c r="B29" s="180"/>
      <c r="D29" s="137"/>
    </row>
    <row r="30" spans="1:8" ht="18.75" x14ac:dyDescent="0.35">
      <c r="A30" t="s">
        <v>257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5"/>
  <sheetViews>
    <sheetView tabSelected="1" zoomScaleNormal="100" workbookViewId="0">
      <selection activeCell="C18" sqref="C18"/>
    </sheetView>
  </sheetViews>
  <sheetFormatPr defaultRowHeight="15" x14ac:dyDescent="0.25"/>
  <cols>
    <col min="1" max="1" width="4.7109375" customWidth="1"/>
    <col min="2" max="2" width="66" customWidth="1"/>
    <col min="3" max="3" width="21.42578125" bestFit="1" customWidth="1"/>
    <col min="4" max="4" width="14" bestFit="1" customWidth="1"/>
    <col min="5" max="5" width="6.7109375" bestFit="1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204</v>
      </c>
    </row>
    <row r="4" spans="1:5" x14ac:dyDescent="0.25">
      <c r="A4" t="s">
        <v>207</v>
      </c>
    </row>
    <row r="6" spans="1:5" x14ac:dyDescent="0.25">
      <c r="C6" s="11" t="s">
        <v>208</v>
      </c>
    </row>
    <row r="7" spans="1:5" x14ac:dyDescent="0.25">
      <c r="C7" s="12"/>
    </row>
    <row r="9" spans="1:5" x14ac:dyDescent="0.25">
      <c r="A9">
        <v>1</v>
      </c>
      <c r="B9" t="s">
        <v>16</v>
      </c>
      <c r="C9" s="174">
        <f>SUM('Monthly Cost Tracker 3'!B20:M20)</f>
        <v>-9560336.743230775</v>
      </c>
    </row>
    <row r="10" spans="1:5" x14ac:dyDescent="0.25">
      <c r="A10">
        <v>2</v>
      </c>
      <c r="B10" t="s">
        <v>17</v>
      </c>
      <c r="C10" s="175">
        <f>SUM('Monthly Cost Tracker 3'!B25:M25)</f>
        <v>5655624.9049999984</v>
      </c>
    </row>
    <row r="11" spans="1:5" x14ac:dyDescent="0.25">
      <c r="A11">
        <v>3</v>
      </c>
      <c r="B11" t="s">
        <v>18</v>
      </c>
      <c r="C11" s="176">
        <f>+C12+C13</f>
        <v>-15217048.772515886</v>
      </c>
    </row>
    <row r="12" spans="1:5" x14ac:dyDescent="0.25">
      <c r="A12">
        <v>3.1</v>
      </c>
      <c r="B12" s="10" t="s">
        <v>19</v>
      </c>
      <c r="C12" s="175">
        <f>SUM('Monthly Cost Tracker 3'!B29:M29)+SUM('Monthly Cost Tracker 2'!C29:N29)+SUM('Monthly Cost Tracker 1'!C29:H29)</f>
        <v>-1087.1242851124896</v>
      </c>
      <c r="D12" s="177"/>
    </row>
    <row r="13" spans="1:5" x14ac:dyDescent="0.25">
      <c r="A13">
        <v>3.2</v>
      </c>
      <c r="B13" s="10" t="s">
        <v>20</v>
      </c>
      <c r="C13" s="176">
        <f>+C9-C10</f>
        <v>-15215961.648230772</v>
      </c>
      <c r="D13" s="4"/>
      <c r="E13" s="13"/>
    </row>
    <row r="14" spans="1:5" x14ac:dyDescent="0.25">
      <c r="A14">
        <v>4</v>
      </c>
      <c r="B14" t="s">
        <v>21</v>
      </c>
      <c r="C14" s="175">
        <f>+RRR!E11</f>
        <v>-16660718.754846185</v>
      </c>
    </row>
    <row r="15" spans="1:5" x14ac:dyDescent="0.25">
      <c r="A15">
        <v>5</v>
      </c>
      <c r="B15" t="s">
        <v>22</v>
      </c>
      <c r="C15" s="178">
        <f>'True-Up'!H27</f>
        <v>9629.955933547375</v>
      </c>
    </row>
    <row r="16" spans="1:5" x14ac:dyDescent="0.25">
      <c r="A16">
        <v>6</v>
      </c>
      <c r="B16" t="s">
        <v>23</v>
      </c>
      <c r="C16" s="175">
        <v>0</v>
      </c>
    </row>
    <row r="17" spans="1:5" x14ac:dyDescent="0.25">
      <c r="A17">
        <v>7</v>
      </c>
      <c r="B17" t="s">
        <v>90</v>
      </c>
      <c r="C17" s="176">
        <f>SUM(C14:C16)+C11</f>
        <v>-31868137.571428522</v>
      </c>
    </row>
    <row r="18" spans="1:5" ht="18" x14ac:dyDescent="0.35">
      <c r="A18">
        <v>8</v>
      </c>
      <c r="B18" t="s">
        <v>93</v>
      </c>
      <c r="C18" s="178">
        <f>SUM(SRP!O2:O13)*1000</f>
        <v>30647398000</v>
      </c>
    </row>
    <row r="19" spans="1:5" x14ac:dyDescent="0.25">
      <c r="A19">
        <v>9</v>
      </c>
      <c r="B19" t="s">
        <v>91</v>
      </c>
      <c r="C19" s="38">
        <f>+C25</f>
        <v>-1.0398317524844532E-3</v>
      </c>
    </row>
    <row r="20" spans="1:5" x14ac:dyDescent="0.25">
      <c r="A20">
        <v>10</v>
      </c>
      <c r="B20" t="s">
        <v>25</v>
      </c>
      <c r="C20" s="38">
        <f>+C19</f>
        <v>-1.0398317524844532E-3</v>
      </c>
      <c r="D20" s="4"/>
    </row>
    <row r="21" spans="1:5" x14ac:dyDescent="0.25">
      <c r="A21">
        <v>11</v>
      </c>
      <c r="B21" t="s">
        <v>24</v>
      </c>
      <c r="C21" s="4">
        <v>0</v>
      </c>
    </row>
    <row r="22" spans="1:5" x14ac:dyDescent="0.25">
      <c r="A22">
        <v>12</v>
      </c>
      <c r="B22" t="s">
        <v>26</v>
      </c>
      <c r="C22" s="38">
        <f>+C20+C21</f>
        <v>-1.0398317524844532E-3</v>
      </c>
    </row>
    <row r="24" spans="1:5" x14ac:dyDescent="0.25">
      <c r="B24" t="s">
        <v>89</v>
      </c>
      <c r="C24" s="38">
        <f>+RAC!J16</f>
        <v>1.317725955540471E-2</v>
      </c>
    </row>
    <row r="25" spans="1:5" ht="18" x14ac:dyDescent="0.35">
      <c r="A25" s="76" t="s">
        <v>92</v>
      </c>
      <c r="B25" t="s">
        <v>94</v>
      </c>
      <c r="C25" s="38">
        <f>+MIN(C17/C18,C24)</f>
        <v>-1.0398317524844532E-3</v>
      </c>
      <c r="E25" s="4"/>
    </row>
  </sheetData>
  <pageMargins left="0.7" right="0.7" top="0.75" bottom="0.75" header="0.3" footer="0.3"/>
  <pageSetup scale="84" orientation="portrait" r:id="rId1"/>
  <headerFooter>
    <oddFooter xml:space="preserve">&amp;RSchedule JNG-1
</oddFooter>
  </headerFooter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8"/>
  <sheetViews>
    <sheetView zoomScaleNormal="100" workbookViewId="0">
      <selection activeCell="D18" sqref="D18"/>
    </sheetView>
  </sheetViews>
  <sheetFormatPr defaultRowHeight="15" x14ac:dyDescent="0.25"/>
  <cols>
    <col min="1" max="1" width="12.5703125" bestFit="1" customWidth="1"/>
    <col min="2" max="2" width="14.28515625" bestFit="1" customWidth="1"/>
    <col min="3" max="3" width="13.42578125" bestFit="1" customWidth="1"/>
    <col min="4" max="4" width="15" bestFit="1" customWidth="1"/>
    <col min="5" max="5" width="16" bestFit="1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204</v>
      </c>
    </row>
    <row r="4" spans="1:5" x14ac:dyDescent="0.25">
      <c r="A4" t="s">
        <v>209</v>
      </c>
    </row>
    <row r="7" spans="1:5" x14ac:dyDescent="0.25">
      <c r="C7" s="16" t="s">
        <v>214</v>
      </c>
      <c r="D7" s="16" t="s">
        <v>183</v>
      </c>
      <c r="E7" s="16" t="s">
        <v>212</v>
      </c>
    </row>
    <row r="8" spans="1:5" x14ac:dyDescent="0.25">
      <c r="A8" t="s">
        <v>31</v>
      </c>
      <c r="B8" s="15"/>
      <c r="C8" s="174"/>
      <c r="D8" s="174">
        <f>SUM('Monthly Cost Tracker 3'!B6:M11)</f>
        <v>1904977.5500000003</v>
      </c>
      <c r="E8" s="174">
        <f>D8</f>
        <v>1904977.5500000003</v>
      </c>
    </row>
    <row r="9" spans="1:5" x14ac:dyDescent="0.25">
      <c r="A9" t="s">
        <v>32</v>
      </c>
      <c r="B9" s="15"/>
      <c r="C9" s="174"/>
      <c r="D9" s="174">
        <f>SUM('Monthly Cost Tracker 3'!B12:M12)</f>
        <v>2735449.73</v>
      </c>
      <c r="E9" s="174">
        <f>D9</f>
        <v>2735449.73</v>
      </c>
    </row>
    <row r="10" spans="1:5" x14ac:dyDescent="0.25">
      <c r="A10" t="s">
        <v>215</v>
      </c>
      <c r="B10" s="15"/>
      <c r="C10" s="174">
        <f>SUM('Monthly Cost Tracker 3'!B13:M19)</f>
        <v>-14200764.023230791</v>
      </c>
      <c r="D10" s="174"/>
      <c r="E10" s="174">
        <f>(C10/8)*12</f>
        <v>-21301146.034846187</v>
      </c>
    </row>
    <row r="11" spans="1:5" ht="15.75" thickBot="1" x14ac:dyDescent="0.3">
      <c r="A11" t="s">
        <v>210</v>
      </c>
      <c r="C11" s="329">
        <f>+C9+C8+C10</f>
        <v>-14200764.023230791</v>
      </c>
      <c r="D11" s="329">
        <f>+D9+D8</f>
        <v>4640427.28</v>
      </c>
      <c r="E11" s="329">
        <f>+E9+E8+E10</f>
        <v>-16660718.754846185</v>
      </c>
    </row>
    <row r="12" spans="1:5" ht="15.75" thickTop="1" x14ac:dyDescent="0.25"/>
    <row r="14" spans="1:5" x14ac:dyDescent="0.25">
      <c r="A14" s="17"/>
      <c r="B14" s="17"/>
      <c r="C14" s="17"/>
      <c r="D14" s="17"/>
      <c r="E14" s="17"/>
    </row>
    <row r="15" spans="1:5" x14ac:dyDescent="0.25">
      <c r="B15" s="17"/>
      <c r="C15" s="17"/>
      <c r="D15" s="17"/>
      <c r="E15" s="17"/>
    </row>
    <row r="16" spans="1:5" x14ac:dyDescent="0.25">
      <c r="B16" s="17"/>
      <c r="C16" s="17"/>
      <c r="D16" s="17"/>
      <c r="E16" s="17"/>
    </row>
    <row r="17" spans="2:5" x14ac:dyDescent="0.25">
      <c r="B17" s="17"/>
      <c r="C17" s="17"/>
      <c r="D17" s="17"/>
      <c r="E17" s="17"/>
    </row>
    <row r="18" spans="2:5" ht="27.4" customHeight="1" x14ac:dyDescent="0.25">
      <c r="B18" s="17"/>
      <c r="C18" s="17"/>
      <c r="D18" s="17"/>
      <c r="E18" s="1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3"/>
  <sheetViews>
    <sheetView workbookViewId="0">
      <selection activeCell="D13" sqref="D13"/>
    </sheetView>
  </sheetViews>
  <sheetFormatPr defaultRowHeight="15" x14ac:dyDescent="0.25"/>
  <sheetData>
    <row r="1" spans="1:17" x14ac:dyDescent="0.25">
      <c r="A1" s="35" t="s">
        <v>33</v>
      </c>
      <c r="B1" s="35" t="s">
        <v>34</v>
      </c>
      <c r="C1" s="35" t="s">
        <v>35</v>
      </c>
      <c r="D1" s="35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</row>
    <row r="2" spans="1:17" x14ac:dyDescent="0.25">
      <c r="A2" s="288">
        <v>20212</v>
      </c>
      <c r="B2" s="289">
        <v>44593</v>
      </c>
      <c r="C2" s="286">
        <v>2022</v>
      </c>
      <c r="D2" s="286">
        <v>2</v>
      </c>
      <c r="E2" s="287">
        <v>1170860</v>
      </c>
      <c r="F2" s="287">
        <v>264424</v>
      </c>
      <c r="G2" s="287">
        <v>508774</v>
      </c>
      <c r="H2" s="287">
        <v>193047</v>
      </c>
      <c r="I2" s="287">
        <v>100710</v>
      </c>
      <c r="J2" s="287">
        <v>7737</v>
      </c>
      <c r="K2" s="287">
        <v>64178</v>
      </c>
      <c r="L2" s="287">
        <v>93059</v>
      </c>
      <c r="M2" s="287">
        <v>150755</v>
      </c>
      <c r="N2" s="287">
        <v>11853</v>
      </c>
      <c r="O2" s="287">
        <v>2565399</v>
      </c>
      <c r="P2" s="36"/>
      <c r="Q2" s="37"/>
    </row>
    <row r="3" spans="1:17" x14ac:dyDescent="0.25">
      <c r="A3" s="288">
        <v>20213</v>
      </c>
      <c r="B3" s="289">
        <v>44621</v>
      </c>
      <c r="C3" s="286">
        <v>2022</v>
      </c>
      <c r="D3" s="286">
        <v>3</v>
      </c>
      <c r="E3" s="287">
        <v>953657</v>
      </c>
      <c r="F3" s="287">
        <v>240883</v>
      </c>
      <c r="G3" s="287">
        <v>515453</v>
      </c>
      <c r="H3" s="287">
        <v>202521</v>
      </c>
      <c r="I3" s="287">
        <v>115466</v>
      </c>
      <c r="J3" s="287">
        <v>6048</v>
      </c>
      <c r="K3" s="287">
        <v>64998</v>
      </c>
      <c r="L3" s="287">
        <v>92773</v>
      </c>
      <c r="M3" s="287">
        <v>179866</v>
      </c>
      <c r="N3" s="287">
        <v>12639</v>
      </c>
      <c r="O3" s="287">
        <v>2384302</v>
      </c>
      <c r="P3" s="36"/>
      <c r="Q3" s="37"/>
    </row>
    <row r="4" spans="1:17" x14ac:dyDescent="0.25">
      <c r="A4" s="288">
        <v>20214</v>
      </c>
      <c r="B4" s="289">
        <v>44652</v>
      </c>
      <c r="C4" s="286">
        <v>2022</v>
      </c>
      <c r="D4" s="286">
        <v>4</v>
      </c>
      <c r="E4" s="287">
        <v>710869</v>
      </c>
      <c r="F4" s="287">
        <v>212592</v>
      </c>
      <c r="G4" s="287">
        <v>482560</v>
      </c>
      <c r="H4" s="287">
        <v>197752</v>
      </c>
      <c r="I4" s="287">
        <v>115342</v>
      </c>
      <c r="J4" s="287">
        <v>5498</v>
      </c>
      <c r="K4" s="287">
        <v>62436</v>
      </c>
      <c r="L4" s="287">
        <v>92987</v>
      </c>
      <c r="M4" s="287">
        <v>182420</v>
      </c>
      <c r="N4" s="287">
        <v>10748</v>
      </c>
      <c r="O4" s="287">
        <v>2073205</v>
      </c>
      <c r="P4" s="36"/>
      <c r="Q4" s="37"/>
    </row>
    <row r="5" spans="1:17" x14ac:dyDescent="0.25">
      <c r="A5" s="288">
        <v>20215</v>
      </c>
      <c r="B5" s="289">
        <v>44682</v>
      </c>
      <c r="C5" s="286">
        <v>2022</v>
      </c>
      <c r="D5" s="286">
        <v>5</v>
      </c>
      <c r="E5" s="287">
        <v>794726</v>
      </c>
      <c r="F5" s="287">
        <v>222118</v>
      </c>
      <c r="G5" s="287">
        <v>523699</v>
      </c>
      <c r="H5" s="287">
        <v>209117</v>
      </c>
      <c r="I5" s="287">
        <v>128994</v>
      </c>
      <c r="J5" s="287">
        <v>5209</v>
      </c>
      <c r="K5" s="287">
        <v>64202</v>
      </c>
      <c r="L5" s="287">
        <v>93854</v>
      </c>
      <c r="M5" s="287">
        <v>202700</v>
      </c>
      <c r="N5" s="287">
        <v>10091</v>
      </c>
      <c r="O5" s="287">
        <v>2254711</v>
      </c>
      <c r="P5" s="36"/>
      <c r="Q5" s="37"/>
    </row>
    <row r="6" spans="1:17" x14ac:dyDescent="0.25">
      <c r="A6" s="288">
        <v>20216</v>
      </c>
      <c r="B6" s="289">
        <v>44713</v>
      </c>
      <c r="C6" s="286">
        <v>2022</v>
      </c>
      <c r="D6" s="286">
        <v>6</v>
      </c>
      <c r="E6" s="287">
        <v>1168824</v>
      </c>
      <c r="F6" s="287">
        <v>259615</v>
      </c>
      <c r="G6" s="287">
        <v>566958</v>
      </c>
      <c r="H6" s="287">
        <v>216592</v>
      </c>
      <c r="I6" s="287">
        <v>129790</v>
      </c>
      <c r="J6" s="287">
        <v>6686</v>
      </c>
      <c r="K6" s="287">
        <v>66023</v>
      </c>
      <c r="L6" s="287">
        <v>98876</v>
      </c>
      <c r="M6" s="287">
        <v>197902</v>
      </c>
      <c r="N6" s="287">
        <v>8972</v>
      </c>
      <c r="O6" s="287">
        <v>2720238</v>
      </c>
      <c r="P6" s="36"/>
      <c r="Q6" s="37"/>
    </row>
    <row r="7" spans="1:17" x14ac:dyDescent="0.25">
      <c r="A7" s="288">
        <v>20217</v>
      </c>
      <c r="B7" s="289">
        <v>44743</v>
      </c>
      <c r="C7" s="286">
        <v>2022</v>
      </c>
      <c r="D7" s="286">
        <v>7</v>
      </c>
      <c r="E7" s="287">
        <v>1419742</v>
      </c>
      <c r="F7" s="287">
        <v>289236</v>
      </c>
      <c r="G7" s="287">
        <v>620389</v>
      </c>
      <c r="H7" s="287">
        <v>233473</v>
      </c>
      <c r="I7" s="287">
        <v>139955</v>
      </c>
      <c r="J7" s="287">
        <v>6910</v>
      </c>
      <c r="K7" s="287">
        <v>70050</v>
      </c>
      <c r="L7" s="287">
        <v>100063</v>
      </c>
      <c r="M7" s="287">
        <v>219328</v>
      </c>
      <c r="N7" s="287">
        <v>9648</v>
      </c>
      <c r="O7" s="287">
        <v>3108793</v>
      </c>
      <c r="P7" s="36"/>
      <c r="Q7" s="37"/>
    </row>
    <row r="8" spans="1:17" x14ac:dyDescent="0.25">
      <c r="A8" s="288">
        <v>20218</v>
      </c>
      <c r="B8" s="289">
        <v>44774</v>
      </c>
      <c r="C8" s="286">
        <v>2022</v>
      </c>
      <c r="D8" s="286">
        <v>8</v>
      </c>
      <c r="E8" s="287">
        <v>1280523</v>
      </c>
      <c r="F8" s="287">
        <v>285577</v>
      </c>
      <c r="G8" s="287">
        <v>633696</v>
      </c>
      <c r="H8" s="287">
        <v>236794</v>
      </c>
      <c r="I8" s="287">
        <v>142380</v>
      </c>
      <c r="J8" s="287">
        <v>6780</v>
      </c>
      <c r="K8" s="287">
        <v>71904</v>
      </c>
      <c r="L8" s="287">
        <v>101969</v>
      </c>
      <c r="M8" s="287">
        <v>218735</v>
      </c>
      <c r="N8" s="287">
        <v>10557</v>
      </c>
      <c r="O8" s="287">
        <v>2988916</v>
      </c>
      <c r="P8" s="36"/>
      <c r="Q8" s="37"/>
    </row>
    <row r="9" spans="1:17" x14ac:dyDescent="0.25">
      <c r="A9" s="288">
        <v>20219</v>
      </c>
      <c r="B9" s="289">
        <v>44805</v>
      </c>
      <c r="C9" s="286">
        <v>2022</v>
      </c>
      <c r="D9" s="286">
        <v>9</v>
      </c>
      <c r="E9" s="287">
        <v>925329</v>
      </c>
      <c r="F9" s="287">
        <v>242542</v>
      </c>
      <c r="G9" s="287">
        <v>574359</v>
      </c>
      <c r="H9" s="287">
        <v>213853</v>
      </c>
      <c r="I9" s="287">
        <v>126932</v>
      </c>
      <c r="J9" s="287">
        <v>5782</v>
      </c>
      <c r="K9" s="287">
        <v>67030</v>
      </c>
      <c r="L9" s="287">
        <v>98656</v>
      </c>
      <c r="M9" s="287">
        <v>197500</v>
      </c>
      <c r="N9" s="287">
        <v>11095</v>
      </c>
      <c r="O9" s="287">
        <v>2463079</v>
      </c>
      <c r="P9" s="36"/>
      <c r="Q9" s="37"/>
    </row>
    <row r="10" spans="1:17" x14ac:dyDescent="0.25">
      <c r="A10" s="288">
        <v>202110</v>
      </c>
      <c r="B10" s="289">
        <v>44835</v>
      </c>
      <c r="C10" s="286">
        <v>2022</v>
      </c>
      <c r="D10" s="286">
        <v>10</v>
      </c>
      <c r="E10" s="287">
        <v>691674</v>
      </c>
      <c r="F10" s="287">
        <v>203196</v>
      </c>
      <c r="G10" s="287">
        <v>517957</v>
      </c>
      <c r="H10" s="287">
        <v>202473</v>
      </c>
      <c r="I10" s="287">
        <v>120782</v>
      </c>
      <c r="J10" s="287">
        <v>6275</v>
      </c>
      <c r="K10" s="287">
        <v>64678</v>
      </c>
      <c r="L10" s="287">
        <v>94497</v>
      </c>
      <c r="M10" s="287">
        <v>204957</v>
      </c>
      <c r="N10" s="287">
        <v>12687</v>
      </c>
      <c r="O10" s="287">
        <v>2119175</v>
      </c>
      <c r="P10" s="36"/>
      <c r="Q10" s="37"/>
    </row>
    <row r="11" spans="1:17" x14ac:dyDescent="0.25">
      <c r="A11" s="288">
        <v>202111</v>
      </c>
      <c r="B11" s="289">
        <v>44866</v>
      </c>
      <c r="C11" s="286">
        <v>2022</v>
      </c>
      <c r="D11" s="286">
        <v>11</v>
      </c>
      <c r="E11" s="287">
        <v>931300</v>
      </c>
      <c r="F11" s="287">
        <v>217866</v>
      </c>
      <c r="G11" s="287">
        <v>494116</v>
      </c>
      <c r="H11" s="287">
        <v>188380</v>
      </c>
      <c r="I11" s="287">
        <v>109161</v>
      </c>
      <c r="J11" s="287">
        <v>8186</v>
      </c>
      <c r="K11" s="287">
        <v>63123</v>
      </c>
      <c r="L11" s="287">
        <v>92817</v>
      </c>
      <c r="M11" s="287">
        <v>188271</v>
      </c>
      <c r="N11" s="287">
        <v>13111</v>
      </c>
      <c r="O11" s="287">
        <v>2306331</v>
      </c>
      <c r="P11" s="36"/>
      <c r="Q11" s="37"/>
    </row>
    <row r="12" spans="1:17" x14ac:dyDescent="0.25">
      <c r="A12" s="288">
        <v>202112</v>
      </c>
      <c r="B12" s="289">
        <v>44896</v>
      </c>
      <c r="C12" s="286">
        <v>2022</v>
      </c>
      <c r="D12" s="286">
        <v>12</v>
      </c>
      <c r="E12" s="287">
        <v>1262974</v>
      </c>
      <c r="F12" s="287">
        <v>268731</v>
      </c>
      <c r="G12" s="287">
        <v>535910</v>
      </c>
      <c r="H12" s="287">
        <v>197621</v>
      </c>
      <c r="I12" s="287">
        <v>106443</v>
      </c>
      <c r="J12" s="287">
        <v>9261</v>
      </c>
      <c r="K12" s="287">
        <v>64080</v>
      </c>
      <c r="L12" s="287">
        <v>94705</v>
      </c>
      <c r="M12" s="287">
        <v>181002</v>
      </c>
      <c r="N12" s="287">
        <v>13804</v>
      </c>
      <c r="O12" s="287">
        <v>2734531</v>
      </c>
      <c r="P12" s="36"/>
      <c r="Q12" s="37"/>
    </row>
    <row r="13" spans="1:17" x14ac:dyDescent="0.25">
      <c r="A13" s="288">
        <v>20221</v>
      </c>
      <c r="B13" s="289">
        <v>44927</v>
      </c>
      <c r="C13" s="286">
        <v>2023</v>
      </c>
      <c r="D13" s="286">
        <v>1</v>
      </c>
      <c r="E13" s="287">
        <v>1397961</v>
      </c>
      <c r="F13" s="287">
        <v>298737</v>
      </c>
      <c r="G13" s="287">
        <v>567446</v>
      </c>
      <c r="H13" s="287">
        <v>201545</v>
      </c>
      <c r="I13" s="287">
        <v>103494</v>
      </c>
      <c r="J13" s="287">
        <v>9147</v>
      </c>
      <c r="K13" s="287">
        <v>63775</v>
      </c>
      <c r="L13" s="287">
        <v>95953</v>
      </c>
      <c r="M13" s="287">
        <v>176262</v>
      </c>
      <c r="N13" s="287">
        <v>14399</v>
      </c>
      <c r="O13" s="287">
        <v>2928718</v>
      </c>
      <c r="P13" s="36"/>
      <c r="Q13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N30"/>
  <sheetViews>
    <sheetView zoomScale="81" zoomScaleNormal="81" zoomScaleSheetLayoutView="85" workbookViewId="0">
      <selection activeCell="G37" sqref="G37"/>
    </sheetView>
  </sheetViews>
  <sheetFormatPr defaultRowHeight="15" x14ac:dyDescent="0.25"/>
  <cols>
    <col min="1" max="1" width="2.7109375" customWidth="1"/>
    <col min="2" max="2" width="23.28515625" bestFit="1" customWidth="1"/>
    <col min="3" max="3" width="17.28515625" bestFit="1" customWidth="1"/>
    <col min="4" max="4" width="14.85546875" bestFit="1" customWidth="1"/>
    <col min="5" max="5" width="19" bestFit="1" customWidth="1"/>
    <col min="6" max="6" width="20.28515625" bestFit="1" customWidth="1"/>
    <col min="7" max="7" width="5.42578125" customWidth="1"/>
    <col min="8" max="8" width="27.28515625" customWidth="1"/>
    <col min="9" max="9" width="42.42578125" customWidth="1"/>
    <col min="10" max="10" width="15.5703125" bestFit="1" customWidth="1"/>
    <col min="11" max="11" width="15" bestFit="1" customWidth="1"/>
    <col min="12" max="12" width="21.85546875" bestFit="1" customWidth="1"/>
    <col min="13" max="13" width="17" bestFit="1" customWidth="1"/>
    <col min="14" max="14" width="17.5703125" bestFit="1" customWidth="1"/>
  </cols>
  <sheetData>
    <row r="1" spans="2:14" ht="15.75" thickBot="1" x14ac:dyDescent="0.3"/>
    <row r="2" spans="2:14" ht="19.5" thickBot="1" x14ac:dyDescent="0.35">
      <c r="B2" s="339" t="s">
        <v>48</v>
      </c>
      <c r="C2" s="340"/>
      <c r="D2" s="341"/>
      <c r="E2" s="341"/>
      <c r="F2" s="342"/>
      <c r="H2" s="339" t="s">
        <v>49</v>
      </c>
      <c r="I2" s="340"/>
      <c r="J2" s="340"/>
      <c r="K2" s="340"/>
      <c r="L2" s="340"/>
      <c r="M2" s="340"/>
      <c r="N2" s="343"/>
    </row>
    <row r="3" spans="2:14" x14ac:dyDescent="0.25">
      <c r="B3" s="32"/>
      <c r="C3" s="33"/>
      <c r="D3" s="344" t="s">
        <v>50</v>
      </c>
      <c r="E3" s="345"/>
      <c r="F3" s="39">
        <f>AVERAGE(F17,F30)</f>
        <v>8.5150301181978E-2</v>
      </c>
      <c r="H3" s="32"/>
      <c r="I3" s="40" t="s">
        <v>51</v>
      </c>
      <c r="J3" s="41">
        <f>N30</f>
        <v>8.3632463167397919E-2</v>
      </c>
      <c r="K3" s="33"/>
      <c r="L3" s="33"/>
      <c r="M3" s="33"/>
      <c r="N3" s="34"/>
    </row>
    <row r="4" spans="2:14" ht="15.75" thickBot="1" x14ac:dyDescent="0.3">
      <c r="B4" s="32"/>
      <c r="C4" s="33"/>
      <c r="D4" s="346" t="s">
        <v>52</v>
      </c>
      <c r="E4" s="347"/>
      <c r="F4" s="42">
        <v>42826</v>
      </c>
      <c r="H4" s="32"/>
      <c r="I4" s="43" t="s">
        <v>53</v>
      </c>
      <c r="J4" s="44">
        <f>I30</f>
        <v>8.0405887518136945E-2</v>
      </c>
      <c r="K4" s="33"/>
      <c r="L4" s="33"/>
      <c r="M4" s="33"/>
      <c r="N4" s="34"/>
    </row>
    <row r="5" spans="2:14" ht="15.75" thickBot="1" x14ac:dyDescent="0.3">
      <c r="B5" s="32"/>
      <c r="C5" s="33"/>
      <c r="D5" s="33"/>
      <c r="E5" s="33"/>
      <c r="F5" s="34"/>
      <c r="H5" s="32"/>
      <c r="I5" s="45" t="s">
        <v>54</v>
      </c>
      <c r="J5" s="44">
        <f>(L29+M29)/H29</f>
        <v>3.2265756492609794E-3</v>
      </c>
      <c r="K5" s="33"/>
      <c r="L5" s="33"/>
      <c r="M5" s="33"/>
      <c r="N5" s="34"/>
    </row>
    <row r="6" spans="2:14" ht="15.75" x14ac:dyDescent="0.25">
      <c r="B6" s="333" t="s">
        <v>55</v>
      </c>
      <c r="C6" s="334"/>
      <c r="D6" s="334"/>
      <c r="E6" s="334"/>
      <c r="F6" s="335"/>
      <c r="H6" s="32"/>
      <c r="I6" s="43" t="s">
        <v>56</v>
      </c>
      <c r="J6" s="46">
        <f>(J3/F3)^(1/((J7-F4)/365))-1</f>
        <v>-3.9853204060004144E-3</v>
      </c>
      <c r="K6" s="33"/>
      <c r="L6" s="33"/>
      <c r="M6" s="33"/>
      <c r="N6" s="34"/>
    </row>
    <row r="7" spans="2:14" x14ac:dyDescent="0.25">
      <c r="B7" s="43"/>
      <c r="C7" s="47" t="s">
        <v>57</v>
      </c>
      <c r="D7" s="47" t="s">
        <v>58</v>
      </c>
      <c r="E7" s="47" t="s">
        <v>59</v>
      </c>
      <c r="F7" s="48" t="s">
        <v>60</v>
      </c>
      <c r="H7" s="32"/>
      <c r="I7" s="43" t="s">
        <v>52</v>
      </c>
      <c r="J7" s="49">
        <v>44470</v>
      </c>
      <c r="K7" s="33"/>
      <c r="L7" s="33"/>
      <c r="M7" s="33"/>
      <c r="N7" s="34"/>
    </row>
    <row r="8" spans="2:14" x14ac:dyDescent="0.25">
      <c r="B8" s="43" t="s">
        <v>61</v>
      </c>
      <c r="C8" s="50">
        <v>1308982935.1561263</v>
      </c>
      <c r="D8" s="51">
        <v>12812045844.15897</v>
      </c>
      <c r="E8" s="52">
        <f>D8*0.00124</f>
        <v>15886936.846757123</v>
      </c>
      <c r="F8" s="53">
        <f>C8+E8</f>
        <v>1324869872.0028834</v>
      </c>
      <c r="H8" s="32"/>
      <c r="I8" s="43" t="s">
        <v>62</v>
      </c>
      <c r="J8" s="54">
        <f>(J7-F4)/365</f>
        <v>4.5041095890410956</v>
      </c>
      <c r="K8" s="33"/>
      <c r="L8" s="33"/>
      <c r="M8" s="33"/>
      <c r="N8" s="34"/>
    </row>
    <row r="9" spans="2:14" x14ac:dyDescent="0.25">
      <c r="B9" s="43" t="s">
        <v>63</v>
      </c>
      <c r="C9" s="50">
        <v>316514060.7287904</v>
      </c>
      <c r="D9" s="51">
        <v>3314685710.2862983</v>
      </c>
      <c r="E9" s="52">
        <f t="shared" ref="E9:E14" si="0">D9*0.00124</f>
        <v>4110210.28075501</v>
      </c>
      <c r="F9" s="53">
        <f t="shared" ref="F9:F15" si="1">C9+E9</f>
        <v>320624271.00954539</v>
      </c>
      <c r="H9" s="32"/>
      <c r="I9" s="43" t="s">
        <v>64</v>
      </c>
      <c r="J9" s="44">
        <f>(F3*(1.0285^(J8)))</f>
        <v>9.6639722722802635E-2</v>
      </c>
      <c r="K9" s="33"/>
      <c r="N9" s="34"/>
    </row>
    <row r="10" spans="2:14" x14ac:dyDescent="0.25">
      <c r="B10" s="43" t="s">
        <v>65</v>
      </c>
      <c r="C10" s="50">
        <v>609538433.00189579</v>
      </c>
      <c r="D10" s="51">
        <v>8031106053.8757181</v>
      </c>
      <c r="E10" s="52">
        <f t="shared" si="0"/>
        <v>9958571.5068058912</v>
      </c>
      <c r="F10" s="53">
        <f t="shared" si="1"/>
        <v>619497004.50870168</v>
      </c>
      <c r="H10" s="32"/>
      <c r="I10" s="43" t="s">
        <v>66</v>
      </c>
      <c r="J10" s="44">
        <f>I30-F3</f>
        <v>-4.7444136638410545E-3</v>
      </c>
      <c r="K10" s="33"/>
      <c r="L10" s="33"/>
      <c r="M10" s="33"/>
      <c r="N10" s="34"/>
    </row>
    <row r="11" spans="2:14" x14ac:dyDescent="0.25">
      <c r="B11" s="43" t="s">
        <v>67</v>
      </c>
      <c r="C11" s="50">
        <v>245102970.57551768</v>
      </c>
      <c r="D11" s="51">
        <v>3683300923.8602734</v>
      </c>
      <c r="E11" s="52">
        <f>D11*0.0012</f>
        <v>4419961.108632328</v>
      </c>
      <c r="F11" s="53">
        <f t="shared" si="1"/>
        <v>249522931.68415001</v>
      </c>
      <c r="H11" s="32"/>
      <c r="I11" s="43" t="s">
        <v>68</v>
      </c>
      <c r="J11" s="44">
        <f>J9-F3</f>
        <v>1.1489421540824635E-2</v>
      </c>
      <c r="K11" s="33"/>
      <c r="L11" s="33"/>
      <c r="M11" s="33"/>
      <c r="N11" s="34"/>
    </row>
    <row r="12" spans="2:14" x14ac:dyDescent="0.25">
      <c r="B12" s="43" t="s">
        <v>69</v>
      </c>
      <c r="C12" s="50">
        <v>215769113.9882344</v>
      </c>
      <c r="D12" s="51">
        <v>3778918417.2382569</v>
      </c>
      <c r="E12" s="52">
        <f>D12*0.0012</f>
        <v>4534702.1006859075</v>
      </c>
      <c r="F12" s="53">
        <f t="shared" si="1"/>
        <v>220303816.0889203</v>
      </c>
      <c r="H12" s="32"/>
      <c r="I12" s="43" t="s">
        <v>70</v>
      </c>
      <c r="J12" s="44">
        <f>L30</f>
        <v>3.0565756492609794E-3</v>
      </c>
      <c r="K12" s="33"/>
      <c r="L12" s="33"/>
      <c r="M12" s="33"/>
      <c r="N12" s="34"/>
    </row>
    <row r="13" spans="2:14" ht="15.75" thickBot="1" x14ac:dyDescent="0.3">
      <c r="B13" s="43" t="s">
        <v>71</v>
      </c>
      <c r="C13" s="50">
        <v>38160833.115842789</v>
      </c>
      <c r="D13" s="51">
        <v>140442436</v>
      </c>
      <c r="E13" s="52">
        <f>D13*0.00124</f>
        <v>174148.62064000001</v>
      </c>
      <c r="F13" s="53">
        <f t="shared" si="1"/>
        <v>38334981.736482792</v>
      </c>
      <c r="H13" s="32"/>
      <c r="I13" s="55" t="s">
        <v>72</v>
      </c>
      <c r="J13" s="56">
        <f>M30</f>
        <v>1.7000000000000001E-4</v>
      </c>
      <c r="K13" s="33"/>
      <c r="L13" s="33"/>
      <c r="M13" s="33"/>
      <c r="N13" s="34"/>
    </row>
    <row r="14" spans="2:14" ht="15.75" thickBot="1" x14ac:dyDescent="0.3">
      <c r="B14" s="43" t="s">
        <v>73</v>
      </c>
      <c r="C14" s="50">
        <v>3935407.4222543421</v>
      </c>
      <c r="D14" s="51">
        <v>76147883</v>
      </c>
      <c r="E14" s="52">
        <f t="shared" si="0"/>
        <v>94423.374920000002</v>
      </c>
      <c r="F14" s="53">
        <f t="shared" si="1"/>
        <v>4029830.797174342</v>
      </c>
      <c r="H14" s="32"/>
      <c r="I14" s="33"/>
      <c r="J14" s="33"/>
      <c r="K14" s="33"/>
      <c r="L14" s="33"/>
      <c r="M14" s="33"/>
      <c r="N14" s="34"/>
    </row>
    <row r="15" spans="2:14" x14ac:dyDescent="0.25">
      <c r="B15" s="43" t="s">
        <v>74</v>
      </c>
      <c r="C15" s="50">
        <v>79827.129125472435</v>
      </c>
      <c r="D15" s="51">
        <v>680679</v>
      </c>
      <c r="E15" s="52">
        <v>0</v>
      </c>
      <c r="F15" s="53">
        <f t="shared" si="1"/>
        <v>79827.129125472435</v>
      </c>
      <c r="H15" s="32"/>
      <c r="I15" s="348" t="s">
        <v>75</v>
      </c>
      <c r="J15" s="349"/>
      <c r="K15" s="33"/>
      <c r="L15" s="33"/>
      <c r="M15" s="33"/>
      <c r="N15" s="34"/>
    </row>
    <row r="16" spans="2:14" x14ac:dyDescent="0.25">
      <c r="B16" s="43" t="s">
        <v>76</v>
      </c>
      <c r="C16" s="50">
        <f>SUM(C8:C15)</f>
        <v>2738083581.1177878</v>
      </c>
      <c r="D16" s="51">
        <f>SUM(D8:D15)</f>
        <v>31837327947.419518</v>
      </c>
      <c r="E16" s="52">
        <f>SUM(E8:E15)</f>
        <v>39178953.839196265</v>
      </c>
      <c r="F16" s="53">
        <f>SUM(F8:F15)</f>
        <v>2777262534.9569836</v>
      </c>
      <c r="H16" s="32"/>
      <c r="I16" s="43" t="s">
        <v>77</v>
      </c>
      <c r="J16" s="57">
        <f>J11-J10-J12</f>
        <v>1.317725955540471E-2</v>
      </c>
      <c r="K16" s="33"/>
      <c r="L16" s="33"/>
      <c r="M16" s="33"/>
      <c r="N16" s="34"/>
    </row>
    <row r="17" spans="2:14" ht="15.75" thickBot="1" x14ac:dyDescent="0.3">
      <c r="B17" s="58"/>
      <c r="C17" s="59" t="s">
        <v>53</v>
      </c>
      <c r="D17" s="60">
        <f>C16/D16</f>
        <v>8.6002304767530444E-2</v>
      </c>
      <c r="E17" s="61" t="s">
        <v>51</v>
      </c>
      <c r="F17" s="62">
        <f>F16/D16</f>
        <v>8.7232902822238459E-2</v>
      </c>
      <c r="H17" s="32"/>
      <c r="I17" s="55" t="s">
        <v>78</v>
      </c>
      <c r="J17" s="63">
        <f>J11-J10-J13</f>
        <v>1.6063835204665689E-2</v>
      </c>
      <c r="K17" s="33"/>
      <c r="L17" s="33"/>
      <c r="M17" s="33"/>
      <c r="N17" s="34"/>
    </row>
    <row r="18" spans="2:14" ht="15.75" thickBot="1" x14ac:dyDescent="0.3">
      <c r="B18" s="32"/>
      <c r="C18" s="33"/>
      <c r="D18" s="33"/>
      <c r="E18" s="33"/>
      <c r="F18" s="34"/>
      <c r="H18" s="32"/>
      <c r="I18" s="33"/>
      <c r="J18" s="33"/>
      <c r="K18" s="33"/>
      <c r="L18" s="33"/>
      <c r="M18" s="33"/>
      <c r="N18" s="34"/>
    </row>
    <row r="19" spans="2:14" ht="15.75" x14ac:dyDescent="0.25">
      <c r="B19" s="333" t="s">
        <v>79</v>
      </c>
      <c r="C19" s="334"/>
      <c r="D19" s="334"/>
      <c r="E19" s="334"/>
      <c r="F19" s="335"/>
      <c r="H19" s="336" t="s">
        <v>80</v>
      </c>
      <c r="I19" s="337"/>
      <c r="J19" s="337"/>
      <c r="K19" s="337"/>
      <c r="L19" s="337"/>
      <c r="M19" s="337"/>
      <c r="N19" s="338"/>
    </row>
    <row r="20" spans="2:14" ht="45" x14ac:dyDescent="0.25">
      <c r="B20" s="43"/>
      <c r="C20" s="47" t="s">
        <v>81</v>
      </c>
      <c r="D20" s="47" t="s">
        <v>57</v>
      </c>
      <c r="E20" s="47" t="s">
        <v>59</v>
      </c>
      <c r="F20" s="48" t="s">
        <v>60</v>
      </c>
      <c r="H20" s="64" t="s">
        <v>82</v>
      </c>
      <c r="I20" s="65" t="s">
        <v>83</v>
      </c>
      <c r="J20" s="47" t="s">
        <v>84</v>
      </c>
      <c r="K20" s="47" t="s">
        <v>72</v>
      </c>
      <c r="L20" s="47" t="s">
        <v>85</v>
      </c>
      <c r="M20" s="47" t="s">
        <v>86</v>
      </c>
      <c r="N20" s="48" t="s">
        <v>87</v>
      </c>
    </row>
    <row r="21" spans="2:14" x14ac:dyDescent="0.25">
      <c r="B21" s="43" t="s">
        <v>61</v>
      </c>
      <c r="C21" s="50">
        <v>-79595105</v>
      </c>
      <c r="D21" s="50">
        <f t="shared" ref="D21:D28" si="2">C8+C21</f>
        <v>1229387830.1561263</v>
      </c>
      <c r="E21" s="50">
        <f>D8*0.00231</f>
        <v>29595825.900007222</v>
      </c>
      <c r="F21" s="66">
        <f t="shared" ref="F21:F28" si="3">C8+C21+E21</f>
        <v>1258983656.0561335</v>
      </c>
      <c r="H21" s="67">
        <v>13101518505</v>
      </c>
      <c r="I21" s="68">
        <v>1249883470</v>
      </c>
      <c r="J21" s="139">
        <v>3.0799999999999998E-3</v>
      </c>
      <c r="K21" s="140">
        <v>1.7000000000000001E-4</v>
      </c>
      <c r="L21" s="50">
        <f>J21*H21</f>
        <v>40352676.995399997</v>
      </c>
      <c r="M21" s="50">
        <f>K21*H21</f>
        <v>2227258.14585</v>
      </c>
      <c r="N21" s="66">
        <f>L21+I21+M21</f>
        <v>1292463405.1412499</v>
      </c>
    </row>
    <row r="22" spans="2:14" x14ac:dyDescent="0.25">
      <c r="B22" s="43" t="s">
        <v>63</v>
      </c>
      <c r="C22" s="50">
        <v>-19272860</v>
      </c>
      <c r="D22" s="50">
        <f t="shared" si="2"/>
        <v>297241200.7287904</v>
      </c>
      <c r="E22" s="50">
        <f>D9*0.00231</f>
        <v>7656923.990761349</v>
      </c>
      <c r="F22" s="66">
        <f t="shared" si="3"/>
        <v>304898124.71955174</v>
      </c>
      <c r="H22" s="67">
        <v>3259430118</v>
      </c>
      <c r="I22" s="68">
        <v>291144983</v>
      </c>
      <c r="J22" s="139">
        <v>3.0799999999999998E-3</v>
      </c>
      <c r="K22" s="140">
        <v>1.7000000000000001E-4</v>
      </c>
      <c r="L22" s="50">
        <f t="shared" ref="L22:L28" si="4">J22*H22</f>
        <v>10039044.76344</v>
      </c>
      <c r="M22" s="50">
        <f t="shared" ref="M22:M28" si="5">K22*H22</f>
        <v>554103.12005999999</v>
      </c>
      <c r="N22" s="66">
        <f t="shared" ref="N22:N28" si="6">L22+I22+M22</f>
        <v>301738130.88350004</v>
      </c>
    </row>
    <row r="23" spans="2:14" x14ac:dyDescent="0.25">
      <c r="B23" s="43" t="s">
        <v>65</v>
      </c>
      <c r="C23" s="50">
        <v>-37046737</v>
      </c>
      <c r="D23" s="50">
        <f t="shared" si="2"/>
        <v>572491696.00189579</v>
      </c>
      <c r="E23" s="50">
        <f>D10*0.00231</f>
        <v>18551854.984452907</v>
      </c>
      <c r="F23" s="66">
        <f t="shared" si="3"/>
        <v>591043550.98634875</v>
      </c>
      <c r="H23" s="67">
        <v>7746123044</v>
      </c>
      <c r="I23" s="68">
        <v>546415805</v>
      </c>
      <c r="J23" s="139">
        <v>3.0799999999999998E-3</v>
      </c>
      <c r="K23" s="140">
        <v>1.7000000000000001E-4</v>
      </c>
      <c r="L23" s="50">
        <f t="shared" si="4"/>
        <v>23858058.97552</v>
      </c>
      <c r="M23" s="50">
        <f t="shared" si="5"/>
        <v>1316840.9174800001</v>
      </c>
      <c r="N23" s="66">
        <f t="shared" si="6"/>
        <v>571590704.89300001</v>
      </c>
    </row>
    <row r="24" spans="2:14" x14ac:dyDescent="0.25">
      <c r="B24" s="43" t="s">
        <v>67</v>
      </c>
      <c r="C24" s="50">
        <v>-14895970</v>
      </c>
      <c r="D24" s="50">
        <f t="shared" si="2"/>
        <v>230207000.57551768</v>
      </c>
      <c r="E24" s="50">
        <f>D11*0.00225</f>
        <v>8287427.0786856143</v>
      </c>
      <c r="F24" s="66">
        <f t="shared" si="3"/>
        <v>238494427.6542033</v>
      </c>
      <c r="H24" s="67">
        <v>3693904815</v>
      </c>
      <c r="I24" s="68">
        <v>225537212</v>
      </c>
      <c r="J24" s="139">
        <v>2.98E-3</v>
      </c>
      <c r="K24" s="140">
        <v>1.7000000000000001E-4</v>
      </c>
      <c r="L24" s="50">
        <f t="shared" si="4"/>
        <v>11007836.3487</v>
      </c>
      <c r="M24" s="50">
        <f t="shared" si="5"/>
        <v>627963.81855000008</v>
      </c>
      <c r="N24" s="66">
        <f t="shared" si="6"/>
        <v>237173012.16724998</v>
      </c>
    </row>
    <row r="25" spans="2:14" x14ac:dyDescent="0.25">
      <c r="B25" s="43" t="s">
        <v>69</v>
      </c>
      <c r="C25" s="50">
        <v>-13141909</v>
      </c>
      <c r="D25" s="50">
        <f t="shared" si="2"/>
        <v>202627204.9882344</v>
      </c>
      <c r="E25" s="50">
        <f>D12*0.00225</f>
        <v>8502566.4387860782</v>
      </c>
      <c r="F25" s="66">
        <f t="shared" si="3"/>
        <v>211129771.42702049</v>
      </c>
      <c r="H25" s="67">
        <v>3733950179</v>
      </c>
      <c r="I25" s="68">
        <v>197548178</v>
      </c>
      <c r="J25" s="139">
        <v>2.98E-3</v>
      </c>
      <c r="K25" s="140">
        <v>1.7000000000000001E-4</v>
      </c>
      <c r="L25" s="50">
        <f t="shared" si="4"/>
        <v>11127171.53342</v>
      </c>
      <c r="M25" s="50">
        <f t="shared" si="5"/>
        <v>634771.53043000004</v>
      </c>
      <c r="N25" s="66">
        <f t="shared" si="6"/>
        <v>209310121.06384999</v>
      </c>
    </row>
    <row r="26" spans="2:14" x14ac:dyDescent="0.25">
      <c r="B26" s="43" t="s">
        <v>71</v>
      </c>
      <c r="C26" s="50">
        <v>-2327399</v>
      </c>
      <c r="D26" s="50">
        <f t="shared" si="2"/>
        <v>35833434.115842789</v>
      </c>
      <c r="E26" s="50">
        <f>D13*0.00231</f>
        <v>324422.02716</v>
      </c>
      <c r="F26" s="66">
        <f t="shared" si="3"/>
        <v>36157856.143002786</v>
      </c>
      <c r="H26" s="67">
        <v>112118692</v>
      </c>
      <c r="I26" s="68">
        <v>35839735</v>
      </c>
      <c r="J26" s="139">
        <v>3.0799999999999998E-3</v>
      </c>
      <c r="K26" s="140">
        <v>1.7000000000000001E-4</v>
      </c>
      <c r="L26" s="50">
        <f t="shared" si="4"/>
        <v>345325.57136</v>
      </c>
      <c r="M26" s="50">
        <f t="shared" si="5"/>
        <v>19060.177640000002</v>
      </c>
      <c r="N26" s="66">
        <f t="shared" si="6"/>
        <v>36204120.748999998</v>
      </c>
    </row>
    <row r="27" spans="2:14" x14ac:dyDescent="0.25">
      <c r="B27" s="43" t="s">
        <v>73</v>
      </c>
      <c r="C27" s="50">
        <v>-240063</v>
      </c>
      <c r="D27" s="50">
        <f t="shared" si="2"/>
        <v>3695344.4222543421</v>
      </c>
      <c r="E27" s="50">
        <f>D14*0.00231</f>
        <v>175901.60973</v>
      </c>
      <c r="F27" s="66">
        <f t="shared" si="3"/>
        <v>3871246.0319843423</v>
      </c>
      <c r="H27" s="67">
        <v>62149906.5</v>
      </c>
      <c r="I27" s="68">
        <v>3224070</v>
      </c>
      <c r="J27" s="139">
        <v>3.0799999999999998E-3</v>
      </c>
      <c r="K27" s="140">
        <v>1.7000000000000001E-4</v>
      </c>
      <c r="L27" s="50">
        <f t="shared" si="4"/>
        <v>191421.71201999998</v>
      </c>
      <c r="M27" s="50">
        <f t="shared" si="5"/>
        <v>10565.484105000001</v>
      </c>
      <c r="N27" s="66">
        <f t="shared" si="6"/>
        <v>3426057.1961249998</v>
      </c>
    </row>
    <row r="28" spans="2:14" x14ac:dyDescent="0.25">
      <c r="B28" s="43" t="s">
        <v>74</v>
      </c>
      <c r="C28" s="50">
        <v>-4868</v>
      </c>
      <c r="D28" s="50">
        <f t="shared" si="2"/>
        <v>74959.129125472435</v>
      </c>
      <c r="E28" s="50">
        <v>0</v>
      </c>
      <c r="F28" s="66">
        <f t="shared" si="3"/>
        <v>74959.129125472435</v>
      </c>
      <c r="H28" s="67">
        <v>776456.5</v>
      </c>
      <c r="I28" s="68">
        <v>74966</v>
      </c>
      <c r="J28" s="139">
        <v>3.0799999999999998E-3</v>
      </c>
      <c r="K28" s="140">
        <v>1.7000000000000001E-4</v>
      </c>
      <c r="L28" s="50">
        <f t="shared" si="4"/>
        <v>2391.4860199999998</v>
      </c>
      <c r="M28" s="50">
        <f t="shared" si="5"/>
        <v>131.99760500000002</v>
      </c>
      <c r="N28" s="66">
        <f t="shared" si="6"/>
        <v>77489.483624999993</v>
      </c>
    </row>
    <row r="29" spans="2:14" x14ac:dyDescent="0.25">
      <c r="B29" s="43" t="s">
        <v>76</v>
      </c>
      <c r="C29" s="50">
        <f>SUM(C21:C28)</f>
        <v>-166524911</v>
      </c>
      <c r="D29" s="50">
        <f>SUM(D21:D28)</f>
        <v>2571558670.1177878</v>
      </c>
      <c r="E29" s="50">
        <f>SUM(E21:E28)</f>
        <v>73094922.029583171</v>
      </c>
      <c r="F29" s="66">
        <f>SUM(F21:F28)</f>
        <v>2644653592.1473708</v>
      </c>
      <c r="H29" s="69">
        <f>SUM(H21:H28)</f>
        <v>31709971716</v>
      </c>
      <c r="I29" s="51">
        <f>SUM(I21:I28)</f>
        <v>2549668419</v>
      </c>
      <c r="J29" s="47"/>
      <c r="K29" s="47"/>
      <c r="L29" s="50">
        <f>SUM(L21:L28)</f>
        <v>96923927.385879993</v>
      </c>
      <c r="M29" s="50">
        <f>SUM(M21:M28)</f>
        <v>5390695.1917200005</v>
      </c>
      <c r="N29" s="66">
        <f>SUM(N21:N28)</f>
        <v>2651983041.5776</v>
      </c>
    </row>
    <row r="30" spans="2:14" ht="15.75" thickBot="1" x14ac:dyDescent="0.3">
      <c r="B30" s="58"/>
      <c r="C30" s="59" t="s">
        <v>53</v>
      </c>
      <c r="D30" s="60">
        <f>D29/D16</f>
        <v>8.0771812080612057E-2</v>
      </c>
      <c r="E30" s="61" t="s">
        <v>51</v>
      </c>
      <c r="F30" s="70">
        <f>F29/D16</f>
        <v>8.3067699541717527E-2</v>
      </c>
      <c r="H30" s="71" t="s">
        <v>88</v>
      </c>
      <c r="I30" s="60">
        <f>I29/$H$29</f>
        <v>8.0405887518136945E-2</v>
      </c>
      <c r="J30" s="72"/>
      <c r="K30" s="73" t="s">
        <v>88</v>
      </c>
      <c r="L30" s="74">
        <f>L29/$H$29</f>
        <v>3.0565756492609794E-3</v>
      </c>
      <c r="M30" s="60">
        <f>M29/$H$29</f>
        <v>1.7000000000000001E-4</v>
      </c>
      <c r="N30" s="75">
        <f>N29/$H$29</f>
        <v>8.3632463167397919E-2</v>
      </c>
    </row>
  </sheetData>
  <mergeCells count="8">
    <mergeCell ref="B19:F19"/>
    <mergeCell ref="H19:N19"/>
    <mergeCell ref="B2:F2"/>
    <mergeCell ref="H2:N2"/>
    <mergeCell ref="D3:E3"/>
    <mergeCell ref="D4:E4"/>
    <mergeCell ref="B6:F6"/>
    <mergeCell ref="I15:J15"/>
  </mergeCells>
  <pageMargins left="0.7" right="0.7" top="0.75" bottom="0.75" header="0.3" footer="0.3"/>
  <pageSetup scale="75" fitToHeight="2" orientation="landscape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Q52"/>
  <sheetViews>
    <sheetView workbookViewId="0">
      <selection activeCell="G7" sqref="G7"/>
    </sheetView>
  </sheetViews>
  <sheetFormatPr defaultRowHeight="15" x14ac:dyDescent="0.25"/>
  <cols>
    <col min="1" max="1" width="14.5703125" bestFit="1" customWidth="1"/>
    <col min="2" max="2" width="15.5703125" style="87" hidden="1" customWidth="1"/>
    <col min="3" max="3" width="15.42578125" style="88" hidden="1" customWidth="1"/>
    <col min="4" max="4" width="15.42578125" hidden="1" customWidth="1"/>
    <col min="5" max="5" width="15.5703125" style="87" bestFit="1" customWidth="1"/>
    <col min="6" max="6" width="4.85546875" style="88" bestFit="1" customWidth="1"/>
    <col min="7" max="7" width="15.42578125" bestFit="1" customWidth="1"/>
    <col min="8" max="8" width="15.42578125" style="87" hidden="1" customWidth="1"/>
    <col min="9" max="9" width="10.28515625" style="88" hidden="1" customWidth="1"/>
    <col min="10" max="10" width="13.42578125" hidden="1" customWidth="1"/>
    <col min="11" max="11" width="14.42578125" style="87" hidden="1" customWidth="1"/>
    <col min="12" max="12" width="10.28515625" style="88" hidden="1" customWidth="1"/>
    <col min="13" max="13" width="11.7109375" hidden="1" customWidth="1"/>
    <col min="14" max="14" width="14.42578125" style="87" hidden="1" customWidth="1"/>
    <col min="15" max="15" width="10.28515625" style="88" hidden="1" customWidth="1"/>
    <col min="16" max="16" width="11.7109375" hidden="1" customWidth="1"/>
    <col min="17" max="17" width="15.42578125" style="87" hidden="1" customWidth="1"/>
    <col min="18" max="18" width="10.28515625" style="88" hidden="1" customWidth="1"/>
    <col min="19" max="19" width="11.7109375" hidden="1" customWidth="1"/>
    <col min="20" max="20" width="15.42578125" style="87" hidden="1" customWidth="1"/>
    <col min="21" max="21" width="10.28515625" style="88" hidden="1" customWidth="1"/>
    <col min="22" max="22" width="11.7109375" hidden="1" customWidth="1"/>
    <col min="23" max="23" width="15.42578125" style="87" hidden="1" customWidth="1"/>
    <col min="24" max="24" width="10.28515625" style="88" hidden="1" customWidth="1"/>
    <col min="25" max="25" width="11.7109375" hidden="1" customWidth="1"/>
    <col min="26" max="26" width="15.42578125" style="87" hidden="1" customWidth="1"/>
    <col min="27" max="27" width="10.28515625" style="88" hidden="1" customWidth="1"/>
    <col min="28" max="28" width="11.7109375" hidden="1" customWidth="1"/>
    <col min="29" max="29" width="15.42578125" style="87" hidden="1" customWidth="1"/>
    <col min="30" max="30" width="10.28515625" style="88" hidden="1" customWidth="1"/>
    <col min="31" max="31" width="11.7109375" hidden="1" customWidth="1"/>
    <col min="32" max="32" width="14.42578125" style="87" hidden="1" customWidth="1"/>
    <col min="33" max="33" width="10.28515625" style="88" hidden="1" customWidth="1"/>
    <col min="34" max="34" width="10.7109375" hidden="1" customWidth="1"/>
    <col min="35" max="35" width="14.42578125" style="87" customWidth="1"/>
    <col min="36" max="36" width="10.28515625" style="88" customWidth="1"/>
    <col min="37" max="37" width="11.7109375" bestFit="1" customWidth="1"/>
    <col min="38" max="38" width="14.42578125" style="87" customWidth="1"/>
    <col min="39" max="39" width="10.28515625" style="88" customWidth="1"/>
    <col min="40" max="40" width="10.7109375" customWidth="1"/>
    <col min="41" max="41" width="15.42578125" style="87" bestFit="1" customWidth="1"/>
    <col min="42" max="42" width="12.28515625" style="88" bestFit="1" customWidth="1"/>
    <col min="43" max="43" width="11.7109375" bestFit="1" customWidth="1"/>
    <col min="44" max="44" width="15.42578125" style="87" bestFit="1" customWidth="1"/>
    <col min="45" max="45" width="10.28515625" style="88" bestFit="1" customWidth="1"/>
    <col min="46" max="46" width="11.7109375" bestFit="1" customWidth="1"/>
    <col min="47" max="47" width="14.42578125" style="87" hidden="1" customWidth="1"/>
    <col min="48" max="48" width="10.28515625" style="88" hidden="1" customWidth="1"/>
    <col min="49" max="49" width="10.7109375" hidden="1" customWidth="1"/>
    <col min="50" max="50" width="14.42578125" style="87" hidden="1" customWidth="1"/>
    <col min="51" max="51" width="10.28515625" style="88" hidden="1" customWidth="1"/>
    <col min="52" max="52" width="10.7109375" hidden="1" customWidth="1"/>
    <col min="53" max="53" width="14.42578125" style="87" hidden="1" customWidth="1"/>
    <col min="54" max="54" width="10.28515625" style="88" hidden="1" customWidth="1"/>
    <col min="55" max="55" width="10.7109375" hidden="1" customWidth="1"/>
    <col min="56" max="56" width="14.42578125" style="87" hidden="1" customWidth="1"/>
    <col min="57" max="57" width="10.28515625" style="88" hidden="1" customWidth="1"/>
    <col min="58" max="58" width="10.7109375" hidden="1" customWidth="1"/>
    <col min="59" max="59" width="14.42578125" style="87" hidden="1" customWidth="1"/>
    <col min="60" max="60" width="10.28515625" style="88" hidden="1" customWidth="1"/>
    <col min="61" max="61" width="10.7109375" hidden="1" customWidth="1"/>
    <col min="62" max="62" width="14.42578125" style="87" hidden="1" customWidth="1"/>
    <col min="63" max="63" width="10.28515625" style="88" hidden="1" customWidth="1"/>
    <col min="64" max="64" width="10.7109375" hidden="1" customWidth="1"/>
    <col min="65" max="65" width="14.42578125" style="87" hidden="1" customWidth="1"/>
    <col min="66" max="66" width="10.28515625" style="88" hidden="1" customWidth="1"/>
    <col min="67" max="67" width="10.7109375" hidden="1" customWidth="1"/>
    <col min="68" max="68" width="14.42578125" style="87" hidden="1" customWidth="1"/>
    <col min="69" max="69" width="10.28515625" style="88" hidden="1" customWidth="1"/>
    <col min="70" max="70" width="10.7109375" hidden="1" customWidth="1"/>
    <col min="71" max="71" width="14.42578125" style="87" hidden="1" customWidth="1"/>
    <col min="72" max="72" width="10.28515625" style="88" hidden="1" customWidth="1"/>
    <col min="73" max="73" width="10.7109375" hidden="1" customWidth="1"/>
    <col min="74" max="74" width="14.42578125" style="87" hidden="1" customWidth="1"/>
    <col min="75" max="75" width="10.28515625" style="88" hidden="1" customWidth="1"/>
    <col min="76" max="76" width="10.7109375" hidden="1" customWidth="1"/>
    <col min="77" max="77" width="14.42578125" style="87" hidden="1" customWidth="1"/>
    <col min="78" max="78" width="10.28515625" style="88" hidden="1" customWidth="1"/>
    <col min="79" max="79" width="10.7109375" hidden="1" customWidth="1"/>
    <col min="80" max="80" width="14.42578125" style="87" hidden="1" customWidth="1"/>
    <col min="81" max="81" width="10.28515625" style="88" hidden="1" customWidth="1"/>
    <col min="82" max="82" width="10.7109375" hidden="1" customWidth="1"/>
    <col min="83" max="83" width="14.42578125" style="87" hidden="1" customWidth="1"/>
    <col min="84" max="84" width="10.28515625" style="88" hidden="1" customWidth="1"/>
    <col min="85" max="85" width="10.7109375" hidden="1" customWidth="1"/>
    <col min="86" max="86" width="14.42578125" style="87" hidden="1" customWidth="1"/>
    <col min="87" max="87" width="10.28515625" style="88" hidden="1" customWidth="1"/>
    <col min="88" max="88" width="10.7109375" hidden="1" customWidth="1"/>
    <col min="89" max="89" width="14.42578125" style="87" hidden="1" customWidth="1"/>
    <col min="90" max="90" width="10.28515625" style="88" hidden="1" customWidth="1"/>
    <col min="91" max="91" width="10.7109375" hidden="1" customWidth="1"/>
    <col min="92" max="92" width="14.42578125" style="87" hidden="1" customWidth="1"/>
    <col min="93" max="93" width="10.28515625" style="88" hidden="1" customWidth="1"/>
    <col min="94" max="94" width="10.7109375" hidden="1" customWidth="1"/>
    <col min="95" max="95" width="14.42578125" style="87" hidden="1" customWidth="1"/>
    <col min="96" max="96" width="10.28515625" style="88" hidden="1" customWidth="1"/>
    <col min="97" max="97" width="10.7109375" hidden="1" customWidth="1"/>
    <col min="98" max="98" width="14.42578125" style="87" hidden="1" customWidth="1"/>
    <col min="99" max="99" width="10.28515625" style="88" hidden="1" customWidth="1"/>
    <col min="100" max="100" width="10.7109375" hidden="1" customWidth="1"/>
    <col min="101" max="101" width="14.42578125" style="87" hidden="1" customWidth="1"/>
    <col min="102" max="102" width="10.28515625" style="88" hidden="1" customWidth="1"/>
    <col min="103" max="103" width="10.7109375" hidden="1" customWidth="1"/>
    <col min="104" max="104" width="14.42578125" style="87" hidden="1" customWidth="1"/>
    <col min="105" max="105" width="10.28515625" style="88" hidden="1" customWidth="1"/>
    <col min="106" max="106" width="10.7109375" hidden="1" customWidth="1"/>
    <col min="107" max="107" width="14.42578125" style="87" hidden="1" customWidth="1"/>
    <col min="108" max="108" width="10.28515625" style="88" hidden="1" customWidth="1"/>
    <col min="109" max="109" width="10.7109375" hidden="1" customWidth="1"/>
    <col min="110" max="110" width="14.42578125" style="87" hidden="1" customWidth="1"/>
    <col min="111" max="111" width="10.28515625" style="88" hidden="1" customWidth="1"/>
    <col min="112" max="112" width="10.7109375" hidden="1" customWidth="1"/>
    <col min="113" max="113" width="14.42578125" style="87" hidden="1" customWidth="1"/>
    <col min="114" max="114" width="10.28515625" style="88" hidden="1" customWidth="1"/>
    <col min="115" max="115" width="10.7109375" hidden="1" customWidth="1"/>
    <col min="116" max="116" width="14.42578125" style="87" hidden="1" customWidth="1"/>
    <col min="117" max="117" width="10.28515625" style="88" hidden="1" customWidth="1"/>
    <col min="118" max="118" width="10.7109375" hidden="1" customWidth="1"/>
    <col min="119" max="119" width="14.42578125" style="87" hidden="1" customWidth="1"/>
    <col min="120" max="120" width="10.28515625" style="88" hidden="1" customWidth="1"/>
    <col min="121" max="121" width="10.7109375" hidden="1" customWidth="1"/>
    <col min="122" max="122" width="14.42578125" style="87" hidden="1" customWidth="1"/>
    <col min="123" max="123" width="10.28515625" style="88" hidden="1" customWidth="1"/>
    <col min="124" max="124" width="10.7109375" hidden="1" customWidth="1"/>
    <col min="125" max="125" width="14.42578125" style="87" hidden="1" customWidth="1"/>
    <col min="126" max="126" width="10.28515625" style="88" hidden="1" customWidth="1"/>
    <col min="127" max="127" width="10.7109375" hidden="1" customWidth="1"/>
    <col min="128" max="128" width="14.42578125" style="87" hidden="1" customWidth="1"/>
    <col min="129" max="129" width="10.28515625" style="88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80" customFormat="1" ht="15.75" x14ac:dyDescent="0.25">
      <c r="A1" s="77" t="s">
        <v>0</v>
      </c>
      <c r="B1" s="78"/>
      <c r="C1" s="79"/>
      <c r="E1" s="78"/>
      <c r="F1" s="79"/>
      <c r="H1" s="78"/>
      <c r="I1" s="79"/>
      <c r="K1" s="78"/>
      <c r="L1" s="79"/>
      <c r="N1" s="78"/>
      <c r="O1" s="79"/>
      <c r="Q1" s="78"/>
      <c r="R1" s="79"/>
      <c r="T1" s="78"/>
      <c r="U1" s="79"/>
      <c r="W1" s="78"/>
      <c r="X1" s="79"/>
      <c r="Z1" s="78"/>
      <c r="AA1" s="79"/>
      <c r="AC1" s="78"/>
      <c r="AD1" s="79"/>
      <c r="AF1" s="78"/>
      <c r="AG1" s="79"/>
      <c r="AI1" s="78"/>
      <c r="AJ1" s="79"/>
      <c r="AL1" s="78"/>
      <c r="AM1" s="79"/>
      <c r="AO1" s="78"/>
      <c r="AP1" s="79"/>
      <c r="AR1" s="78"/>
      <c r="AS1" s="79"/>
      <c r="AU1" s="78"/>
      <c r="AV1" s="79"/>
      <c r="AX1" s="78"/>
      <c r="AY1" s="79"/>
      <c r="BA1" s="78"/>
      <c r="BB1" s="79"/>
      <c r="BD1" s="78"/>
      <c r="BE1" s="79"/>
      <c r="BG1" s="78"/>
      <c r="BH1" s="79"/>
      <c r="BJ1" s="78"/>
      <c r="BK1" s="79"/>
      <c r="BM1" s="78"/>
      <c r="BN1" s="79"/>
      <c r="BP1" s="78"/>
      <c r="BQ1" s="79"/>
      <c r="BS1" s="78"/>
      <c r="BT1" s="79"/>
      <c r="BV1" s="78"/>
      <c r="BW1" s="79"/>
      <c r="BY1" s="78"/>
      <c r="BZ1" s="79"/>
      <c r="CB1" s="78"/>
      <c r="CC1" s="79"/>
      <c r="CE1" s="78"/>
      <c r="CF1" s="79"/>
      <c r="CH1" s="78"/>
      <c r="CI1" s="79"/>
      <c r="CK1" s="78"/>
      <c r="CL1" s="79"/>
      <c r="CN1" s="78"/>
      <c r="CO1" s="79"/>
      <c r="CQ1" s="78"/>
      <c r="CR1" s="79"/>
      <c r="CT1" s="78"/>
      <c r="CU1" s="79"/>
      <c r="CW1" s="78"/>
      <c r="CX1" s="79"/>
      <c r="CZ1" s="78"/>
      <c r="DA1" s="79"/>
      <c r="DC1" s="78"/>
      <c r="DD1" s="79"/>
      <c r="DF1" s="78"/>
      <c r="DG1" s="79"/>
      <c r="DI1" s="78"/>
      <c r="DJ1" s="79"/>
      <c r="DL1" s="78"/>
      <c r="DM1" s="79"/>
      <c r="DO1" s="78"/>
      <c r="DP1" s="79"/>
      <c r="DR1" s="78"/>
      <c r="DS1" s="79"/>
      <c r="DU1" s="78"/>
      <c r="DV1" s="79"/>
      <c r="DX1" s="78"/>
      <c r="DY1" s="79"/>
      <c r="DZ1" s="81"/>
      <c r="ED1" s="82"/>
      <c r="EE1" s="83" t="s">
        <v>95</v>
      </c>
      <c r="EI1" s="82" t="s">
        <v>96</v>
      </c>
      <c r="EM1" s="82"/>
      <c r="EN1" s="82" t="s">
        <v>97</v>
      </c>
      <c r="EO1" s="77" t="s">
        <v>98</v>
      </c>
      <c r="EP1" s="77" t="s">
        <v>99</v>
      </c>
      <c r="EQ1" s="77" t="s">
        <v>100</v>
      </c>
    </row>
    <row r="2" spans="1:147" s="80" customFormat="1" ht="16.5" thickBot="1" x14ac:dyDescent="0.3">
      <c r="A2" s="77" t="s">
        <v>101</v>
      </c>
      <c r="B2" s="78"/>
      <c r="C2" s="79"/>
      <c r="E2" s="84"/>
      <c r="F2" s="79"/>
      <c r="G2" s="82"/>
      <c r="H2" s="78"/>
      <c r="I2" s="79"/>
      <c r="K2" s="78"/>
      <c r="L2" s="79"/>
      <c r="N2" s="78"/>
      <c r="O2" s="79"/>
      <c r="Q2" s="78"/>
      <c r="R2" s="79"/>
      <c r="T2" s="78"/>
      <c r="U2" s="79"/>
      <c r="W2" s="78"/>
      <c r="X2" s="79"/>
      <c r="Z2" s="78"/>
      <c r="AA2" s="79"/>
      <c r="AC2" s="78"/>
      <c r="AD2" s="79"/>
      <c r="AF2" s="78"/>
      <c r="AG2" s="79"/>
      <c r="AI2" s="78"/>
      <c r="AJ2" s="79"/>
      <c r="AL2" s="78"/>
      <c r="AM2" s="79"/>
      <c r="AO2" s="78"/>
      <c r="AP2" s="79"/>
      <c r="AR2" s="78"/>
      <c r="AS2" s="79"/>
      <c r="AU2" s="78"/>
      <c r="AV2" s="79"/>
      <c r="AX2" s="78"/>
      <c r="AY2" s="79"/>
      <c r="BA2" s="78"/>
      <c r="BB2" s="79"/>
      <c r="BD2" s="78"/>
      <c r="BE2" s="79"/>
      <c r="BG2" s="78"/>
      <c r="BH2" s="79"/>
      <c r="BJ2" s="78"/>
      <c r="BK2" s="79"/>
      <c r="BM2" s="78"/>
      <c r="BN2" s="79"/>
      <c r="BP2" s="78"/>
      <c r="BQ2" s="79"/>
      <c r="BS2" s="78"/>
      <c r="BT2" s="79"/>
      <c r="BV2" s="78"/>
      <c r="BW2" s="79"/>
      <c r="BY2" s="78"/>
      <c r="BZ2" s="79"/>
      <c r="CB2" s="78"/>
      <c r="CC2" s="79"/>
      <c r="CE2" s="78"/>
      <c r="CF2" s="79"/>
      <c r="CH2" s="78"/>
      <c r="CI2" s="79"/>
      <c r="CK2" s="78"/>
      <c r="CL2" s="79"/>
      <c r="CN2" s="78"/>
      <c r="CO2" s="79"/>
      <c r="CQ2" s="78"/>
      <c r="CR2" s="79"/>
      <c r="CT2" s="78"/>
      <c r="CU2" s="79"/>
      <c r="CW2" s="78"/>
      <c r="CX2" s="79"/>
      <c r="CZ2" s="78"/>
      <c r="DA2" s="79"/>
      <c r="DC2" s="78"/>
      <c r="DD2" s="79"/>
      <c r="DF2" s="78"/>
      <c r="DG2" s="79"/>
      <c r="DI2" s="78"/>
      <c r="DJ2" s="79"/>
      <c r="DL2" s="78"/>
      <c r="DM2" s="79"/>
      <c r="DO2" s="78"/>
      <c r="DP2" s="79"/>
      <c r="DR2" s="78"/>
      <c r="DS2" s="79"/>
      <c r="DU2" s="78"/>
      <c r="DV2" s="79"/>
      <c r="DX2" s="78"/>
      <c r="DY2" s="79"/>
      <c r="EB2" s="33" t="s">
        <v>102</v>
      </c>
      <c r="EC2" s="33"/>
      <c r="ED2" s="85"/>
      <c r="EE2" s="85">
        <f>EB42</f>
        <v>197225000</v>
      </c>
      <c r="EI2" s="85">
        <f>EG41</f>
        <v>0</v>
      </c>
      <c r="EM2" s="85"/>
      <c r="EN2" s="85">
        <f>EK42</f>
        <v>197225000</v>
      </c>
      <c r="EO2" s="78">
        <v>-99472.22</v>
      </c>
      <c r="EP2" s="78">
        <f>EN2+EO2</f>
        <v>197125527.78</v>
      </c>
      <c r="EQ2" s="78">
        <f>EE2+EO2</f>
        <v>197125527.78</v>
      </c>
    </row>
    <row r="3" spans="1:147" ht="16.5" thickTop="1" x14ac:dyDescent="0.25">
      <c r="A3" s="86" t="s">
        <v>103</v>
      </c>
      <c r="E3" s="89" t="s">
        <v>104</v>
      </c>
      <c r="F3" s="90"/>
      <c r="G3" s="91"/>
      <c r="EB3" s="33" t="s">
        <v>105</v>
      </c>
      <c r="EC3" s="33"/>
      <c r="ED3" s="85"/>
      <c r="EE3" s="85">
        <f>AVERAGE(EB12:EB42)</f>
        <v>134465322.58064517</v>
      </c>
      <c r="EI3" s="85">
        <f>AVERAGE(EG12:EG41)</f>
        <v>0</v>
      </c>
      <c r="EM3" s="85"/>
      <c r="EN3" s="85">
        <f>AVERAGE(EK12:EK42)</f>
        <v>134465322.58064517</v>
      </c>
    </row>
    <row r="4" spans="1:147" ht="15.75" x14ac:dyDescent="0.25">
      <c r="A4" s="86"/>
      <c r="E4" s="92"/>
      <c r="F4" s="93"/>
      <c r="G4" s="94"/>
      <c r="EB4" s="33"/>
      <c r="EC4" s="33"/>
      <c r="ED4" s="85"/>
      <c r="EE4" s="85"/>
      <c r="EI4" s="85"/>
      <c r="EM4" s="85"/>
      <c r="EN4" s="85"/>
    </row>
    <row r="5" spans="1:147" x14ac:dyDescent="0.25">
      <c r="D5" s="33"/>
      <c r="E5" s="95" t="s">
        <v>102</v>
      </c>
      <c r="F5" s="85"/>
      <c r="G5" s="96">
        <f>EQ2</f>
        <v>197125527.78</v>
      </c>
      <c r="AI5" s="97" t="s">
        <v>106</v>
      </c>
      <c r="EB5" s="33" t="s">
        <v>107</v>
      </c>
      <c r="EC5" s="33"/>
      <c r="ED5" s="93"/>
      <c r="EE5" s="93">
        <f>IF(EE3=0,0,360*(AVERAGE(ED12:ED42)/EE3))</f>
        <v>2.8696952685966507E-2</v>
      </c>
      <c r="EI5" s="93">
        <f>IF(EI3=0,0,360*(AVERAGE(EH12:EH41)/EI3))</f>
        <v>0</v>
      </c>
      <c r="EM5" s="93"/>
      <c r="EN5" s="93">
        <f>IF(EN3=0,0,360*(AVERAGE(EM12:EM42)/EN3))</f>
        <v>2.8696952685966507E-2</v>
      </c>
      <c r="EO5" s="98" t="s">
        <v>108</v>
      </c>
      <c r="EQ5" s="99" t="s">
        <v>106</v>
      </c>
    </row>
    <row r="6" spans="1:147" ht="15.75" x14ac:dyDescent="0.25">
      <c r="D6" s="33"/>
      <c r="E6" s="95" t="s">
        <v>105</v>
      </c>
      <c r="F6" s="85"/>
      <c r="G6" s="96">
        <f>EE3</f>
        <v>134465322.58064517</v>
      </c>
      <c r="AI6" s="100" t="s">
        <v>97</v>
      </c>
      <c r="EB6" s="101" t="s">
        <v>109</v>
      </c>
      <c r="EC6" s="101"/>
      <c r="ED6" s="85"/>
      <c r="EE6" s="85">
        <f>MAX(EB12:EB42)</f>
        <v>198900000</v>
      </c>
      <c r="EI6" s="85">
        <f>MAX(EG12:EG41)</f>
        <v>0</v>
      </c>
      <c r="EM6" s="85"/>
      <c r="EN6" s="85">
        <f>MAX(EK12:EK42)</f>
        <v>198900000</v>
      </c>
    </row>
    <row r="7" spans="1:147" x14ac:dyDescent="0.25">
      <c r="D7" s="33"/>
      <c r="E7" s="95" t="s">
        <v>107</v>
      </c>
      <c r="F7" s="85"/>
      <c r="G7" s="102">
        <f>EE5</f>
        <v>2.8696952685966507E-2</v>
      </c>
    </row>
    <row r="8" spans="1:147" ht="16.5" thickBot="1" x14ac:dyDescent="0.3">
      <c r="D8" s="33"/>
      <c r="E8" s="103" t="s">
        <v>109</v>
      </c>
      <c r="F8" s="104"/>
      <c r="G8" s="105">
        <f>EE6</f>
        <v>198900000</v>
      </c>
      <c r="AI8" s="100" t="s">
        <v>97</v>
      </c>
      <c r="EB8" s="106" t="s">
        <v>110</v>
      </c>
      <c r="EC8" s="106"/>
      <c r="ED8" s="107"/>
      <c r="EE8" s="107"/>
      <c r="EG8" s="106" t="s">
        <v>111</v>
      </c>
      <c r="EH8" s="107"/>
      <c r="EI8" s="107"/>
      <c r="EJ8" s="108"/>
      <c r="EK8" s="106" t="s">
        <v>112</v>
      </c>
      <c r="EL8" s="106"/>
      <c r="EM8" s="107"/>
      <c r="EN8" s="107"/>
    </row>
    <row r="9" spans="1:147" ht="15.75" thickTop="1" x14ac:dyDescent="0.25">
      <c r="AI9" s="109" t="s">
        <v>113</v>
      </c>
      <c r="AL9" s="109" t="s">
        <v>113</v>
      </c>
      <c r="AO9" s="109" t="s">
        <v>113</v>
      </c>
      <c r="AR9" s="109" t="s">
        <v>113</v>
      </c>
      <c r="AU9" s="109" t="s">
        <v>113</v>
      </c>
      <c r="AX9" s="109" t="s">
        <v>113</v>
      </c>
      <c r="BA9" s="109" t="s">
        <v>113</v>
      </c>
      <c r="BD9" s="109" t="s">
        <v>113</v>
      </c>
      <c r="BG9" s="109" t="s">
        <v>113</v>
      </c>
      <c r="BJ9" s="109" t="s">
        <v>113</v>
      </c>
      <c r="BM9" s="109" t="s">
        <v>113</v>
      </c>
      <c r="BP9" s="109" t="s">
        <v>113</v>
      </c>
      <c r="BS9" s="109" t="s">
        <v>113</v>
      </c>
      <c r="BV9" s="109" t="s">
        <v>113</v>
      </c>
      <c r="BY9" s="109" t="s">
        <v>113</v>
      </c>
      <c r="CB9" s="109" t="s">
        <v>113</v>
      </c>
      <c r="CE9" s="109" t="s">
        <v>113</v>
      </c>
      <c r="CH9" s="109" t="s">
        <v>113</v>
      </c>
      <c r="CK9" s="109" t="s">
        <v>113</v>
      </c>
      <c r="CN9" s="109" t="s">
        <v>113</v>
      </c>
      <c r="CQ9" s="109" t="s">
        <v>113</v>
      </c>
      <c r="CT9" s="109" t="s">
        <v>113</v>
      </c>
      <c r="CW9" s="109" t="s">
        <v>113</v>
      </c>
      <c r="CZ9" s="109" t="s">
        <v>113</v>
      </c>
      <c r="DC9" s="109" t="s">
        <v>113</v>
      </c>
      <c r="DF9" s="109" t="s">
        <v>113</v>
      </c>
      <c r="DI9" s="109" t="s">
        <v>113</v>
      </c>
      <c r="DL9" s="109" t="s">
        <v>113</v>
      </c>
      <c r="DO9" s="109" t="s">
        <v>113</v>
      </c>
      <c r="DR9" s="109" t="s">
        <v>113</v>
      </c>
      <c r="EB9" s="110"/>
      <c r="EC9" s="110"/>
      <c r="ED9" s="110"/>
      <c r="EE9" s="110" t="s">
        <v>114</v>
      </c>
      <c r="EG9" s="110"/>
      <c r="EH9" s="111" t="s">
        <v>96</v>
      </c>
      <c r="EI9" s="110" t="s">
        <v>114</v>
      </c>
      <c r="EJ9" s="110"/>
      <c r="EK9" s="99" t="s">
        <v>115</v>
      </c>
      <c r="EL9" s="99" t="s">
        <v>116</v>
      </c>
      <c r="EM9" s="111" t="s">
        <v>117</v>
      </c>
      <c r="EN9" s="110" t="s">
        <v>114</v>
      </c>
    </row>
    <row r="10" spans="1:147" x14ac:dyDescent="0.25">
      <c r="B10" s="112" t="s">
        <v>118</v>
      </c>
      <c r="C10" s="113"/>
      <c r="D10" s="107"/>
      <c r="E10" s="112" t="s">
        <v>119</v>
      </c>
      <c r="F10" s="113"/>
      <c r="G10" s="107"/>
      <c r="H10" s="112" t="s">
        <v>120</v>
      </c>
      <c r="I10" s="113"/>
      <c r="J10" s="107"/>
      <c r="K10" s="112" t="s">
        <v>121</v>
      </c>
      <c r="L10" s="113"/>
      <c r="M10" s="107"/>
      <c r="N10" s="112" t="s">
        <v>122</v>
      </c>
      <c r="O10" s="113"/>
      <c r="P10" s="107"/>
      <c r="Q10" s="112" t="s">
        <v>123</v>
      </c>
      <c r="R10" s="113"/>
      <c r="S10" s="107"/>
      <c r="T10" s="112" t="s">
        <v>124</v>
      </c>
      <c r="U10" s="113"/>
      <c r="V10" s="107"/>
      <c r="W10" s="112" t="s">
        <v>125</v>
      </c>
      <c r="X10" s="113"/>
      <c r="Y10" s="107"/>
      <c r="Z10" s="112" t="s">
        <v>126</v>
      </c>
      <c r="AA10" s="113"/>
      <c r="AB10" s="107"/>
      <c r="AC10" s="114" t="s">
        <v>127</v>
      </c>
      <c r="AD10" s="113"/>
      <c r="AE10" s="107"/>
      <c r="AF10" s="114" t="s">
        <v>128</v>
      </c>
      <c r="AG10" s="113"/>
      <c r="AH10" s="107"/>
      <c r="AI10" s="112" t="s">
        <v>129</v>
      </c>
      <c r="AJ10" s="113"/>
      <c r="AK10" s="107"/>
      <c r="AL10" s="112" t="s">
        <v>130</v>
      </c>
      <c r="AM10" s="113"/>
      <c r="AN10" s="107"/>
      <c r="AO10" s="112" t="s">
        <v>131</v>
      </c>
      <c r="AP10" s="113"/>
      <c r="AQ10" s="107"/>
      <c r="AR10" s="112" t="s">
        <v>132</v>
      </c>
      <c r="AS10" s="113"/>
      <c r="AT10" s="107"/>
      <c r="AU10" s="112" t="s">
        <v>133</v>
      </c>
      <c r="AV10" s="113"/>
      <c r="AW10" s="107"/>
      <c r="AX10" s="112" t="s">
        <v>134</v>
      </c>
      <c r="AY10" s="113"/>
      <c r="AZ10" s="107"/>
      <c r="BA10" s="112" t="s">
        <v>135</v>
      </c>
      <c r="BB10" s="113"/>
      <c r="BC10" s="107"/>
      <c r="BD10" s="112" t="s">
        <v>136</v>
      </c>
      <c r="BE10" s="113"/>
      <c r="BF10" s="107"/>
      <c r="BG10" s="112" t="s">
        <v>137</v>
      </c>
      <c r="BH10" s="113"/>
      <c r="BI10" s="107"/>
      <c r="BJ10" s="112" t="s">
        <v>138</v>
      </c>
      <c r="BK10" s="113"/>
      <c r="BL10" s="107"/>
      <c r="BM10" s="112" t="s">
        <v>139</v>
      </c>
      <c r="BN10" s="113"/>
      <c r="BO10" s="107"/>
      <c r="BP10" s="112" t="s">
        <v>140</v>
      </c>
      <c r="BQ10" s="113"/>
      <c r="BR10" s="107"/>
      <c r="BS10" s="112" t="s">
        <v>141</v>
      </c>
      <c r="BT10" s="113"/>
      <c r="BU10" s="107"/>
      <c r="BV10" s="112" t="s">
        <v>142</v>
      </c>
      <c r="BW10" s="113"/>
      <c r="BX10" s="107"/>
      <c r="BY10" s="112" t="s">
        <v>143</v>
      </c>
      <c r="BZ10" s="113"/>
      <c r="CA10" s="107"/>
      <c r="CB10" s="112" t="s">
        <v>144</v>
      </c>
      <c r="CC10" s="113"/>
      <c r="CD10" s="107"/>
      <c r="CE10" s="112" t="s">
        <v>145</v>
      </c>
      <c r="CF10" s="113"/>
      <c r="CG10" s="107"/>
      <c r="CH10" s="112" t="s">
        <v>146</v>
      </c>
      <c r="CI10" s="113"/>
      <c r="CJ10" s="107"/>
      <c r="CK10" s="112" t="s">
        <v>147</v>
      </c>
      <c r="CL10" s="113"/>
      <c r="CM10" s="107"/>
      <c r="CN10" s="112" t="s">
        <v>148</v>
      </c>
      <c r="CO10" s="113"/>
      <c r="CP10" s="107"/>
      <c r="CQ10" s="112" t="s">
        <v>149</v>
      </c>
      <c r="CR10" s="113"/>
      <c r="CS10" s="107"/>
      <c r="CT10" s="112" t="s">
        <v>150</v>
      </c>
      <c r="CU10" s="113"/>
      <c r="CV10" s="107"/>
      <c r="CW10" s="112" t="s">
        <v>151</v>
      </c>
      <c r="CX10" s="113"/>
      <c r="CY10" s="107"/>
      <c r="CZ10" s="112" t="s">
        <v>152</v>
      </c>
      <c r="DA10" s="113"/>
      <c r="DB10" s="107"/>
      <c r="DC10" s="112" t="s">
        <v>153</v>
      </c>
      <c r="DD10" s="113"/>
      <c r="DE10" s="107"/>
      <c r="DF10" s="112" t="s">
        <v>154</v>
      </c>
      <c r="DG10" s="113"/>
      <c r="DH10" s="107"/>
      <c r="DI10" s="112" t="s">
        <v>155</v>
      </c>
      <c r="DJ10" s="113"/>
      <c r="DK10" s="107"/>
      <c r="DL10" s="112" t="s">
        <v>156</v>
      </c>
      <c r="DM10" s="113"/>
      <c r="DN10" s="107"/>
      <c r="DO10" s="112" t="s">
        <v>157</v>
      </c>
      <c r="DP10" s="113"/>
      <c r="DQ10" s="107"/>
      <c r="DR10" s="112" t="s">
        <v>158</v>
      </c>
      <c r="DS10" s="113"/>
      <c r="DT10" s="107"/>
      <c r="DU10" s="112" t="s">
        <v>159</v>
      </c>
      <c r="DV10" s="113"/>
      <c r="DW10" s="107"/>
      <c r="DX10" s="115" t="s">
        <v>160</v>
      </c>
      <c r="DY10" s="113"/>
      <c r="DZ10" s="107"/>
      <c r="EA10" s="108"/>
      <c r="EB10" s="99" t="s">
        <v>161</v>
      </c>
      <c r="EC10" s="99" t="s">
        <v>162</v>
      </c>
      <c r="ED10" s="110" t="s">
        <v>163</v>
      </c>
      <c r="EE10" s="110" t="s">
        <v>164</v>
      </c>
      <c r="EG10" s="111" t="s">
        <v>165</v>
      </c>
      <c r="EH10" s="110" t="s">
        <v>163</v>
      </c>
      <c r="EI10" s="110" t="s">
        <v>164</v>
      </c>
      <c r="EJ10" s="110"/>
      <c r="EK10" s="111" t="s">
        <v>117</v>
      </c>
      <c r="EL10" s="111" t="s">
        <v>117</v>
      </c>
      <c r="EM10" s="110" t="s">
        <v>163</v>
      </c>
      <c r="EN10" s="110" t="s">
        <v>164</v>
      </c>
    </row>
    <row r="11" spans="1:147" x14ac:dyDescent="0.25">
      <c r="A11" s="110" t="s">
        <v>166</v>
      </c>
      <c r="B11" s="116" t="s">
        <v>167</v>
      </c>
      <c r="C11" s="117" t="s">
        <v>168</v>
      </c>
      <c r="D11" s="118" t="s">
        <v>19</v>
      </c>
      <c r="E11" s="116" t="s">
        <v>167</v>
      </c>
      <c r="F11" s="117" t="s">
        <v>168</v>
      </c>
      <c r="G11" s="118" t="s">
        <v>19</v>
      </c>
      <c r="H11" s="116" t="s">
        <v>167</v>
      </c>
      <c r="I11" s="117" t="s">
        <v>168</v>
      </c>
      <c r="J11" s="118" t="s">
        <v>19</v>
      </c>
      <c r="K11" s="116" t="s">
        <v>167</v>
      </c>
      <c r="L11" s="117" t="s">
        <v>168</v>
      </c>
      <c r="M11" s="118" t="s">
        <v>19</v>
      </c>
      <c r="N11" s="116" t="s">
        <v>167</v>
      </c>
      <c r="O11" s="117" t="s">
        <v>168</v>
      </c>
      <c r="P11" s="118" t="s">
        <v>19</v>
      </c>
      <c r="Q11" s="116" t="s">
        <v>167</v>
      </c>
      <c r="R11" s="117" t="s">
        <v>168</v>
      </c>
      <c r="S11" s="118" t="s">
        <v>19</v>
      </c>
      <c r="T11" s="116" t="s">
        <v>167</v>
      </c>
      <c r="U11" s="117" t="s">
        <v>168</v>
      </c>
      <c r="V11" s="118" t="s">
        <v>19</v>
      </c>
      <c r="W11" s="116" t="s">
        <v>167</v>
      </c>
      <c r="X11" s="117" t="s">
        <v>168</v>
      </c>
      <c r="Y11" s="118" t="s">
        <v>19</v>
      </c>
      <c r="Z11" s="116" t="s">
        <v>167</v>
      </c>
      <c r="AA11" s="117" t="s">
        <v>168</v>
      </c>
      <c r="AB11" s="118" t="s">
        <v>19</v>
      </c>
      <c r="AC11" s="116" t="s">
        <v>167</v>
      </c>
      <c r="AD11" s="117" t="s">
        <v>168</v>
      </c>
      <c r="AE11" s="118" t="s">
        <v>19</v>
      </c>
      <c r="AF11" s="116" t="s">
        <v>167</v>
      </c>
      <c r="AG11" s="117" t="s">
        <v>168</v>
      </c>
      <c r="AH11" s="118" t="s">
        <v>19</v>
      </c>
      <c r="AI11" s="116" t="s">
        <v>167</v>
      </c>
      <c r="AJ11" s="117" t="s">
        <v>168</v>
      </c>
      <c r="AK11" s="118" t="s">
        <v>19</v>
      </c>
      <c r="AL11" s="116" t="s">
        <v>167</v>
      </c>
      <c r="AM11" s="117" t="s">
        <v>168</v>
      </c>
      <c r="AN11" s="118" t="s">
        <v>19</v>
      </c>
      <c r="AO11" s="116" t="s">
        <v>167</v>
      </c>
      <c r="AP11" s="117" t="s">
        <v>168</v>
      </c>
      <c r="AQ11" s="118" t="s">
        <v>19</v>
      </c>
      <c r="AR11" s="116" t="s">
        <v>167</v>
      </c>
      <c r="AS11" s="117" t="s">
        <v>168</v>
      </c>
      <c r="AT11" s="118" t="s">
        <v>19</v>
      </c>
      <c r="AU11" s="116" t="s">
        <v>167</v>
      </c>
      <c r="AV11" s="117" t="s">
        <v>168</v>
      </c>
      <c r="AW11" s="118" t="s">
        <v>19</v>
      </c>
      <c r="AX11" s="116" t="s">
        <v>167</v>
      </c>
      <c r="AY11" s="117" t="s">
        <v>168</v>
      </c>
      <c r="AZ11" s="118" t="s">
        <v>19</v>
      </c>
      <c r="BA11" s="116" t="s">
        <v>167</v>
      </c>
      <c r="BB11" s="117" t="s">
        <v>168</v>
      </c>
      <c r="BC11" s="118" t="s">
        <v>19</v>
      </c>
      <c r="BD11" s="116" t="s">
        <v>167</v>
      </c>
      <c r="BE11" s="117" t="s">
        <v>168</v>
      </c>
      <c r="BF11" s="118" t="s">
        <v>19</v>
      </c>
      <c r="BG11" s="116" t="s">
        <v>167</v>
      </c>
      <c r="BH11" s="117" t="s">
        <v>168</v>
      </c>
      <c r="BI11" s="118" t="s">
        <v>19</v>
      </c>
      <c r="BJ11" s="116" t="s">
        <v>167</v>
      </c>
      <c r="BK11" s="117" t="s">
        <v>168</v>
      </c>
      <c r="BL11" s="118" t="s">
        <v>19</v>
      </c>
      <c r="BM11" s="116" t="s">
        <v>167</v>
      </c>
      <c r="BN11" s="117" t="s">
        <v>168</v>
      </c>
      <c r="BO11" s="118" t="s">
        <v>19</v>
      </c>
      <c r="BP11" s="116" t="s">
        <v>167</v>
      </c>
      <c r="BQ11" s="117" t="s">
        <v>168</v>
      </c>
      <c r="BR11" s="118" t="s">
        <v>19</v>
      </c>
      <c r="BS11" s="116" t="s">
        <v>167</v>
      </c>
      <c r="BT11" s="117" t="s">
        <v>168</v>
      </c>
      <c r="BU11" s="118" t="s">
        <v>19</v>
      </c>
      <c r="BV11" s="116" t="s">
        <v>167</v>
      </c>
      <c r="BW11" s="117" t="s">
        <v>168</v>
      </c>
      <c r="BX11" s="118" t="s">
        <v>19</v>
      </c>
      <c r="BY11" s="116" t="s">
        <v>167</v>
      </c>
      <c r="BZ11" s="117" t="s">
        <v>168</v>
      </c>
      <c r="CA11" s="118" t="s">
        <v>19</v>
      </c>
      <c r="CB11" s="116" t="s">
        <v>167</v>
      </c>
      <c r="CC11" s="117" t="s">
        <v>168</v>
      </c>
      <c r="CD11" s="118" t="s">
        <v>19</v>
      </c>
      <c r="CE11" s="116" t="s">
        <v>167</v>
      </c>
      <c r="CF11" s="117" t="s">
        <v>168</v>
      </c>
      <c r="CG11" s="118" t="s">
        <v>19</v>
      </c>
      <c r="CH11" s="116" t="s">
        <v>167</v>
      </c>
      <c r="CI11" s="117" t="s">
        <v>168</v>
      </c>
      <c r="CJ11" s="118" t="s">
        <v>19</v>
      </c>
      <c r="CK11" s="116" t="s">
        <v>167</v>
      </c>
      <c r="CL11" s="117" t="s">
        <v>168</v>
      </c>
      <c r="CM11" s="118" t="s">
        <v>19</v>
      </c>
      <c r="CN11" s="116" t="s">
        <v>167</v>
      </c>
      <c r="CO11" s="117" t="s">
        <v>168</v>
      </c>
      <c r="CP11" s="118" t="s">
        <v>19</v>
      </c>
      <c r="CQ11" s="116" t="s">
        <v>167</v>
      </c>
      <c r="CR11" s="117" t="s">
        <v>168</v>
      </c>
      <c r="CS11" s="118" t="s">
        <v>19</v>
      </c>
      <c r="CT11" s="116" t="s">
        <v>167</v>
      </c>
      <c r="CU11" s="117" t="s">
        <v>168</v>
      </c>
      <c r="CV11" s="118" t="s">
        <v>19</v>
      </c>
      <c r="CW11" s="116" t="s">
        <v>167</v>
      </c>
      <c r="CX11" s="117" t="s">
        <v>168</v>
      </c>
      <c r="CY11" s="118" t="s">
        <v>19</v>
      </c>
      <c r="CZ11" s="116" t="s">
        <v>167</v>
      </c>
      <c r="DA11" s="117" t="s">
        <v>168</v>
      </c>
      <c r="DB11" s="118" t="s">
        <v>19</v>
      </c>
      <c r="DC11" s="116" t="s">
        <v>167</v>
      </c>
      <c r="DD11" s="117" t="s">
        <v>168</v>
      </c>
      <c r="DE11" s="118" t="s">
        <v>19</v>
      </c>
      <c r="DF11" s="116" t="s">
        <v>167</v>
      </c>
      <c r="DG11" s="117" t="s">
        <v>168</v>
      </c>
      <c r="DH11" s="118" t="s">
        <v>19</v>
      </c>
      <c r="DI11" s="116" t="s">
        <v>167</v>
      </c>
      <c r="DJ11" s="117" t="s">
        <v>168</v>
      </c>
      <c r="DK11" s="118" t="s">
        <v>19</v>
      </c>
      <c r="DL11" s="116" t="s">
        <v>167</v>
      </c>
      <c r="DM11" s="117" t="s">
        <v>168</v>
      </c>
      <c r="DN11" s="118" t="s">
        <v>19</v>
      </c>
      <c r="DO11" s="116" t="s">
        <v>167</v>
      </c>
      <c r="DP11" s="117" t="s">
        <v>168</v>
      </c>
      <c r="DQ11" s="118" t="s">
        <v>19</v>
      </c>
      <c r="DR11" s="116" t="s">
        <v>167</v>
      </c>
      <c r="DS11" s="117" t="s">
        <v>168</v>
      </c>
      <c r="DT11" s="118" t="s">
        <v>19</v>
      </c>
      <c r="DU11" s="116" t="s">
        <v>167</v>
      </c>
      <c r="DV11" s="117" t="s">
        <v>168</v>
      </c>
      <c r="DW11" s="118" t="s">
        <v>19</v>
      </c>
      <c r="DX11" s="116" t="s">
        <v>167</v>
      </c>
      <c r="DY11" s="117"/>
      <c r="DZ11" s="118"/>
      <c r="EA11" s="118"/>
      <c r="EB11" s="118" t="s">
        <v>169</v>
      </c>
      <c r="EC11" s="118" t="s">
        <v>169</v>
      </c>
      <c r="ED11" s="118" t="s">
        <v>19</v>
      </c>
      <c r="EE11" s="119" t="s">
        <v>168</v>
      </c>
      <c r="EG11" s="118" t="s">
        <v>169</v>
      </c>
      <c r="EH11" s="118" t="s">
        <v>19</v>
      </c>
      <c r="EI11" s="119" t="s">
        <v>168</v>
      </c>
      <c r="EJ11" s="119"/>
      <c r="EK11" s="118" t="s">
        <v>169</v>
      </c>
      <c r="EL11" s="118" t="s">
        <v>169</v>
      </c>
      <c r="EM11" s="118" t="s">
        <v>19</v>
      </c>
      <c r="EN11" s="119" t="s">
        <v>168</v>
      </c>
    </row>
    <row r="12" spans="1:147" x14ac:dyDescent="0.25">
      <c r="A12" s="35">
        <v>43466</v>
      </c>
      <c r="D12" s="87">
        <f>(B12*C12)/360</f>
        <v>0</v>
      </c>
      <c r="G12" s="87">
        <f>(E12*F12)/360</f>
        <v>0</v>
      </c>
      <c r="J12" s="87">
        <f>(H12*I12)/360</f>
        <v>0</v>
      </c>
      <c r="M12" s="87">
        <f>(K12*L12)/360</f>
        <v>0</v>
      </c>
      <c r="P12" s="87">
        <f>(N12*O12)/360</f>
        <v>0</v>
      </c>
      <c r="S12" s="87">
        <f>(Q12*R12)/360</f>
        <v>0</v>
      </c>
      <c r="V12" s="87">
        <f>(T12*U12)/360</f>
        <v>0</v>
      </c>
      <c r="Y12" s="87">
        <f>(W12*X12)/360</f>
        <v>0</v>
      </c>
      <c r="AB12" s="87">
        <f>(Z12*AA12)/360</f>
        <v>0</v>
      </c>
      <c r="AE12" s="87">
        <v>0</v>
      </c>
      <c r="AH12" s="87">
        <v>0</v>
      </c>
      <c r="AI12" s="120">
        <f>49600000</f>
        <v>49600000</v>
      </c>
      <c r="AJ12" s="121">
        <v>2.75E-2</v>
      </c>
      <c r="AK12" s="87">
        <f>(AI12*AJ12)/360</f>
        <v>3788.8888888888887</v>
      </c>
      <c r="AL12" s="120">
        <f t="shared" ref="AL12:AL25" si="0">5000000</f>
        <v>5000000</v>
      </c>
      <c r="AM12" s="121">
        <v>2.8000000000000001E-2</v>
      </c>
      <c r="AN12" s="87">
        <f>(AL12*AM12)/360</f>
        <v>388.88888888888891</v>
      </c>
      <c r="AO12" s="120"/>
      <c r="AP12" s="121"/>
      <c r="AQ12" s="87">
        <f>(AO12*AP12)/360</f>
        <v>0</v>
      </c>
      <c r="AR12" s="120"/>
      <c r="AS12" s="121"/>
      <c r="AT12" s="87">
        <f>(AR12*AS12)/360</f>
        <v>0</v>
      </c>
      <c r="AW12" s="87">
        <f>(AU12*AV12)/360</f>
        <v>0</v>
      </c>
      <c r="AZ12" s="87">
        <f>(AX12*AY12)/360</f>
        <v>0</v>
      </c>
      <c r="BC12" s="87">
        <f>(BA12*BB12)/360</f>
        <v>0</v>
      </c>
      <c r="BF12" s="87">
        <f>(BD12*BE12)/360</f>
        <v>0</v>
      </c>
      <c r="BI12" s="87">
        <f>(BG12*BH12)/360</f>
        <v>0</v>
      </c>
      <c r="BL12" s="87">
        <f>(BJ12*BK12)/360</f>
        <v>0</v>
      </c>
      <c r="BO12" s="87">
        <f>(BM12*BN12)/360</f>
        <v>0</v>
      </c>
      <c r="BR12" s="87">
        <f>(BP12*BQ12)/360</f>
        <v>0</v>
      </c>
      <c r="BU12" s="87">
        <f>(BS12*BT12)/360</f>
        <v>0</v>
      </c>
      <c r="BX12" s="87">
        <f>(BV12*BW12)/360</f>
        <v>0</v>
      </c>
      <c r="CA12" s="87">
        <f>(BY12*BZ12)/360</f>
        <v>0</v>
      </c>
      <c r="CD12" s="87">
        <f>(CB12*CC12)/360</f>
        <v>0</v>
      </c>
      <c r="CG12" s="87">
        <f>(CE12*CF12)/360</f>
        <v>0</v>
      </c>
      <c r="CJ12" s="87">
        <f>(CH12*CI12)/360</f>
        <v>0</v>
      </c>
      <c r="CM12" s="87">
        <f>(CK12*CL12)/360</f>
        <v>0</v>
      </c>
      <c r="CP12" s="87">
        <f>(CN12*CO12)/360</f>
        <v>0</v>
      </c>
      <c r="CS12" s="87">
        <f>(CQ12*CR12)/360</f>
        <v>0</v>
      </c>
      <c r="CV12" s="87">
        <f>(CT12*CU12)/360</f>
        <v>0</v>
      </c>
      <c r="CY12" s="87">
        <f>(CW12*CX12)/360</f>
        <v>0</v>
      </c>
      <c r="DB12" s="87">
        <f>(CZ12*DA12)/360</f>
        <v>0</v>
      </c>
      <c r="DE12" s="87">
        <f>(DC12*DD12)/360</f>
        <v>0</v>
      </c>
      <c r="DH12" s="87">
        <f>(DF12*DG12)/360</f>
        <v>0</v>
      </c>
      <c r="DK12" s="87">
        <f>(DI12*DJ12)/360</f>
        <v>0</v>
      </c>
      <c r="DN12" s="87">
        <f>(DL12*DM12)/360</f>
        <v>0</v>
      </c>
      <c r="DQ12" s="87">
        <f>(DO12*DP12)/360</f>
        <v>0</v>
      </c>
      <c r="DT12" s="87">
        <f>(DR12*DS12)/360</f>
        <v>0</v>
      </c>
      <c r="DW12" s="87">
        <f>(DU12*DV12)/360</f>
        <v>0</v>
      </c>
      <c r="DZ12" s="87"/>
      <c r="EA12" s="87"/>
      <c r="EB12" s="122">
        <f>B12+E12+H12+K12+N12+Q12+T12+W12+Z12+AC12+AF12+AL12+AO12+AR12+AU12+AX12+BA12+BD12+BG12+DU12+AI12+DR12+DO12+DL12+DI12+DF12+DC12+CZ12+CW12+CT12+CQ12+CN12+CK12+CH12+CE12+CB12+BY12+BV12+BS12+BP12+BM12+BJ12</f>
        <v>54600000</v>
      </c>
      <c r="EC12" s="122">
        <f>EB12-EK12+EL12</f>
        <v>0</v>
      </c>
      <c r="ED12" s="87">
        <f>D12+G12+J12+M12+P12+S12+V12+Y12+AB12+AE12+AH12+AK12+AN12+AQ12+AT12+AW12+AZ12+BC12+BF12+BI12+DW12+DT12+DQ12+DN12+DK12+DH12+DE12+DB12+CY12+CV12+CS12+CP12+CM12+CJ12+CG12+CD12+CA12+BX12+BU12+BR12+BO12+BL12</f>
        <v>4177.7777777777774</v>
      </c>
      <c r="EE12" s="88">
        <f>IF(EB12&lt;&gt;0,((ED12/EB12)*360),0)</f>
        <v>2.7545787545787546E-2</v>
      </c>
      <c r="EG12" s="122">
        <f>Q12+T12+W12+Z12+AC12+AF12</f>
        <v>0</v>
      </c>
      <c r="EH12" s="87">
        <f>S12+V12+Y12+AB12+AE12+AH12</f>
        <v>0</v>
      </c>
      <c r="EI12" s="88">
        <f>IF(EG12&lt;&gt;0,((EH12/EG12)*360),0)</f>
        <v>0</v>
      </c>
      <c r="EJ12" s="88"/>
      <c r="EK12" s="122">
        <f>DR12+DL12+DI12+DF12+DC12+CZ12+CW12+CT12+CQ12+CN12+CK12+CH12+CE12+CB12+BY12+BV12+BS12+BP12+BM12+BJ12+BG12+BD12+BA12+AX12+AU12+AR12+AO12+AL12+AI12+DO12</f>
        <v>54600000</v>
      </c>
      <c r="EL12" s="122">
        <f>DX12</f>
        <v>0</v>
      </c>
      <c r="EM12" s="122">
        <f>DT12+DQ12+DN12+DK12+DH12+DE12+DB12+CY12+CV12+CS12+CP12+CM12+CJ12+CG12+CD12+CA12+BX12+BU12+BR12+BO12+BL12+BI12+BF12+BC12+AZ12+AW12+AT12+AQ12+AN12+AK12</f>
        <v>4177.7777777777774</v>
      </c>
      <c r="EN12" s="88">
        <f>IF(EK12&lt;&gt;0,((EM12/EK12)*360),0)</f>
        <v>2.7545787545787546E-2</v>
      </c>
    </row>
    <row r="13" spans="1:147" x14ac:dyDescent="0.25">
      <c r="A13" s="35">
        <f>1+A12</f>
        <v>43467</v>
      </c>
      <c r="D13" s="87">
        <f t="shared" ref="D13:D42" si="1">(B13*C13)/360</f>
        <v>0</v>
      </c>
      <c r="G13" s="87">
        <f t="shared" ref="G13:G42" si="2">(E13*F13)/360</f>
        <v>0</v>
      </c>
      <c r="J13" s="87">
        <f t="shared" ref="J13:J42" si="3">(H13*I13)/360</f>
        <v>0</v>
      </c>
      <c r="M13" s="87">
        <f t="shared" ref="M13:M42" si="4">(K13*L13)/360</f>
        <v>0</v>
      </c>
      <c r="P13" s="87">
        <f t="shared" ref="P13:P42" si="5">(N13*O13)/360</f>
        <v>0</v>
      </c>
      <c r="S13" s="87">
        <f t="shared" ref="S13:S42" si="6">(Q13*R13)/360</f>
        <v>0</v>
      </c>
      <c r="V13" s="87">
        <f t="shared" ref="V13:V42" si="7">(T13*U13)/360</f>
        <v>0</v>
      </c>
      <c r="Y13" s="87">
        <f t="shared" ref="Y13:Y42" si="8">(W13*X13)/360</f>
        <v>0</v>
      </c>
      <c r="AB13" s="87">
        <f t="shared" ref="AB13:AB42" si="9">(Z13*AA13)/360</f>
        <v>0</v>
      </c>
      <c r="AE13" s="87">
        <v>0</v>
      </c>
      <c r="AH13" s="87">
        <v>0</v>
      </c>
      <c r="AI13" s="120">
        <f>48025000</f>
        <v>48025000</v>
      </c>
      <c r="AJ13" s="121">
        <v>2.75E-2</v>
      </c>
      <c r="AK13" s="87">
        <f t="shared" ref="AK13:AK42" si="10">(AI13*AJ13)/360</f>
        <v>3668.5763888888887</v>
      </c>
      <c r="AL13" s="120">
        <f t="shared" si="0"/>
        <v>5000000</v>
      </c>
      <c r="AM13" s="121">
        <v>2.8000000000000001E-2</v>
      </c>
      <c r="AN13" s="87">
        <f t="shared" ref="AN13:AN42" si="11">(AL13*AM13)/360</f>
        <v>388.88888888888891</v>
      </c>
      <c r="AO13" s="120"/>
      <c r="AP13" s="121"/>
      <c r="AQ13" s="87">
        <f t="shared" ref="AQ13:AQ42" si="12">(AO13*AP13)/360</f>
        <v>0</v>
      </c>
      <c r="AR13" s="120"/>
      <c r="AS13" s="121"/>
      <c r="AT13" s="87">
        <f t="shared" ref="AT13:AT42" si="13">(AR13*AS13)/360</f>
        <v>0</v>
      </c>
      <c r="AW13" s="87">
        <f t="shared" ref="AW13:AW42" si="14">(AU13*AV13)/360</f>
        <v>0</v>
      </c>
      <c r="AZ13" s="87">
        <f t="shared" ref="AZ13:AZ42" si="15">(AX13*AY13)/360</f>
        <v>0</v>
      </c>
      <c r="BC13" s="87">
        <f t="shared" ref="BC13:BC42" si="16">(BA13*BB13)/360</f>
        <v>0</v>
      </c>
      <c r="BF13" s="87">
        <f t="shared" ref="BF13:BF42" si="17">(BD13*BE13)/360</f>
        <v>0</v>
      </c>
      <c r="BI13" s="87">
        <f t="shared" ref="BI13:BI42" si="18">(BG13*BH13)/360</f>
        <v>0</v>
      </c>
      <c r="BL13" s="87">
        <f t="shared" ref="BL13:BL42" si="19">(BJ13*BK13)/360</f>
        <v>0</v>
      </c>
      <c r="BO13" s="87">
        <f t="shared" ref="BO13:BO42" si="20">(BM13*BN13)/360</f>
        <v>0</v>
      </c>
      <c r="BR13" s="87">
        <f t="shared" ref="BR13:BR42" si="21">(BP13*BQ13)/360</f>
        <v>0</v>
      </c>
      <c r="BU13" s="87">
        <f t="shared" ref="BU13:BU42" si="22">(BS13*BT13)/360</f>
        <v>0</v>
      </c>
      <c r="BX13" s="87">
        <f t="shared" ref="BX13:BX42" si="23">(BV13*BW13)/360</f>
        <v>0</v>
      </c>
      <c r="CA13" s="87">
        <f t="shared" ref="CA13:CA42" si="24">(BY13*BZ13)/360</f>
        <v>0</v>
      </c>
      <c r="CD13" s="87">
        <f t="shared" ref="CD13:CD42" si="25">(CB13*CC13)/360</f>
        <v>0</v>
      </c>
      <c r="CG13" s="87">
        <f t="shared" ref="CG13:CG42" si="26">(CE13*CF13)/360</f>
        <v>0</v>
      </c>
      <c r="CJ13" s="87">
        <f t="shared" ref="CJ13:CJ42" si="27">(CH13*CI13)/360</f>
        <v>0</v>
      </c>
      <c r="CM13" s="87">
        <f t="shared" ref="CM13:CM42" si="28">(CK13*CL13)/360</f>
        <v>0</v>
      </c>
      <c r="CP13" s="87">
        <f t="shared" ref="CP13:CP42" si="29">(CN13*CO13)/360</f>
        <v>0</v>
      </c>
      <c r="CS13" s="87">
        <f t="shared" ref="CS13:CS42" si="30">(CQ13*CR13)/360</f>
        <v>0</v>
      </c>
      <c r="CV13" s="87">
        <f t="shared" ref="CV13:CV42" si="31">(CT13*CU13)/360</f>
        <v>0</v>
      </c>
      <c r="CY13" s="87">
        <f t="shared" ref="CY13:CY42" si="32">(CW13*CX13)/360</f>
        <v>0</v>
      </c>
      <c r="DB13" s="87">
        <f t="shared" ref="DB13:DB42" si="33">(CZ13*DA13)/360</f>
        <v>0</v>
      </c>
      <c r="DE13" s="87">
        <f t="shared" ref="DE13:DE42" si="34">(DC13*DD13)/360</f>
        <v>0</v>
      </c>
      <c r="DH13" s="87">
        <f t="shared" ref="DH13:DH42" si="35">(DF13*DG13)/360</f>
        <v>0</v>
      </c>
      <c r="DK13" s="87">
        <f t="shared" ref="DK13:DK42" si="36">(DI13*DJ13)/360</f>
        <v>0</v>
      </c>
      <c r="DN13" s="87">
        <f t="shared" ref="DN13:DN42" si="37">(DL13*DM13)/360</f>
        <v>0</v>
      </c>
      <c r="DQ13" s="87">
        <f t="shared" ref="DQ13:DQ42" si="38">(DO13*DP13)/360</f>
        <v>0</v>
      </c>
      <c r="DT13" s="87">
        <f t="shared" ref="DT13:DT42" si="39">(DR13*DS13)/360</f>
        <v>0</v>
      </c>
      <c r="DW13" s="87">
        <f t="shared" ref="DW13:DW42" si="40">(DU13*DV13)/360</f>
        <v>0</v>
      </c>
      <c r="DZ13" s="87"/>
      <c r="EA13" s="87"/>
      <c r="EB13" s="122">
        <f t="shared" ref="EB13:EB42" si="41">B13+E13+H13+K13+N13+Q13+T13+W13+Z13+AC13+AF13+AL13+AO13+AR13+AU13+AX13+BA13+BD13+BG13+DU13+AI13+DR13+DO13+DL13+DI13+DF13+DC13+CZ13+CW13+CT13+CQ13+CN13+CK13+CH13+CE13+CB13+BY13+BV13+BS13+BP13+BM13+BJ13</f>
        <v>53025000</v>
      </c>
      <c r="EC13" s="122">
        <f t="shared" ref="EC13:EC42" si="42">EB13-EK13+EL13</f>
        <v>0</v>
      </c>
      <c r="ED13" s="87">
        <f t="shared" ref="ED13:ED42" si="43">D13+G13+J13+M13+P13+S13+V13+Y13+AB13+AE13+AH13+AK13+AN13+AQ13+AT13+AW13+AZ13+BC13+BF13+BI13+DW13+DT13+DQ13+DN13+DK13+DH13+DE13+DB13+CY13+CV13+CS13+CP13+CM13+CJ13+CG13+CD13+CA13+BX13+BU13+BR13+BO13+BL13</f>
        <v>4057.4652777777774</v>
      </c>
      <c r="EE13" s="88">
        <f t="shared" ref="EE13:EE42" si="44">IF(EB13&lt;&gt;0,((ED13/EB13)*360),0)</f>
        <v>2.7547147571900046E-2</v>
      </c>
      <c r="EG13" s="122">
        <f t="shared" ref="EG13:EG42" si="45">Q13+T13+W13+Z13+AC13+AF13</f>
        <v>0</v>
      </c>
      <c r="EH13" s="87">
        <f t="shared" ref="EH13:EH42" si="46">S13+V13+Y13+AB13+AE13+AH13</f>
        <v>0</v>
      </c>
      <c r="EI13" s="88">
        <f t="shared" ref="EI13:EI42" si="47">IF(EG13&lt;&gt;0,((EH13/EG13)*360),0)</f>
        <v>0</v>
      </c>
      <c r="EJ13" s="88"/>
      <c r="EK13" s="122">
        <f t="shared" ref="EK13:EK42" si="48">DR13+DL13+DI13+DF13+DC13+CZ13+CW13+CT13+CQ13+CN13+CK13+CH13+CE13+CB13+BY13+BV13+BS13+BP13+BM13+BJ13+BG13+BD13+BA13+AX13+AU13+AR13+AO13+AL13+AI13+DO13</f>
        <v>53025000</v>
      </c>
      <c r="EL13" s="122">
        <f t="shared" ref="EL13:EL42" si="49">DX13</f>
        <v>0</v>
      </c>
      <c r="EM13" s="122">
        <f t="shared" ref="EM13:EM42" si="50">DT13+DQ13+DN13+DK13+DH13+DE13+DB13+CY13+CV13+CS13+CP13+CM13+CJ13+CG13+CD13+CA13+BX13+BU13+BR13+BO13+BL13+BI13+BF13+BC13+AZ13+AW13+AT13+AQ13+AN13+AK13</f>
        <v>4057.4652777777774</v>
      </c>
      <c r="EN13" s="88">
        <f t="shared" ref="EN13:EN42" si="51">IF(EK13&lt;&gt;0,((EM13/EK13)*360),0)</f>
        <v>2.7547147571900046E-2</v>
      </c>
    </row>
    <row r="14" spans="1:147" x14ac:dyDescent="0.25">
      <c r="A14" s="35">
        <f t="shared" ref="A14:A42" si="52">1+A13</f>
        <v>43468</v>
      </c>
      <c r="D14" s="87">
        <f t="shared" si="1"/>
        <v>0</v>
      </c>
      <c r="G14" s="87">
        <f t="shared" si="2"/>
        <v>0</v>
      </c>
      <c r="J14" s="87">
        <f t="shared" si="3"/>
        <v>0</v>
      </c>
      <c r="M14" s="87">
        <f t="shared" si="4"/>
        <v>0</v>
      </c>
      <c r="P14" s="87">
        <f t="shared" si="5"/>
        <v>0</v>
      </c>
      <c r="S14" s="87">
        <f t="shared" si="6"/>
        <v>0</v>
      </c>
      <c r="V14" s="87">
        <f t="shared" si="7"/>
        <v>0</v>
      </c>
      <c r="Y14" s="87">
        <f t="shared" si="8"/>
        <v>0</v>
      </c>
      <c r="AB14" s="87">
        <f t="shared" si="9"/>
        <v>0</v>
      </c>
      <c r="AE14" s="87">
        <v>0</v>
      </c>
      <c r="AH14" s="87">
        <v>0</v>
      </c>
      <c r="AI14" s="120">
        <f>52875000</f>
        <v>52875000</v>
      </c>
      <c r="AJ14" s="121">
        <v>2.75E-2</v>
      </c>
      <c r="AK14" s="87">
        <f t="shared" si="10"/>
        <v>4039.0625</v>
      </c>
      <c r="AL14" s="120">
        <f t="shared" si="0"/>
        <v>5000000</v>
      </c>
      <c r="AM14" s="121">
        <v>2.8000000000000001E-2</v>
      </c>
      <c r="AN14" s="87">
        <f t="shared" si="11"/>
        <v>388.88888888888891</v>
      </c>
      <c r="AO14" s="120"/>
      <c r="AP14" s="121"/>
      <c r="AQ14" s="87">
        <f t="shared" si="12"/>
        <v>0</v>
      </c>
      <c r="AR14" s="120"/>
      <c r="AS14" s="121"/>
      <c r="AT14" s="87">
        <f t="shared" si="13"/>
        <v>0</v>
      </c>
      <c r="AW14" s="87">
        <f t="shared" si="14"/>
        <v>0</v>
      </c>
      <c r="AZ14" s="87">
        <f t="shared" si="15"/>
        <v>0</v>
      </c>
      <c r="BC14" s="87">
        <f t="shared" si="16"/>
        <v>0</v>
      </c>
      <c r="BF14" s="87">
        <f t="shared" si="17"/>
        <v>0</v>
      </c>
      <c r="BI14" s="87">
        <f t="shared" si="18"/>
        <v>0</v>
      </c>
      <c r="BL14" s="87">
        <f t="shared" si="19"/>
        <v>0</v>
      </c>
      <c r="BO14" s="87">
        <f t="shared" si="20"/>
        <v>0</v>
      </c>
      <c r="BR14" s="87">
        <f t="shared" si="21"/>
        <v>0</v>
      </c>
      <c r="BU14" s="87">
        <f t="shared" si="22"/>
        <v>0</v>
      </c>
      <c r="BX14" s="87">
        <f t="shared" si="23"/>
        <v>0</v>
      </c>
      <c r="CA14" s="87">
        <f t="shared" si="24"/>
        <v>0</v>
      </c>
      <c r="CD14" s="87">
        <f t="shared" si="25"/>
        <v>0</v>
      </c>
      <c r="CG14" s="87">
        <f t="shared" si="26"/>
        <v>0</v>
      </c>
      <c r="CJ14" s="87">
        <f t="shared" si="27"/>
        <v>0</v>
      </c>
      <c r="CM14" s="87">
        <f t="shared" si="28"/>
        <v>0</v>
      </c>
      <c r="CP14" s="87">
        <f t="shared" si="29"/>
        <v>0</v>
      </c>
      <c r="CS14" s="87">
        <f t="shared" si="30"/>
        <v>0</v>
      </c>
      <c r="CV14" s="87">
        <f t="shared" si="31"/>
        <v>0</v>
      </c>
      <c r="CY14" s="87">
        <f t="shared" si="32"/>
        <v>0</v>
      </c>
      <c r="DB14" s="87">
        <f t="shared" si="33"/>
        <v>0</v>
      </c>
      <c r="DE14" s="87">
        <f t="shared" si="34"/>
        <v>0</v>
      </c>
      <c r="DH14" s="87">
        <f t="shared" si="35"/>
        <v>0</v>
      </c>
      <c r="DK14" s="87">
        <f t="shared" si="36"/>
        <v>0</v>
      </c>
      <c r="DN14" s="87">
        <f t="shared" si="37"/>
        <v>0</v>
      </c>
      <c r="DQ14" s="87">
        <f t="shared" si="38"/>
        <v>0</v>
      </c>
      <c r="DT14" s="87">
        <f t="shared" si="39"/>
        <v>0</v>
      </c>
      <c r="DW14" s="87">
        <f t="shared" si="40"/>
        <v>0</v>
      </c>
      <c r="DZ14" s="87"/>
      <c r="EA14" s="87"/>
      <c r="EB14" s="122">
        <f t="shared" si="41"/>
        <v>57875000</v>
      </c>
      <c r="EC14" s="122">
        <f t="shared" si="42"/>
        <v>0</v>
      </c>
      <c r="ED14" s="87">
        <f t="shared" si="43"/>
        <v>4427.9513888888887</v>
      </c>
      <c r="EE14" s="88">
        <f t="shared" si="44"/>
        <v>2.7543196544276456E-2</v>
      </c>
      <c r="EG14" s="122">
        <f t="shared" si="45"/>
        <v>0</v>
      </c>
      <c r="EH14" s="87">
        <f t="shared" si="46"/>
        <v>0</v>
      </c>
      <c r="EI14" s="88">
        <f t="shared" si="47"/>
        <v>0</v>
      </c>
      <c r="EJ14" s="88"/>
      <c r="EK14" s="122">
        <f t="shared" si="48"/>
        <v>57875000</v>
      </c>
      <c r="EL14" s="122">
        <f t="shared" si="49"/>
        <v>0</v>
      </c>
      <c r="EM14" s="122">
        <f t="shared" si="50"/>
        <v>4427.9513888888887</v>
      </c>
      <c r="EN14" s="88">
        <f t="shared" si="51"/>
        <v>2.7543196544276456E-2</v>
      </c>
    </row>
    <row r="15" spans="1:147" x14ac:dyDescent="0.25">
      <c r="A15" s="35">
        <f t="shared" si="52"/>
        <v>43469</v>
      </c>
      <c r="D15" s="87">
        <f t="shared" si="1"/>
        <v>0</v>
      </c>
      <c r="G15" s="87">
        <f t="shared" si="2"/>
        <v>0</v>
      </c>
      <c r="J15" s="87">
        <f t="shared" si="3"/>
        <v>0</v>
      </c>
      <c r="M15" s="87">
        <f t="shared" si="4"/>
        <v>0</v>
      </c>
      <c r="P15" s="87">
        <f t="shared" si="5"/>
        <v>0</v>
      </c>
      <c r="S15" s="87">
        <f t="shared" si="6"/>
        <v>0</v>
      </c>
      <c r="V15" s="87">
        <f t="shared" si="7"/>
        <v>0</v>
      </c>
      <c r="Y15" s="87">
        <f t="shared" si="8"/>
        <v>0</v>
      </c>
      <c r="AB15" s="87">
        <f t="shared" si="9"/>
        <v>0</v>
      </c>
      <c r="AE15" s="87">
        <v>0</v>
      </c>
      <c r="AH15" s="87">
        <v>0</v>
      </c>
      <c r="AI15" s="120">
        <f>26125000</f>
        <v>26125000</v>
      </c>
      <c r="AJ15" s="121">
        <v>2.75E-2</v>
      </c>
      <c r="AK15" s="87">
        <f t="shared" si="10"/>
        <v>1995.6597222222222</v>
      </c>
      <c r="AL15" s="120">
        <f t="shared" si="0"/>
        <v>5000000</v>
      </c>
      <c r="AM15" s="121">
        <v>2.8000000000000001E-2</v>
      </c>
      <c r="AN15" s="87">
        <f t="shared" si="11"/>
        <v>388.88888888888891</v>
      </c>
      <c r="AO15" s="120">
        <f t="shared" ref="AO15:AO42" si="53">50000000</f>
        <v>50000000</v>
      </c>
      <c r="AP15" s="121">
        <v>2.9700000000000001E-2</v>
      </c>
      <c r="AQ15" s="87">
        <f t="shared" si="12"/>
        <v>4125</v>
      </c>
      <c r="AR15" s="120"/>
      <c r="AS15" s="121"/>
      <c r="AT15" s="87">
        <f t="shared" si="13"/>
        <v>0</v>
      </c>
      <c r="AW15" s="87">
        <f t="shared" si="14"/>
        <v>0</v>
      </c>
      <c r="AZ15" s="87">
        <f t="shared" si="15"/>
        <v>0</v>
      </c>
      <c r="BC15" s="87">
        <f t="shared" si="16"/>
        <v>0</v>
      </c>
      <c r="BF15" s="87">
        <f t="shared" si="17"/>
        <v>0</v>
      </c>
      <c r="BI15" s="87">
        <f t="shared" si="18"/>
        <v>0</v>
      </c>
      <c r="BL15" s="87">
        <f t="shared" si="19"/>
        <v>0</v>
      </c>
      <c r="BO15" s="87">
        <f t="shared" si="20"/>
        <v>0</v>
      </c>
      <c r="BR15" s="87">
        <f t="shared" si="21"/>
        <v>0</v>
      </c>
      <c r="BU15" s="87">
        <f t="shared" si="22"/>
        <v>0</v>
      </c>
      <c r="BX15" s="87">
        <f t="shared" si="23"/>
        <v>0</v>
      </c>
      <c r="CA15" s="87">
        <f t="shared" si="24"/>
        <v>0</v>
      </c>
      <c r="CD15" s="87">
        <f t="shared" si="25"/>
        <v>0</v>
      </c>
      <c r="CG15" s="87">
        <f t="shared" si="26"/>
        <v>0</v>
      </c>
      <c r="CJ15" s="87">
        <f t="shared" si="27"/>
        <v>0</v>
      </c>
      <c r="CM15" s="87">
        <f t="shared" si="28"/>
        <v>0</v>
      </c>
      <c r="CP15" s="87">
        <f t="shared" si="29"/>
        <v>0</v>
      </c>
      <c r="CS15" s="87">
        <f t="shared" si="30"/>
        <v>0</v>
      </c>
      <c r="CV15" s="87">
        <f t="shared" si="31"/>
        <v>0</v>
      </c>
      <c r="CY15" s="87">
        <f t="shared" si="32"/>
        <v>0</v>
      </c>
      <c r="DB15" s="87">
        <f t="shared" si="33"/>
        <v>0</v>
      </c>
      <c r="DE15" s="87">
        <f t="shared" si="34"/>
        <v>0</v>
      </c>
      <c r="DH15" s="87">
        <f t="shared" si="35"/>
        <v>0</v>
      </c>
      <c r="DK15" s="87">
        <f t="shared" si="36"/>
        <v>0</v>
      </c>
      <c r="DN15" s="87">
        <f t="shared" si="37"/>
        <v>0</v>
      </c>
      <c r="DQ15" s="87">
        <f t="shared" si="38"/>
        <v>0</v>
      </c>
      <c r="DT15" s="87">
        <f t="shared" si="39"/>
        <v>0</v>
      </c>
      <c r="DW15" s="87">
        <f t="shared" si="40"/>
        <v>0</v>
      </c>
      <c r="DZ15" s="87"/>
      <c r="EA15" s="87"/>
      <c r="EB15" s="122">
        <f t="shared" si="41"/>
        <v>81125000</v>
      </c>
      <c r="EC15" s="122">
        <f t="shared" si="42"/>
        <v>0</v>
      </c>
      <c r="ED15" s="87">
        <f t="shared" si="43"/>
        <v>6509.5486111111113</v>
      </c>
      <c r="EE15" s="88">
        <f t="shared" si="44"/>
        <v>2.8886748844375965E-2</v>
      </c>
      <c r="EG15" s="122">
        <f t="shared" si="45"/>
        <v>0</v>
      </c>
      <c r="EH15" s="87">
        <f t="shared" si="46"/>
        <v>0</v>
      </c>
      <c r="EI15" s="88">
        <f t="shared" si="47"/>
        <v>0</v>
      </c>
      <c r="EJ15" s="88"/>
      <c r="EK15" s="122">
        <f t="shared" si="48"/>
        <v>81125000</v>
      </c>
      <c r="EL15" s="122">
        <f t="shared" si="49"/>
        <v>0</v>
      </c>
      <c r="EM15" s="122">
        <f t="shared" si="50"/>
        <v>6509.5486111111113</v>
      </c>
      <c r="EN15" s="88">
        <f t="shared" si="51"/>
        <v>2.8886748844375965E-2</v>
      </c>
    </row>
    <row r="16" spans="1:147" x14ac:dyDescent="0.25">
      <c r="A16" s="35">
        <f t="shared" si="52"/>
        <v>43470</v>
      </c>
      <c r="D16" s="87">
        <f t="shared" si="1"/>
        <v>0</v>
      </c>
      <c r="G16" s="87">
        <f t="shared" si="2"/>
        <v>0</v>
      </c>
      <c r="J16" s="87">
        <f t="shared" si="3"/>
        <v>0</v>
      </c>
      <c r="M16" s="87">
        <f t="shared" si="4"/>
        <v>0</v>
      </c>
      <c r="P16" s="87">
        <f t="shared" si="5"/>
        <v>0</v>
      </c>
      <c r="S16" s="87">
        <f t="shared" si="6"/>
        <v>0</v>
      </c>
      <c r="V16" s="87">
        <f t="shared" si="7"/>
        <v>0</v>
      </c>
      <c r="Y16" s="87">
        <f t="shared" si="8"/>
        <v>0</v>
      </c>
      <c r="AB16" s="87">
        <f t="shared" si="9"/>
        <v>0</v>
      </c>
      <c r="AE16" s="87">
        <v>0</v>
      </c>
      <c r="AH16" s="87">
        <v>0</v>
      </c>
      <c r="AI16" s="120">
        <f>26125000</f>
        <v>26125000</v>
      </c>
      <c r="AJ16" s="121">
        <v>2.75E-2</v>
      </c>
      <c r="AK16" s="87">
        <f t="shared" si="10"/>
        <v>1995.6597222222222</v>
      </c>
      <c r="AL16" s="120">
        <f t="shared" si="0"/>
        <v>5000000</v>
      </c>
      <c r="AM16" s="121">
        <v>2.8000000000000001E-2</v>
      </c>
      <c r="AN16" s="87">
        <f t="shared" si="11"/>
        <v>388.88888888888891</v>
      </c>
      <c r="AO16" s="120">
        <f t="shared" si="53"/>
        <v>50000000</v>
      </c>
      <c r="AP16" s="121">
        <v>2.9700000000000001E-2</v>
      </c>
      <c r="AQ16" s="87">
        <f t="shared" si="12"/>
        <v>4125</v>
      </c>
      <c r="AR16" s="120"/>
      <c r="AS16" s="121"/>
      <c r="AT16" s="87">
        <f t="shared" si="13"/>
        <v>0</v>
      </c>
      <c r="AW16" s="87">
        <f t="shared" si="14"/>
        <v>0</v>
      </c>
      <c r="AZ16" s="87">
        <f t="shared" si="15"/>
        <v>0</v>
      </c>
      <c r="BC16" s="87">
        <f t="shared" si="16"/>
        <v>0</v>
      </c>
      <c r="BF16" s="87">
        <f t="shared" si="17"/>
        <v>0</v>
      </c>
      <c r="BI16" s="87">
        <f t="shared" si="18"/>
        <v>0</v>
      </c>
      <c r="BL16" s="87">
        <f t="shared" si="19"/>
        <v>0</v>
      </c>
      <c r="BO16" s="87">
        <f t="shared" si="20"/>
        <v>0</v>
      </c>
      <c r="BR16" s="87">
        <f t="shared" si="21"/>
        <v>0</v>
      </c>
      <c r="BU16" s="87">
        <f t="shared" si="22"/>
        <v>0</v>
      </c>
      <c r="BX16" s="87">
        <f t="shared" si="23"/>
        <v>0</v>
      </c>
      <c r="CA16" s="87">
        <f t="shared" si="24"/>
        <v>0</v>
      </c>
      <c r="CD16" s="87">
        <f t="shared" si="25"/>
        <v>0</v>
      </c>
      <c r="CG16" s="87">
        <f t="shared" si="26"/>
        <v>0</v>
      </c>
      <c r="CJ16" s="87">
        <f t="shared" si="27"/>
        <v>0</v>
      </c>
      <c r="CM16" s="87">
        <f t="shared" si="28"/>
        <v>0</v>
      </c>
      <c r="CP16" s="87">
        <f t="shared" si="29"/>
        <v>0</v>
      </c>
      <c r="CS16" s="87">
        <f t="shared" si="30"/>
        <v>0</v>
      </c>
      <c r="CV16" s="87">
        <f t="shared" si="31"/>
        <v>0</v>
      </c>
      <c r="CY16" s="87">
        <f t="shared" si="32"/>
        <v>0</v>
      </c>
      <c r="DB16" s="87">
        <f t="shared" si="33"/>
        <v>0</v>
      </c>
      <c r="DE16" s="87">
        <f t="shared" si="34"/>
        <v>0</v>
      </c>
      <c r="DH16" s="87">
        <f t="shared" si="35"/>
        <v>0</v>
      </c>
      <c r="DK16" s="87">
        <f t="shared" si="36"/>
        <v>0</v>
      </c>
      <c r="DN16" s="87">
        <f t="shared" si="37"/>
        <v>0</v>
      </c>
      <c r="DQ16" s="87">
        <f t="shared" si="38"/>
        <v>0</v>
      </c>
      <c r="DT16" s="87">
        <f t="shared" si="39"/>
        <v>0</v>
      </c>
      <c r="DW16" s="87">
        <f t="shared" si="40"/>
        <v>0</v>
      </c>
      <c r="DZ16" s="87"/>
      <c r="EA16" s="87"/>
      <c r="EB16" s="122">
        <f t="shared" si="41"/>
        <v>81125000</v>
      </c>
      <c r="EC16" s="122">
        <f t="shared" si="42"/>
        <v>0</v>
      </c>
      <c r="ED16" s="87">
        <f t="shared" si="43"/>
        <v>6509.5486111111113</v>
      </c>
      <c r="EE16" s="88">
        <f t="shared" si="44"/>
        <v>2.8886748844375965E-2</v>
      </c>
      <c r="EG16" s="122">
        <f t="shared" si="45"/>
        <v>0</v>
      </c>
      <c r="EH16" s="87">
        <f t="shared" si="46"/>
        <v>0</v>
      </c>
      <c r="EI16" s="88">
        <f t="shared" si="47"/>
        <v>0</v>
      </c>
      <c r="EJ16" s="88"/>
      <c r="EK16" s="122">
        <f t="shared" si="48"/>
        <v>81125000</v>
      </c>
      <c r="EL16" s="122">
        <f t="shared" si="49"/>
        <v>0</v>
      </c>
      <c r="EM16" s="122">
        <f t="shared" si="50"/>
        <v>6509.5486111111113</v>
      </c>
      <c r="EN16" s="88">
        <f t="shared" si="51"/>
        <v>2.8886748844375965E-2</v>
      </c>
    </row>
    <row r="17" spans="1:144" x14ac:dyDescent="0.25">
      <c r="A17" s="35">
        <f t="shared" si="52"/>
        <v>43471</v>
      </c>
      <c r="D17" s="87">
        <f t="shared" si="1"/>
        <v>0</v>
      </c>
      <c r="G17" s="87">
        <f t="shared" si="2"/>
        <v>0</v>
      </c>
      <c r="J17" s="87">
        <f t="shared" si="3"/>
        <v>0</v>
      </c>
      <c r="M17" s="87">
        <f t="shared" si="4"/>
        <v>0</v>
      </c>
      <c r="P17" s="87">
        <f t="shared" si="5"/>
        <v>0</v>
      </c>
      <c r="S17" s="87">
        <f t="shared" si="6"/>
        <v>0</v>
      </c>
      <c r="V17" s="87">
        <f t="shared" si="7"/>
        <v>0</v>
      </c>
      <c r="Y17" s="87">
        <f t="shared" si="8"/>
        <v>0</v>
      </c>
      <c r="AB17" s="87">
        <f t="shared" si="9"/>
        <v>0</v>
      </c>
      <c r="AE17" s="87">
        <v>0</v>
      </c>
      <c r="AH17" s="87">
        <v>0</v>
      </c>
      <c r="AI17" s="120">
        <f>26125000</f>
        <v>26125000</v>
      </c>
      <c r="AJ17" s="121">
        <v>2.75E-2</v>
      </c>
      <c r="AK17" s="87">
        <f t="shared" si="10"/>
        <v>1995.6597222222222</v>
      </c>
      <c r="AL17" s="120">
        <f t="shared" si="0"/>
        <v>5000000</v>
      </c>
      <c r="AM17" s="121">
        <v>2.8000000000000001E-2</v>
      </c>
      <c r="AN17" s="87">
        <f t="shared" si="11"/>
        <v>388.88888888888891</v>
      </c>
      <c r="AO17" s="120">
        <f t="shared" si="53"/>
        <v>50000000</v>
      </c>
      <c r="AP17" s="121">
        <v>2.9700000000000001E-2</v>
      </c>
      <c r="AQ17" s="87">
        <f t="shared" si="12"/>
        <v>4125</v>
      </c>
      <c r="AR17" s="120"/>
      <c r="AS17" s="121"/>
      <c r="AT17" s="87">
        <f t="shared" si="13"/>
        <v>0</v>
      </c>
      <c r="AW17" s="87">
        <f t="shared" si="14"/>
        <v>0</v>
      </c>
      <c r="AZ17" s="87">
        <f t="shared" si="15"/>
        <v>0</v>
      </c>
      <c r="BC17" s="87">
        <f t="shared" si="16"/>
        <v>0</v>
      </c>
      <c r="BF17" s="87">
        <f t="shared" si="17"/>
        <v>0</v>
      </c>
      <c r="BI17" s="87">
        <f t="shared" si="18"/>
        <v>0</v>
      </c>
      <c r="BL17" s="87">
        <f t="shared" si="19"/>
        <v>0</v>
      </c>
      <c r="BO17" s="87">
        <f t="shared" si="20"/>
        <v>0</v>
      </c>
      <c r="BR17" s="87">
        <f t="shared" si="21"/>
        <v>0</v>
      </c>
      <c r="BU17" s="87">
        <f t="shared" si="22"/>
        <v>0</v>
      </c>
      <c r="BX17" s="87">
        <f t="shared" si="23"/>
        <v>0</v>
      </c>
      <c r="CA17" s="87">
        <f t="shared" si="24"/>
        <v>0</v>
      </c>
      <c r="CD17" s="87">
        <f t="shared" si="25"/>
        <v>0</v>
      </c>
      <c r="CG17" s="87">
        <f t="shared" si="26"/>
        <v>0</v>
      </c>
      <c r="CJ17" s="87">
        <f t="shared" si="27"/>
        <v>0</v>
      </c>
      <c r="CM17" s="87">
        <f t="shared" si="28"/>
        <v>0</v>
      </c>
      <c r="CP17" s="87">
        <f t="shared" si="29"/>
        <v>0</v>
      </c>
      <c r="CS17" s="87">
        <f t="shared" si="30"/>
        <v>0</v>
      </c>
      <c r="CV17" s="87">
        <f t="shared" si="31"/>
        <v>0</v>
      </c>
      <c r="CY17" s="87">
        <f t="shared" si="32"/>
        <v>0</v>
      </c>
      <c r="DB17" s="87">
        <f t="shared" si="33"/>
        <v>0</v>
      </c>
      <c r="DE17" s="87">
        <f t="shared" si="34"/>
        <v>0</v>
      </c>
      <c r="DH17" s="87">
        <f t="shared" si="35"/>
        <v>0</v>
      </c>
      <c r="DK17" s="87">
        <f t="shared" si="36"/>
        <v>0</v>
      </c>
      <c r="DN17" s="87">
        <f t="shared" si="37"/>
        <v>0</v>
      </c>
      <c r="DQ17" s="87">
        <f t="shared" si="38"/>
        <v>0</v>
      </c>
      <c r="DT17" s="87">
        <f t="shared" si="39"/>
        <v>0</v>
      </c>
      <c r="DW17" s="87">
        <f t="shared" si="40"/>
        <v>0</v>
      </c>
      <c r="DZ17" s="87"/>
      <c r="EA17" s="87"/>
      <c r="EB17" s="122">
        <f t="shared" si="41"/>
        <v>81125000</v>
      </c>
      <c r="EC17" s="122">
        <f t="shared" si="42"/>
        <v>0</v>
      </c>
      <c r="ED17" s="87">
        <f t="shared" si="43"/>
        <v>6509.5486111111113</v>
      </c>
      <c r="EE17" s="88">
        <f t="shared" si="44"/>
        <v>2.8886748844375965E-2</v>
      </c>
      <c r="EG17" s="122">
        <f t="shared" si="45"/>
        <v>0</v>
      </c>
      <c r="EH17" s="87">
        <f t="shared" si="46"/>
        <v>0</v>
      </c>
      <c r="EI17" s="88">
        <f t="shared" si="47"/>
        <v>0</v>
      </c>
      <c r="EJ17" s="88"/>
      <c r="EK17" s="122">
        <f t="shared" si="48"/>
        <v>81125000</v>
      </c>
      <c r="EL17" s="122">
        <f t="shared" si="49"/>
        <v>0</v>
      </c>
      <c r="EM17" s="122">
        <f t="shared" si="50"/>
        <v>6509.5486111111113</v>
      </c>
      <c r="EN17" s="88">
        <f t="shared" si="51"/>
        <v>2.8886748844375965E-2</v>
      </c>
    </row>
    <row r="18" spans="1:144" x14ac:dyDescent="0.25">
      <c r="A18" s="35">
        <f t="shared" si="52"/>
        <v>43472</v>
      </c>
      <c r="D18" s="87">
        <f t="shared" si="1"/>
        <v>0</v>
      </c>
      <c r="G18" s="87">
        <f t="shared" si="2"/>
        <v>0</v>
      </c>
      <c r="J18" s="87">
        <f t="shared" si="3"/>
        <v>0</v>
      </c>
      <c r="M18" s="87">
        <f t="shared" si="4"/>
        <v>0</v>
      </c>
      <c r="P18" s="87">
        <f t="shared" si="5"/>
        <v>0</v>
      </c>
      <c r="S18" s="87">
        <f t="shared" si="6"/>
        <v>0</v>
      </c>
      <c r="V18" s="87">
        <f t="shared" si="7"/>
        <v>0</v>
      </c>
      <c r="Y18" s="87">
        <f t="shared" si="8"/>
        <v>0</v>
      </c>
      <c r="AB18" s="87">
        <f t="shared" si="9"/>
        <v>0</v>
      </c>
      <c r="AE18" s="87">
        <v>0</v>
      </c>
      <c r="AH18" s="87">
        <v>0</v>
      </c>
      <c r="AI18" s="120">
        <f>38425000</f>
        <v>38425000</v>
      </c>
      <c r="AJ18" s="121">
        <v>2.7300000000000001E-2</v>
      </c>
      <c r="AK18" s="87">
        <f t="shared" si="10"/>
        <v>2913.8958333333335</v>
      </c>
      <c r="AL18" s="120">
        <f t="shared" si="0"/>
        <v>5000000</v>
      </c>
      <c r="AM18" s="121">
        <v>2.8000000000000001E-2</v>
      </c>
      <c r="AN18" s="87">
        <f t="shared" si="11"/>
        <v>388.88888888888891</v>
      </c>
      <c r="AO18" s="120">
        <f t="shared" si="53"/>
        <v>50000000</v>
      </c>
      <c r="AP18" s="121">
        <v>2.9700000000000001E-2</v>
      </c>
      <c r="AQ18" s="87">
        <f t="shared" si="12"/>
        <v>4125</v>
      </c>
      <c r="AR18" s="120"/>
      <c r="AS18" s="121"/>
      <c r="AT18" s="87">
        <f t="shared" si="13"/>
        <v>0</v>
      </c>
      <c r="AW18" s="87">
        <f t="shared" si="14"/>
        <v>0</v>
      </c>
      <c r="AZ18" s="87">
        <f t="shared" si="15"/>
        <v>0</v>
      </c>
      <c r="BC18" s="87">
        <f t="shared" si="16"/>
        <v>0</v>
      </c>
      <c r="BF18" s="87">
        <f t="shared" si="17"/>
        <v>0</v>
      </c>
      <c r="BI18" s="87">
        <f t="shared" si="18"/>
        <v>0</v>
      </c>
      <c r="BL18" s="87">
        <f t="shared" si="19"/>
        <v>0</v>
      </c>
      <c r="BO18" s="87">
        <f t="shared" si="20"/>
        <v>0</v>
      </c>
      <c r="BR18" s="87">
        <f t="shared" si="21"/>
        <v>0</v>
      </c>
      <c r="BU18" s="87">
        <f t="shared" si="22"/>
        <v>0</v>
      </c>
      <c r="BX18" s="87">
        <f t="shared" si="23"/>
        <v>0</v>
      </c>
      <c r="CA18" s="87">
        <f t="shared" si="24"/>
        <v>0</v>
      </c>
      <c r="CD18" s="87">
        <f t="shared" si="25"/>
        <v>0</v>
      </c>
      <c r="CG18" s="87">
        <f t="shared" si="26"/>
        <v>0</v>
      </c>
      <c r="CJ18" s="87">
        <f t="shared" si="27"/>
        <v>0</v>
      </c>
      <c r="CM18" s="87">
        <f t="shared" si="28"/>
        <v>0</v>
      </c>
      <c r="CP18" s="87">
        <f t="shared" si="29"/>
        <v>0</v>
      </c>
      <c r="CS18" s="87">
        <f t="shared" si="30"/>
        <v>0</v>
      </c>
      <c r="CV18" s="87">
        <f t="shared" si="31"/>
        <v>0</v>
      </c>
      <c r="CY18" s="87">
        <f t="shared" si="32"/>
        <v>0</v>
      </c>
      <c r="DB18" s="87">
        <f t="shared" si="33"/>
        <v>0</v>
      </c>
      <c r="DE18" s="87">
        <f t="shared" si="34"/>
        <v>0</v>
      </c>
      <c r="DH18" s="87">
        <f t="shared" si="35"/>
        <v>0</v>
      </c>
      <c r="DK18" s="87">
        <f t="shared" si="36"/>
        <v>0</v>
      </c>
      <c r="DN18" s="87">
        <f t="shared" si="37"/>
        <v>0</v>
      </c>
      <c r="DQ18" s="87">
        <f t="shared" si="38"/>
        <v>0</v>
      </c>
      <c r="DT18" s="87">
        <f t="shared" si="39"/>
        <v>0</v>
      </c>
      <c r="DW18" s="87">
        <f t="shared" si="40"/>
        <v>0</v>
      </c>
      <c r="DZ18" s="87"/>
      <c r="EA18" s="87"/>
      <c r="EB18" s="122">
        <f t="shared" si="41"/>
        <v>93425000</v>
      </c>
      <c r="EC18" s="122">
        <f t="shared" si="42"/>
        <v>0</v>
      </c>
      <c r="ED18" s="87">
        <f t="shared" si="43"/>
        <v>7427.7847222222226</v>
      </c>
      <c r="EE18" s="88">
        <f t="shared" si="44"/>
        <v>2.8621915975381322E-2</v>
      </c>
      <c r="EG18" s="122">
        <f t="shared" si="45"/>
        <v>0</v>
      </c>
      <c r="EH18" s="87">
        <f t="shared" si="46"/>
        <v>0</v>
      </c>
      <c r="EI18" s="88">
        <f t="shared" si="47"/>
        <v>0</v>
      </c>
      <c r="EJ18" s="88"/>
      <c r="EK18" s="122">
        <f t="shared" si="48"/>
        <v>93425000</v>
      </c>
      <c r="EL18" s="122">
        <f t="shared" si="49"/>
        <v>0</v>
      </c>
      <c r="EM18" s="122">
        <f t="shared" si="50"/>
        <v>7427.7847222222226</v>
      </c>
      <c r="EN18" s="88">
        <f t="shared" si="51"/>
        <v>2.8621915975381322E-2</v>
      </c>
    </row>
    <row r="19" spans="1:144" x14ac:dyDescent="0.25">
      <c r="A19" s="35">
        <f t="shared" si="52"/>
        <v>43473</v>
      </c>
      <c r="D19" s="87">
        <f t="shared" si="1"/>
        <v>0</v>
      </c>
      <c r="G19" s="87">
        <f t="shared" si="2"/>
        <v>0</v>
      </c>
      <c r="J19" s="87">
        <f t="shared" si="3"/>
        <v>0</v>
      </c>
      <c r="M19" s="87">
        <f t="shared" si="4"/>
        <v>0</v>
      </c>
      <c r="P19" s="87">
        <f t="shared" si="5"/>
        <v>0</v>
      </c>
      <c r="S19" s="87">
        <f t="shared" si="6"/>
        <v>0</v>
      </c>
      <c r="V19" s="87">
        <f t="shared" si="7"/>
        <v>0</v>
      </c>
      <c r="Y19" s="87">
        <f t="shared" si="8"/>
        <v>0</v>
      </c>
      <c r="AB19" s="87">
        <f t="shared" si="9"/>
        <v>0</v>
      </c>
      <c r="AE19" s="87">
        <v>0</v>
      </c>
      <c r="AH19" s="87">
        <v>0</v>
      </c>
      <c r="AI19" s="120">
        <f>38275000</f>
        <v>38275000</v>
      </c>
      <c r="AJ19" s="121">
        <v>2.7199999999999998E-2</v>
      </c>
      <c r="AK19" s="87">
        <f t="shared" si="10"/>
        <v>2891.8888888888887</v>
      </c>
      <c r="AL19" s="120">
        <f t="shared" si="0"/>
        <v>5000000</v>
      </c>
      <c r="AM19" s="121">
        <v>2.8000000000000001E-2</v>
      </c>
      <c r="AN19" s="87">
        <f t="shared" si="11"/>
        <v>388.88888888888891</v>
      </c>
      <c r="AO19" s="120">
        <f t="shared" si="53"/>
        <v>50000000</v>
      </c>
      <c r="AP19" s="121">
        <v>2.9700000000000001E-2</v>
      </c>
      <c r="AQ19" s="87">
        <f t="shared" si="12"/>
        <v>4125</v>
      </c>
      <c r="AR19" s="120"/>
      <c r="AS19" s="121"/>
      <c r="AT19" s="87">
        <f t="shared" si="13"/>
        <v>0</v>
      </c>
      <c r="AW19" s="87">
        <f t="shared" si="14"/>
        <v>0</v>
      </c>
      <c r="AZ19" s="87">
        <f t="shared" si="15"/>
        <v>0</v>
      </c>
      <c r="BC19" s="87">
        <f t="shared" si="16"/>
        <v>0</v>
      </c>
      <c r="BF19" s="87">
        <f t="shared" si="17"/>
        <v>0</v>
      </c>
      <c r="BI19" s="87">
        <f t="shared" si="18"/>
        <v>0</v>
      </c>
      <c r="BL19" s="87">
        <f t="shared" si="19"/>
        <v>0</v>
      </c>
      <c r="BO19" s="87">
        <f t="shared" si="20"/>
        <v>0</v>
      </c>
      <c r="BR19" s="87">
        <f t="shared" si="21"/>
        <v>0</v>
      </c>
      <c r="BU19" s="87">
        <f t="shared" si="22"/>
        <v>0</v>
      </c>
      <c r="BX19" s="87">
        <f t="shared" si="23"/>
        <v>0</v>
      </c>
      <c r="CA19" s="87">
        <f t="shared" si="24"/>
        <v>0</v>
      </c>
      <c r="CD19" s="87">
        <f t="shared" si="25"/>
        <v>0</v>
      </c>
      <c r="CG19" s="87">
        <f t="shared" si="26"/>
        <v>0</v>
      </c>
      <c r="CJ19" s="87">
        <f t="shared" si="27"/>
        <v>0</v>
      </c>
      <c r="CM19" s="87">
        <f t="shared" si="28"/>
        <v>0</v>
      </c>
      <c r="CP19" s="87">
        <f t="shared" si="29"/>
        <v>0</v>
      </c>
      <c r="CS19" s="87">
        <f t="shared" si="30"/>
        <v>0</v>
      </c>
      <c r="CV19" s="87">
        <f t="shared" si="31"/>
        <v>0</v>
      </c>
      <c r="CY19" s="87">
        <f t="shared" si="32"/>
        <v>0</v>
      </c>
      <c r="DB19" s="87">
        <f t="shared" si="33"/>
        <v>0</v>
      </c>
      <c r="DE19" s="87">
        <f t="shared" si="34"/>
        <v>0</v>
      </c>
      <c r="DH19" s="87">
        <f t="shared" si="35"/>
        <v>0</v>
      </c>
      <c r="DK19" s="87">
        <f t="shared" si="36"/>
        <v>0</v>
      </c>
      <c r="DN19" s="87">
        <f t="shared" si="37"/>
        <v>0</v>
      </c>
      <c r="DQ19" s="87">
        <f t="shared" si="38"/>
        <v>0</v>
      </c>
      <c r="DT19" s="87">
        <f t="shared" si="39"/>
        <v>0</v>
      </c>
      <c r="DW19" s="87">
        <f t="shared" si="40"/>
        <v>0</v>
      </c>
      <c r="DZ19" s="87"/>
      <c r="EA19" s="87"/>
      <c r="EB19" s="122">
        <f t="shared" si="41"/>
        <v>93275000</v>
      </c>
      <c r="EC19" s="122">
        <f t="shared" si="42"/>
        <v>0</v>
      </c>
      <c r="ED19" s="87">
        <f t="shared" si="43"/>
        <v>7405.7777777777774</v>
      </c>
      <c r="EE19" s="88">
        <f t="shared" si="44"/>
        <v>2.8583007236665771E-2</v>
      </c>
      <c r="EG19" s="122">
        <f t="shared" si="45"/>
        <v>0</v>
      </c>
      <c r="EH19" s="87">
        <f t="shared" si="46"/>
        <v>0</v>
      </c>
      <c r="EI19" s="88">
        <f t="shared" si="47"/>
        <v>0</v>
      </c>
      <c r="EJ19" s="88"/>
      <c r="EK19" s="122">
        <f t="shared" si="48"/>
        <v>93275000</v>
      </c>
      <c r="EL19" s="122">
        <f t="shared" si="49"/>
        <v>0</v>
      </c>
      <c r="EM19" s="122">
        <f t="shared" si="50"/>
        <v>7405.7777777777774</v>
      </c>
      <c r="EN19" s="88">
        <f t="shared" si="51"/>
        <v>2.8583007236665771E-2</v>
      </c>
    </row>
    <row r="20" spans="1:144" x14ac:dyDescent="0.25">
      <c r="A20" s="35">
        <f t="shared" si="52"/>
        <v>43474</v>
      </c>
      <c r="D20" s="87">
        <f t="shared" si="1"/>
        <v>0</v>
      </c>
      <c r="G20" s="87">
        <f t="shared" si="2"/>
        <v>0</v>
      </c>
      <c r="J20" s="87">
        <f t="shared" si="3"/>
        <v>0</v>
      </c>
      <c r="M20" s="87">
        <f t="shared" si="4"/>
        <v>0</v>
      </c>
      <c r="P20" s="87">
        <f t="shared" si="5"/>
        <v>0</v>
      </c>
      <c r="S20" s="87">
        <f t="shared" si="6"/>
        <v>0</v>
      </c>
      <c r="V20" s="87">
        <f t="shared" si="7"/>
        <v>0</v>
      </c>
      <c r="Y20" s="87">
        <f t="shared" si="8"/>
        <v>0</v>
      </c>
      <c r="AB20" s="87">
        <f t="shared" si="9"/>
        <v>0</v>
      </c>
      <c r="AE20" s="87">
        <v>0</v>
      </c>
      <c r="AH20" s="87">
        <v>0</v>
      </c>
      <c r="AI20" s="120">
        <f>41875000</f>
        <v>41875000</v>
      </c>
      <c r="AJ20" s="121">
        <v>2.7E-2</v>
      </c>
      <c r="AK20" s="87">
        <f t="shared" si="10"/>
        <v>3140.625</v>
      </c>
      <c r="AL20" s="120">
        <f t="shared" si="0"/>
        <v>5000000</v>
      </c>
      <c r="AM20" s="121">
        <v>2.8000000000000001E-2</v>
      </c>
      <c r="AN20" s="87">
        <f t="shared" si="11"/>
        <v>388.88888888888891</v>
      </c>
      <c r="AO20" s="120">
        <f t="shared" si="53"/>
        <v>50000000</v>
      </c>
      <c r="AP20" s="121">
        <v>2.9700000000000001E-2</v>
      </c>
      <c r="AQ20" s="87">
        <f t="shared" si="12"/>
        <v>4125</v>
      </c>
      <c r="AR20" s="120"/>
      <c r="AS20" s="121"/>
      <c r="AT20" s="87">
        <f t="shared" si="13"/>
        <v>0</v>
      </c>
      <c r="AW20" s="87">
        <f t="shared" si="14"/>
        <v>0</v>
      </c>
      <c r="AZ20" s="87">
        <f t="shared" si="15"/>
        <v>0</v>
      </c>
      <c r="BC20" s="87">
        <f t="shared" si="16"/>
        <v>0</v>
      </c>
      <c r="BF20" s="87">
        <f t="shared" si="17"/>
        <v>0</v>
      </c>
      <c r="BI20" s="87">
        <f t="shared" si="18"/>
        <v>0</v>
      </c>
      <c r="BL20" s="87">
        <f t="shared" si="19"/>
        <v>0</v>
      </c>
      <c r="BO20" s="87">
        <f t="shared" si="20"/>
        <v>0</v>
      </c>
      <c r="BR20" s="87">
        <f t="shared" si="21"/>
        <v>0</v>
      </c>
      <c r="BU20" s="87">
        <f t="shared" si="22"/>
        <v>0</v>
      </c>
      <c r="BX20" s="87">
        <f t="shared" si="23"/>
        <v>0</v>
      </c>
      <c r="CA20" s="87">
        <f t="shared" si="24"/>
        <v>0</v>
      </c>
      <c r="CD20" s="87">
        <f t="shared" si="25"/>
        <v>0</v>
      </c>
      <c r="CG20" s="87">
        <f t="shared" si="26"/>
        <v>0</v>
      </c>
      <c r="CJ20" s="87">
        <f t="shared" si="27"/>
        <v>0</v>
      </c>
      <c r="CM20" s="87">
        <f t="shared" si="28"/>
        <v>0</v>
      </c>
      <c r="CP20" s="87">
        <f t="shared" si="29"/>
        <v>0</v>
      </c>
      <c r="CS20" s="87">
        <f t="shared" si="30"/>
        <v>0</v>
      </c>
      <c r="CV20" s="87">
        <f t="shared" si="31"/>
        <v>0</v>
      </c>
      <c r="CY20" s="87">
        <f t="shared" si="32"/>
        <v>0</v>
      </c>
      <c r="DB20" s="87">
        <f t="shared" si="33"/>
        <v>0</v>
      </c>
      <c r="DE20" s="87">
        <f t="shared" si="34"/>
        <v>0</v>
      </c>
      <c r="DH20" s="87">
        <f t="shared" si="35"/>
        <v>0</v>
      </c>
      <c r="DK20" s="87">
        <f t="shared" si="36"/>
        <v>0</v>
      </c>
      <c r="DN20" s="87">
        <f t="shared" si="37"/>
        <v>0</v>
      </c>
      <c r="DQ20" s="87">
        <f t="shared" si="38"/>
        <v>0</v>
      </c>
      <c r="DT20" s="87">
        <f t="shared" si="39"/>
        <v>0</v>
      </c>
      <c r="DW20" s="87">
        <f t="shared" si="40"/>
        <v>0</v>
      </c>
      <c r="DZ20" s="87"/>
      <c r="EA20" s="87"/>
      <c r="EB20" s="122">
        <f t="shared" si="41"/>
        <v>96875000</v>
      </c>
      <c r="EC20" s="122">
        <f t="shared" si="42"/>
        <v>0</v>
      </c>
      <c r="ED20" s="87">
        <f t="shared" si="43"/>
        <v>7654.5138888888887</v>
      </c>
      <c r="EE20" s="88">
        <f t="shared" si="44"/>
        <v>2.8445161290322582E-2</v>
      </c>
      <c r="EG20" s="122">
        <f t="shared" si="45"/>
        <v>0</v>
      </c>
      <c r="EH20" s="87">
        <f t="shared" si="46"/>
        <v>0</v>
      </c>
      <c r="EI20" s="88">
        <f t="shared" si="47"/>
        <v>0</v>
      </c>
      <c r="EJ20" s="88"/>
      <c r="EK20" s="122">
        <f t="shared" si="48"/>
        <v>96875000</v>
      </c>
      <c r="EL20" s="122">
        <f t="shared" si="49"/>
        <v>0</v>
      </c>
      <c r="EM20" s="122">
        <f t="shared" si="50"/>
        <v>7654.5138888888887</v>
      </c>
      <c r="EN20" s="88">
        <f t="shared" si="51"/>
        <v>2.8445161290322582E-2</v>
      </c>
    </row>
    <row r="21" spans="1:144" x14ac:dyDescent="0.25">
      <c r="A21" s="35">
        <f t="shared" si="52"/>
        <v>43475</v>
      </c>
      <c r="D21" s="87">
        <f t="shared" si="1"/>
        <v>0</v>
      </c>
      <c r="G21" s="87">
        <f t="shared" si="2"/>
        <v>0</v>
      </c>
      <c r="J21" s="87">
        <f t="shared" si="3"/>
        <v>0</v>
      </c>
      <c r="M21" s="87">
        <f t="shared" si="4"/>
        <v>0</v>
      </c>
      <c r="P21" s="87">
        <f t="shared" si="5"/>
        <v>0</v>
      </c>
      <c r="S21" s="87">
        <f t="shared" si="6"/>
        <v>0</v>
      </c>
      <c r="V21" s="87">
        <f t="shared" si="7"/>
        <v>0</v>
      </c>
      <c r="Y21" s="87">
        <f t="shared" si="8"/>
        <v>0</v>
      </c>
      <c r="AB21" s="87">
        <f t="shared" si="9"/>
        <v>0</v>
      </c>
      <c r="AE21" s="87">
        <v>0</v>
      </c>
      <c r="AH21" s="87">
        <v>0</v>
      </c>
      <c r="AI21" s="120">
        <f>37400000</f>
        <v>37400000</v>
      </c>
      <c r="AJ21" s="121">
        <v>2.7E-2</v>
      </c>
      <c r="AK21" s="87">
        <f t="shared" si="10"/>
        <v>2805</v>
      </c>
      <c r="AL21" s="120">
        <f t="shared" si="0"/>
        <v>5000000</v>
      </c>
      <c r="AM21" s="121">
        <v>2.8000000000000001E-2</v>
      </c>
      <c r="AN21" s="87">
        <f t="shared" si="11"/>
        <v>388.88888888888891</v>
      </c>
      <c r="AO21" s="120">
        <f t="shared" si="53"/>
        <v>50000000</v>
      </c>
      <c r="AP21" s="121">
        <v>2.9700000000000001E-2</v>
      </c>
      <c r="AQ21" s="87">
        <f t="shared" si="12"/>
        <v>4125</v>
      </c>
      <c r="AR21" s="120"/>
      <c r="AS21" s="121"/>
      <c r="AT21" s="87">
        <f t="shared" si="13"/>
        <v>0</v>
      </c>
      <c r="AW21" s="87">
        <f t="shared" si="14"/>
        <v>0</v>
      </c>
      <c r="AZ21" s="87">
        <f t="shared" si="15"/>
        <v>0</v>
      </c>
      <c r="BC21" s="87">
        <f t="shared" si="16"/>
        <v>0</v>
      </c>
      <c r="BF21" s="87">
        <f t="shared" si="17"/>
        <v>0</v>
      </c>
      <c r="BI21" s="87">
        <f t="shared" si="18"/>
        <v>0</v>
      </c>
      <c r="BL21" s="87">
        <f t="shared" si="19"/>
        <v>0</v>
      </c>
      <c r="BO21" s="87">
        <f t="shared" si="20"/>
        <v>0</v>
      </c>
      <c r="BR21" s="87">
        <f t="shared" si="21"/>
        <v>0</v>
      </c>
      <c r="BU21" s="87">
        <f t="shared" si="22"/>
        <v>0</v>
      </c>
      <c r="BX21" s="87">
        <f t="shared" si="23"/>
        <v>0</v>
      </c>
      <c r="CA21" s="87">
        <f t="shared" si="24"/>
        <v>0</v>
      </c>
      <c r="CD21" s="87">
        <f t="shared" si="25"/>
        <v>0</v>
      </c>
      <c r="CG21" s="87">
        <f t="shared" si="26"/>
        <v>0</v>
      </c>
      <c r="CJ21" s="87">
        <f t="shared" si="27"/>
        <v>0</v>
      </c>
      <c r="CM21" s="87">
        <f t="shared" si="28"/>
        <v>0</v>
      </c>
      <c r="CP21" s="87">
        <f t="shared" si="29"/>
        <v>0</v>
      </c>
      <c r="CS21" s="87">
        <f t="shared" si="30"/>
        <v>0</v>
      </c>
      <c r="CV21" s="87">
        <f t="shared" si="31"/>
        <v>0</v>
      </c>
      <c r="CY21" s="87">
        <f t="shared" si="32"/>
        <v>0</v>
      </c>
      <c r="DB21" s="87">
        <f t="shared" si="33"/>
        <v>0</v>
      </c>
      <c r="DE21" s="87">
        <f t="shared" si="34"/>
        <v>0</v>
      </c>
      <c r="DH21" s="87">
        <f t="shared" si="35"/>
        <v>0</v>
      </c>
      <c r="DK21" s="87">
        <f t="shared" si="36"/>
        <v>0</v>
      </c>
      <c r="DN21" s="87">
        <f t="shared" si="37"/>
        <v>0</v>
      </c>
      <c r="DQ21" s="87">
        <f t="shared" si="38"/>
        <v>0</v>
      </c>
      <c r="DT21" s="87">
        <f t="shared" si="39"/>
        <v>0</v>
      </c>
      <c r="DW21" s="87">
        <f t="shared" si="40"/>
        <v>0</v>
      </c>
      <c r="DZ21" s="87"/>
      <c r="EA21" s="87"/>
      <c r="EB21" s="122">
        <f t="shared" si="41"/>
        <v>92400000</v>
      </c>
      <c r="EC21" s="122">
        <f t="shared" si="42"/>
        <v>0</v>
      </c>
      <c r="ED21" s="87">
        <f t="shared" si="43"/>
        <v>7318.8888888888887</v>
      </c>
      <c r="EE21" s="88">
        <f t="shared" si="44"/>
        <v>2.8515151515151518E-2</v>
      </c>
      <c r="EG21" s="122">
        <f t="shared" si="45"/>
        <v>0</v>
      </c>
      <c r="EH21" s="87">
        <f t="shared" si="46"/>
        <v>0</v>
      </c>
      <c r="EI21" s="88">
        <f t="shared" si="47"/>
        <v>0</v>
      </c>
      <c r="EJ21" s="88"/>
      <c r="EK21" s="122">
        <f t="shared" si="48"/>
        <v>92400000</v>
      </c>
      <c r="EL21" s="122">
        <f t="shared" si="49"/>
        <v>0</v>
      </c>
      <c r="EM21" s="122">
        <f t="shared" si="50"/>
        <v>7318.8888888888887</v>
      </c>
      <c r="EN21" s="88">
        <f t="shared" si="51"/>
        <v>2.8515151515151518E-2</v>
      </c>
    </row>
    <row r="22" spans="1:144" x14ac:dyDescent="0.25">
      <c r="A22" s="35">
        <f t="shared" si="52"/>
        <v>43476</v>
      </c>
      <c r="D22" s="87">
        <f t="shared" si="1"/>
        <v>0</v>
      </c>
      <c r="G22" s="87">
        <f t="shared" si="2"/>
        <v>0</v>
      </c>
      <c r="J22" s="87">
        <f t="shared" si="3"/>
        <v>0</v>
      </c>
      <c r="M22" s="87">
        <f t="shared" si="4"/>
        <v>0</v>
      </c>
      <c r="P22" s="87">
        <f t="shared" si="5"/>
        <v>0</v>
      </c>
      <c r="S22" s="87">
        <f t="shared" si="6"/>
        <v>0</v>
      </c>
      <c r="V22" s="87">
        <f t="shared" si="7"/>
        <v>0</v>
      </c>
      <c r="Y22" s="87">
        <f t="shared" si="8"/>
        <v>0</v>
      </c>
      <c r="AB22" s="87">
        <f t="shared" si="9"/>
        <v>0</v>
      </c>
      <c r="AE22" s="87">
        <v>0</v>
      </c>
      <c r="AH22" s="87">
        <v>0</v>
      </c>
      <c r="AI22" s="120">
        <f>31575000</f>
        <v>31575000</v>
      </c>
      <c r="AJ22" s="121">
        <v>2.7E-2</v>
      </c>
      <c r="AK22" s="87">
        <f t="shared" si="10"/>
        <v>2368.125</v>
      </c>
      <c r="AL22" s="120">
        <f t="shared" si="0"/>
        <v>5000000</v>
      </c>
      <c r="AM22" s="121">
        <v>2.8000000000000001E-2</v>
      </c>
      <c r="AN22" s="87">
        <f t="shared" si="11"/>
        <v>388.88888888888891</v>
      </c>
      <c r="AO22" s="120">
        <f t="shared" si="53"/>
        <v>50000000</v>
      </c>
      <c r="AP22" s="121">
        <v>2.9700000000000001E-2</v>
      </c>
      <c r="AQ22" s="87">
        <f t="shared" si="12"/>
        <v>4125</v>
      </c>
      <c r="AR22" s="120"/>
      <c r="AS22" s="121"/>
      <c r="AT22" s="87">
        <f t="shared" si="13"/>
        <v>0</v>
      </c>
      <c r="AW22" s="87">
        <f t="shared" si="14"/>
        <v>0</v>
      </c>
      <c r="AZ22" s="87">
        <f t="shared" si="15"/>
        <v>0</v>
      </c>
      <c r="BC22" s="87">
        <f t="shared" si="16"/>
        <v>0</v>
      </c>
      <c r="BF22" s="87">
        <f t="shared" si="17"/>
        <v>0</v>
      </c>
      <c r="BI22" s="87">
        <f t="shared" si="18"/>
        <v>0</v>
      </c>
      <c r="BL22" s="87">
        <f t="shared" si="19"/>
        <v>0</v>
      </c>
      <c r="BO22" s="87">
        <f t="shared" si="20"/>
        <v>0</v>
      </c>
      <c r="BR22" s="87">
        <f t="shared" si="21"/>
        <v>0</v>
      </c>
      <c r="BU22" s="87">
        <f t="shared" si="22"/>
        <v>0</v>
      </c>
      <c r="BX22" s="87">
        <f t="shared" si="23"/>
        <v>0</v>
      </c>
      <c r="CA22" s="87">
        <f t="shared" si="24"/>
        <v>0</v>
      </c>
      <c r="CD22" s="87">
        <f t="shared" si="25"/>
        <v>0</v>
      </c>
      <c r="CG22" s="87">
        <f t="shared" si="26"/>
        <v>0</v>
      </c>
      <c r="CJ22" s="87">
        <f t="shared" si="27"/>
        <v>0</v>
      </c>
      <c r="CM22" s="87">
        <f t="shared" si="28"/>
        <v>0</v>
      </c>
      <c r="CP22" s="87">
        <f t="shared" si="29"/>
        <v>0</v>
      </c>
      <c r="CS22" s="87">
        <f t="shared" si="30"/>
        <v>0</v>
      </c>
      <c r="CV22" s="87">
        <f t="shared" si="31"/>
        <v>0</v>
      </c>
      <c r="CY22" s="87">
        <f t="shared" si="32"/>
        <v>0</v>
      </c>
      <c r="DB22" s="87">
        <f t="shared" si="33"/>
        <v>0</v>
      </c>
      <c r="DE22" s="87">
        <f t="shared" si="34"/>
        <v>0</v>
      </c>
      <c r="DH22" s="87">
        <f t="shared" si="35"/>
        <v>0</v>
      </c>
      <c r="DK22" s="87">
        <f t="shared" si="36"/>
        <v>0</v>
      </c>
      <c r="DN22" s="87">
        <f t="shared" si="37"/>
        <v>0</v>
      </c>
      <c r="DQ22" s="87">
        <f t="shared" si="38"/>
        <v>0</v>
      </c>
      <c r="DT22" s="87">
        <f t="shared" si="39"/>
        <v>0</v>
      </c>
      <c r="DW22" s="87">
        <f t="shared" si="40"/>
        <v>0</v>
      </c>
      <c r="DZ22" s="87"/>
      <c r="EA22" s="87"/>
      <c r="EB22" s="122">
        <f t="shared" si="41"/>
        <v>86575000</v>
      </c>
      <c r="EC22" s="122">
        <f t="shared" si="42"/>
        <v>0</v>
      </c>
      <c r="ED22" s="87">
        <f t="shared" si="43"/>
        <v>6882.0138888888887</v>
      </c>
      <c r="EE22" s="88">
        <f t="shared" si="44"/>
        <v>2.8617095004331503E-2</v>
      </c>
      <c r="EG22" s="122">
        <f t="shared" si="45"/>
        <v>0</v>
      </c>
      <c r="EH22" s="87">
        <f t="shared" si="46"/>
        <v>0</v>
      </c>
      <c r="EI22" s="88">
        <f t="shared" si="47"/>
        <v>0</v>
      </c>
      <c r="EJ22" s="88"/>
      <c r="EK22" s="122">
        <f t="shared" si="48"/>
        <v>86575000</v>
      </c>
      <c r="EL22" s="122">
        <f t="shared" si="49"/>
        <v>0</v>
      </c>
      <c r="EM22" s="122">
        <f t="shared" si="50"/>
        <v>6882.0138888888887</v>
      </c>
      <c r="EN22" s="88">
        <f t="shared" si="51"/>
        <v>2.8617095004331503E-2</v>
      </c>
    </row>
    <row r="23" spans="1:144" x14ac:dyDescent="0.25">
      <c r="A23" s="35">
        <f t="shared" si="52"/>
        <v>43477</v>
      </c>
      <c r="D23" s="87">
        <f t="shared" si="1"/>
        <v>0</v>
      </c>
      <c r="G23" s="87">
        <f t="shared" si="2"/>
        <v>0</v>
      </c>
      <c r="J23" s="87">
        <f t="shared" si="3"/>
        <v>0</v>
      </c>
      <c r="M23" s="87">
        <f t="shared" si="4"/>
        <v>0</v>
      </c>
      <c r="P23" s="87">
        <f t="shared" si="5"/>
        <v>0</v>
      </c>
      <c r="S23" s="87">
        <f t="shared" si="6"/>
        <v>0</v>
      </c>
      <c r="V23" s="87">
        <f t="shared" si="7"/>
        <v>0</v>
      </c>
      <c r="Y23" s="87">
        <f t="shared" si="8"/>
        <v>0</v>
      </c>
      <c r="AB23" s="87">
        <f t="shared" si="9"/>
        <v>0</v>
      </c>
      <c r="AE23" s="87">
        <v>0</v>
      </c>
      <c r="AH23" s="87">
        <v>0</v>
      </c>
      <c r="AI23" s="120">
        <f>31575000</f>
        <v>31575000</v>
      </c>
      <c r="AJ23" s="121">
        <v>2.7E-2</v>
      </c>
      <c r="AK23" s="87">
        <f t="shared" si="10"/>
        <v>2368.125</v>
      </c>
      <c r="AL23" s="120">
        <f t="shared" si="0"/>
        <v>5000000</v>
      </c>
      <c r="AM23" s="121">
        <v>2.8000000000000001E-2</v>
      </c>
      <c r="AN23" s="87">
        <f t="shared" si="11"/>
        <v>388.88888888888891</v>
      </c>
      <c r="AO23" s="120">
        <f t="shared" si="53"/>
        <v>50000000</v>
      </c>
      <c r="AP23" s="121">
        <v>2.9700000000000001E-2</v>
      </c>
      <c r="AQ23" s="87">
        <f t="shared" si="12"/>
        <v>4125</v>
      </c>
      <c r="AR23" s="120"/>
      <c r="AS23" s="121"/>
      <c r="AT23" s="87">
        <f t="shared" si="13"/>
        <v>0</v>
      </c>
      <c r="AW23" s="87">
        <f t="shared" si="14"/>
        <v>0</v>
      </c>
      <c r="AZ23" s="87">
        <f t="shared" si="15"/>
        <v>0</v>
      </c>
      <c r="BC23" s="87">
        <f t="shared" si="16"/>
        <v>0</v>
      </c>
      <c r="BF23" s="87">
        <f t="shared" si="17"/>
        <v>0</v>
      </c>
      <c r="BI23" s="87">
        <f t="shared" si="18"/>
        <v>0</v>
      </c>
      <c r="BL23" s="87">
        <f t="shared" si="19"/>
        <v>0</v>
      </c>
      <c r="BO23" s="87">
        <f t="shared" si="20"/>
        <v>0</v>
      </c>
      <c r="BR23" s="87">
        <f t="shared" si="21"/>
        <v>0</v>
      </c>
      <c r="BU23" s="87">
        <f t="shared" si="22"/>
        <v>0</v>
      </c>
      <c r="BX23" s="87">
        <f t="shared" si="23"/>
        <v>0</v>
      </c>
      <c r="CA23" s="87">
        <f t="shared" si="24"/>
        <v>0</v>
      </c>
      <c r="CD23" s="87">
        <f t="shared" si="25"/>
        <v>0</v>
      </c>
      <c r="CG23" s="87">
        <f t="shared" si="26"/>
        <v>0</v>
      </c>
      <c r="CJ23" s="87">
        <f t="shared" si="27"/>
        <v>0</v>
      </c>
      <c r="CM23" s="87">
        <f t="shared" si="28"/>
        <v>0</v>
      </c>
      <c r="CP23" s="87">
        <f t="shared" si="29"/>
        <v>0</v>
      </c>
      <c r="CS23" s="87">
        <f t="shared" si="30"/>
        <v>0</v>
      </c>
      <c r="CV23" s="87">
        <f t="shared" si="31"/>
        <v>0</v>
      </c>
      <c r="CY23" s="87">
        <f t="shared" si="32"/>
        <v>0</v>
      </c>
      <c r="DB23" s="87">
        <f t="shared" si="33"/>
        <v>0</v>
      </c>
      <c r="DE23" s="87">
        <f t="shared" si="34"/>
        <v>0</v>
      </c>
      <c r="DH23" s="87">
        <f t="shared" si="35"/>
        <v>0</v>
      </c>
      <c r="DK23" s="87">
        <f t="shared" si="36"/>
        <v>0</v>
      </c>
      <c r="DN23" s="87">
        <f t="shared" si="37"/>
        <v>0</v>
      </c>
      <c r="DQ23" s="87">
        <f t="shared" si="38"/>
        <v>0</v>
      </c>
      <c r="DT23" s="87">
        <f t="shared" si="39"/>
        <v>0</v>
      </c>
      <c r="DW23" s="87">
        <f t="shared" si="40"/>
        <v>0</v>
      </c>
      <c r="DZ23" s="87"/>
      <c r="EA23" s="87"/>
      <c r="EB23" s="122">
        <f t="shared" si="41"/>
        <v>86575000</v>
      </c>
      <c r="EC23" s="122">
        <f t="shared" si="42"/>
        <v>0</v>
      </c>
      <c r="ED23" s="87">
        <f t="shared" si="43"/>
        <v>6882.0138888888887</v>
      </c>
      <c r="EE23" s="88">
        <f t="shared" si="44"/>
        <v>2.8617095004331503E-2</v>
      </c>
      <c r="EG23" s="122">
        <f t="shared" si="45"/>
        <v>0</v>
      </c>
      <c r="EH23" s="87">
        <f t="shared" si="46"/>
        <v>0</v>
      </c>
      <c r="EI23" s="88">
        <f t="shared" si="47"/>
        <v>0</v>
      </c>
      <c r="EJ23" s="88"/>
      <c r="EK23" s="122">
        <f t="shared" si="48"/>
        <v>86575000</v>
      </c>
      <c r="EL23" s="122">
        <f t="shared" si="49"/>
        <v>0</v>
      </c>
      <c r="EM23" s="122">
        <f t="shared" si="50"/>
        <v>6882.0138888888887</v>
      </c>
      <c r="EN23" s="88">
        <f t="shared" si="51"/>
        <v>2.8617095004331503E-2</v>
      </c>
    </row>
    <row r="24" spans="1:144" x14ac:dyDescent="0.25">
      <c r="A24" s="35">
        <f t="shared" si="52"/>
        <v>43478</v>
      </c>
      <c r="D24" s="87">
        <f t="shared" si="1"/>
        <v>0</v>
      </c>
      <c r="G24" s="87">
        <f t="shared" si="2"/>
        <v>0</v>
      </c>
      <c r="J24" s="87">
        <f t="shared" si="3"/>
        <v>0</v>
      </c>
      <c r="M24" s="87">
        <f t="shared" si="4"/>
        <v>0</v>
      </c>
      <c r="P24" s="87">
        <f t="shared" si="5"/>
        <v>0</v>
      </c>
      <c r="S24" s="87">
        <f t="shared" si="6"/>
        <v>0</v>
      </c>
      <c r="V24" s="87">
        <f t="shared" si="7"/>
        <v>0</v>
      </c>
      <c r="Y24" s="87">
        <f t="shared" si="8"/>
        <v>0</v>
      </c>
      <c r="AB24" s="87">
        <f t="shared" si="9"/>
        <v>0</v>
      </c>
      <c r="AE24" s="87">
        <v>0</v>
      </c>
      <c r="AH24" s="87">
        <v>0</v>
      </c>
      <c r="AI24" s="120">
        <f>31575000</f>
        <v>31575000</v>
      </c>
      <c r="AJ24" s="121">
        <v>2.7E-2</v>
      </c>
      <c r="AK24" s="87">
        <f t="shared" si="10"/>
        <v>2368.125</v>
      </c>
      <c r="AL24" s="120">
        <f t="shared" si="0"/>
        <v>5000000</v>
      </c>
      <c r="AM24" s="121">
        <v>2.8000000000000001E-2</v>
      </c>
      <c r="AN24" s="87">
        <f t="shared" si="11"/>
        <v>388.88888888888891</v>
      </c>
      <c r="AO24" s="120">
        <f t="shared" si="53"/>
        <v>50000000</v>
      </c>
      <c r="AP24" s="121">
        <v>2.9700000000000001E-2</v>
      </c>
      <c r="AQ24" s="87">
        <f t="shared" si="12"/>
        <v>4125</v>
      </c>
      <c r="AR24" s="120"/>
      <c r="AS24" s="121"/>
      <c r="AT24" s="87">
        <f t="shared" si="13"/>
        <v>0</v>
      </c>
      <c r="AW24" s="87">
        <f t="shared" si="14"/>
        <v>0</v>
      </c>
      <c r="AZ24" s="87">
        <f t="shared" si="15"/>
        <v>0</v>
      </c>
      <c r="BC24" s="87">
        <f t="shared" si="16"/>
        <v>0</v>
      </c>
      <c r="BF24" s="87">
        <f t="shared" si="17"/>
        <v>0</v>
      </c>
      <c r="BI24" s="87">
        <f t="shared" si="18"/>
        <v>0</v>
      </c>
      <c r="BL24" s="87">
        <f t="shared" si="19"/>
        <v>0</v>
      </c>
      <c r="BO24" s="87">
        <f t="shared" si="20"/>
        <v>0</v>
      </c>
      <c r="BR24" s="87">
        <f t="shared" si="21"/>
        <v>0</v>
      </c>
      <c r="BU24" s="87">
        <f t="shared" si="22"/>
        <v>0</v>
      </c>
      <c r="BX24" s="87">
        <f t="shared" si="23"/>
        <v>0</v>
      </c>
      <c r="CA24" s="87">
        <f t="shared" si="24"/>
        <v>0</v>
      </c>
      <c r="CD24" s="87">
        <f t="shared" si="25"/>
        <v>0</v>
      </c>
      <c r="CG24" s="87">
        <f t="shared" si="26"/>
        <v>0</v>
      </c>
      <c r="CJ24" s="87">
        <f t="shared" si="27"/>
        <v>0</v>
      </c>
      <c r="CM24" s="87">
        <f t="shared" si="28"/>
        <v>0</v>
      </c>
      <c r="CP24" s="87">
        <f t="shared" si="29"/>
        <v>0</v>
      </c>
      <c r="CS24" s="87">
        <f t="shared" si="30"/>
        <v>0</v>
      </c>
      <c r="CV24" s="87">
        <f t="shared" si="31"/>
        <v>0</v>
      </c>
      <c r="CY24" s="87">
        <f t="shared" si="32"/>
        <v>0</v>
      </c>
      <c r="DB24" s="87">
        <f t="shared" si="33"/>
        <v>0</v>
      </c>
      <c r="DE24" s="87">
        <f t="shared" si="34"/>
        <v>0</v>
      </c>
      <c r="DH24" s="87">
        <f t="shared" si="35"/>
        <v>0</v>
      </c>
      <c r="DK24" s="87">
        <f t="shared" si="36"/>
        <v>0</v>
      </c>
      <c r="DN24" s="87">
        <f t="shared" si="37"/>
        <v>0</v>
      </c>
      <c r="DQ24" s="87">
        <f t="shared" si="38"/>
        <v>0</v>
      </c>
      <c r="DT24" s="87">
        <f t="shared" si="39"/>
        <v>0</v>
      </c>
      <c r="DW24" s="87">
        <f t="shared" si="40"/>
        <v>0</v>
      </c>
      <c r="DZ24" s="87"/>
      <c r="EA24" s="87"/>
      <c r="EB24" s="122">
        <f t="shared" si="41"/>
        <v>86575000</v>
      </c>
      <c r="EC24" s="122">
        <f t="shared" si="42"/>
        <v>0</v>
      </c>
      <c r="ED24" s="87">
        <f t="shared" si="43"/>
        <v>6882.0138888888887</v>
      </c>
      <c r="EE24" s="88">
        <f t="shared" si="44"/>
        <v>2.8617095004331503E-2</v>
      </c>
      <c r="EG24" s="122">
        <f t="shared" si="45"/>
        <v>0</v>
      </c>
      <c r="EH24" s="87">
        <f t="shared" si="46"/>
        <v>0</v>
      </c>
      <c r="EI24" s="88">
        <f t="shared" si="47"/>
        <v>0</v>
      </c>
      <c r="EJ24" s="88"/>
      <c r="EK24" s="122">
        <f t="shared" si="48"/>
        <v>86575000</v>
      </c>
      <c r="EL24" s="122">
        <f t="shared" si="49"/>
        <v>0</v>
      </c>
      <c r="EM24" s="122">
        <f t="shared" si="50"/>
        <v>6882.0138888888887</v>
      </c>
      <c r="EN24" s="88">
        <f t="shared" si="51"/>
        <v>2.8617095004331503E-2</v>
      </c>
    </row>
    <row r="25" spans="1:144" x14ac:dyDescent="0.25">
      <c r="A25" s="35">
        <f t="shared" si="52"/>
        <v>43479</v>
      </c>
      <c r="D25" s="87">
        <f t="shared" si="1"/>
        <v>0</v>
      </c>
      <c r="G25" s="87">
        <f t="shared" si="2"/>
        <v>0</v>
      </c>
      <c r="J25" s="87">
        <f t="shared" si="3"/>
        <v>0</v>
      </c>
      <c r="M25" s="87">
        <f t="shared" si="4"/>
        <v>0</v>
      </c>
      <c r="P25" s="87">
        <f t="shared" si="5"/>
        <v>0</v>
      </c>
      <c r="S25" s="87">
        <f t="shared" si="6"/>
        <v>0</v>
      </c>
      <c r="V25" s="87">
        <f t="shared" si="7"/>
        <v>0</v>
      </c>
      <c r="Y25" s="87">
        <f t="shared" si="8"/>
        <v>0</v>
      </c>
      <c r="AB25" s="87">
        <f t="shared" si="9"/>
        <v>0</v>
      </c>
      <c r="AE25" s="87">
        <v>0</v>
      </c>
      <c r="AH25" s="87">
        <v>0</v>
      </c>
      <c r="AI25" s="120">
        <f>37225000</f>
        <v>37225000</v>
      </c>
      <c r="AJ25" s="121">
        <v>2.7E-2</v>
      </c>
      <c r="AK25" s="87">
        <f t="shared" si="10"/>
        <v>2791.875</v>
      </c>
      <c r="AL25" s="120">
        <f t="shared" si="0"/>
        <v>5000000</v>
      </c>
      <c r="AM25" s="121">
        <v>2.8000000000000001E-2</v>
      </c>
      <c r="AN25" s="87">
        <f t="shared" si="11"/>
        <v>388.88888888888891</v>
      </c>
      <c r="AO25" s="120">
        <f t="shared" si="53"/>
        <v>50000000</v>
      </c>
      <c r="AP25" s="121">
        <v>2.9700000000000001E-2</v>
      </c>
      <c r="AQ25" s="87">
        <f t="shared" si="12"/>
        <v>4125</v>
      </c>
      <c r="AR25" s="120">
        <f t="shared" ref="AR25:AR42" si="54">50000000</f>
        <v>50000000</v>
      </c>
      <c r="AS25" s="121">
        <v>2.9499999999999998E-2</v>
      </c>
      <c r="AT25" s="87">
        <f t="shared" si="13"/>
        <v>4097.2222222222226</v>
      </c>
      <c r="AW25" s="87">
        <f t="shared" si="14"/>
        <v>0</v>
      </c>
      <c r="AZ25" s="87">
        <f t="shared" si="15"/>
        <v>0</v>
      </c>
      <c r="BC25" s="87">
        <f t="shared" si="16"/>
        <v>0</v>
      </c>
      <c r="BF25" s="87">
        <f t="shared" si="17"/>
        <v>0</v>
      </c>
      <c r="BI25" s="87">
        <f t="shared" si="18"/>
        <v>0</v>
      </c>
      <c r="BL25" s="87">
        <f t="shared" si="19"/>
        <v>0</v>
      </c>
      <c r="BO25" s="87">
        <f t="shared" si="20"/>
        <v>0</v>
      </c>
      <c r="BR25" s="87">
        <f t="shared" si="21"/>
        <v>0</v>
      </c>
      <c r="BU25" s="87">
        <f t="shared" si="22"/>
        <v>0</v>
      </c>
      <c r="BX25" s="87">
        <f t="shared" si="23"/>
        <v>0</v>
      </c>
      <c r="CA25" s="87">
        <f t="shared" si="24"/>
        <v>0</v>
      </c>
      <c r="CD25" s="87">
        <f t="shared" si="25"/>
        <v>0</v>
      </c>
      <c r="CG25" s="87">
        <f t="shared" si="26"/>
        <v>0</v>
      </c>
      <c r="CJ25" s="87">
        <f t="shared" si="27"/>
        <v>0</v>
      </c>
      <c r="CM25" s="87">
        <f t="shared" si="28"/>
        <v>0</v>
      </c>
      <c r="CP25" s="87">
        <f t="shared" si="29"/>
        <v>0</v>
      </c>
      <c r="CS25" s="87">
        <f t="shared" si="30"/>
        <v>0</v>
      </c>
      <c r="CV25" s="87">
        <f t="shared" si="31"/>
        <v>0</v>
      </c>
      <c r="CY25" s="87">
        <f t="shared" si="32"/>
        <v>0</v>
      </c>
      <c r="DB25" s="87">
        <f t="shared" si="33"/>
        <v>0</v>
      </c>
      <c r="DE25" s="87">
        <f t="shared" si="34"/>
        <v>0</v>
      </c>
      <c r="DH25" s="87">
        <f t="shared" si="35"/>
        <v>0</v>
      </c>
      <c r="DK25" s="87">
        <f t="shared" si="36"/>
        <v>0</v>
      </c>
      <c r="DN25" s="87">
        <f t="shared" si="37"/>
        <v>0</v>
      </c>
      <c r="DQ25" s="87">
        <f t="shared" si="38"/>
        <v>0</v>
      </c>
      <c r="DT25" s="87">
        <f t="shared" si="39"/>
        <v>0</v>
      </c>
      <c r="DW25" s="87">
        <f t="shared" si="40"/>
        <v>0</v>
      </c>
      <c r="DZ25" s="87"/>
      <c r="EA25" s="87"/>
      <c r="EB25" s="122">
        <f t="shared" si="41"/>
        <v>142225000</v>
      </c>
      <c r="EC25" s="122">
        <f t="shared" si="42"/>
        <v>0</v>
      </c>
      <c r="ED25" s="87">
        <f t="shared" si="43"/>
        <v>11402.986111111111</v>
      </c>
      <c r="EE25" s="88">
        <f t="shared" si="44"/>
        <v>2.8863244858498855E-2</v>
      </c>
      <c r="EG25" s="122">
        <f t="shared" si="45"/>
        <v>0</v>
      </c>
      <c r="EH25" s="87">
        <f t="shared" si="46"/>
        <v>0</v>
      </c>
      <c r="EI25" s="88">
        <f t="shared" si="47"/>
        <v>0</v>
      </c>
      <c r="EJ25" s="88"/>
      <c r="EK25" s="122">
        <f t="shared" si="48"/>
        <v>142225000</v>
      </c>
      <c r="EL25" s="122">
        <f t="shared" si="49"/>
        <v>0</v>
      </c>
      <c r="EM25" s="122">
        <f t="shared" si="50"/>
        <v>11402.986111111111</v>
      </c>
      <c r="EN25" s="88">
        <f t="shared" si="51"/>
        <v>2.8863244858498855E-2</v>
      </c>
    </row>
    <row r="26" spans="1:144" x14ac:dyDescent="0.25">
      <c r="A26" s="35">
        <f t="shared" si="52"/>
        <v>43480</v>
      </c>
      <c r="D26" s="87">
        <f t="shared" si="1"/>
        <v>0</v>
      </c>
      <c r="G26" s="87">
        <f t="shared" si="2"/>
        <v>0</v>
      </c>
      <c r="J26" s="87">
        <f t="shared" si="3"/>
        <v>0</v>
      </c>
      <c r="M26" s="87">
        <f t="shared" si="4"/>
        <v>0</v>
      </c>
      <c r="P26" s="87">
        <f t="shared" si="5"/>
        <v>0</v>
      </c>
      <c r="S26" s="87">
        <f t="shared" si="6"/>
        <v>0</v>
      </c>
      <c r="V26" s="87">
        <f t="shared" si="7"/>
        <v>0</v>
      </c>
      <c r="Y26" s="87">
        <f t="shared" si="8"/>
        <v>0</v>
      </c>
      <c r="AB26" s="87">
        <f t="shared" si="9"/>
        <v>0</v>
      </c>
      <c r="AE26" s="87">
        <v>0</v>
      </c>
      <c r="AH26" s="87">
        <v>0</v>
      </c>
      <c r="AI26" s="120">
        <f>76000000</f>
        <v>76000000</v>
      </c>
      <c r="AJ26" s="121">
        <v>2.7E-2</v>
      </c>
      <c r="AK26" s="87">
        <f t="shared" si="10"/>
        <v>5700</v>
      </c>
      <c r="AL26" s="120"/>
      <c r="AM26" s="121"/>
      <c r="AN26" s="87">
        <f t="shared" si="11"/>
        <v>0</v>
      </c>
      <c r="AO26" s="120">
        <f t="shared" si="53"/>
        <v>50000000</v>
      </c>
      <c r="AP26" s="121">
        <v>2.9700000000000001E-2</v>
      </c>
      <c r="AQ26" s="87">
        <f t="shared" si="12"/>
        <v>4125</v>
      </c>
      <c r="AR26" s="120">
        <f t="shared" si="54"/>
        <v>50000000</v>
      </c>
      <c r="AS26" s="121">
        <v>2.9499999999999998E-2</v>
      </c>
      <c r="AT26" s="87">
        <f t="shared" si="13"/>
        <v>4097.2222222222226</v>
      </c>
      <c r="AW26" s="87">
        <f t="shared" si="14"/>
        <v>0</v>
      </c>
      <c r="AZ26" s="87">
        <f t="shared" si="15"/>
        <v>0</v>
      </c>
      <c r="BC26" s="87">
        <f t="shared" si="16"/>
        <v>0</v>
      </c>
      <c r="BF26" s="87">
        <f t="shared" si="17"/>
        <v>0</v>
      </c>
      <c r="BI26" s="87">
        <f t="shared" si="18"/>
        <v>0</v>
      </c>
      <c r="BL26" s="87">
        <f t="shared" si="19"/>
        <v>0</v>
      </c>
      <c r="BO26" s="87">
        <f t="shared" si="20"/>
        <v>0</v>
      </c>
      <c r="BR26" s="87">
        <f t="shared" si="21"/>
        <v>0</v>
      </c>
      <c r="BU26" s="87">
        <f t="shared" si="22"/>
        <v>0</v>
      </c>
      <c r="BX26" s="87">
        <f t="shared" si="23"/>
        <v>0</v>
      </c>
      <c r="CA26" s="87">
        <f t="shared" si="24"/>
        <v>0</v>
      </c>
      <c r="CD26" s="87">
        <f t="shared" si="25"/>
        <v>0</v>
      </c>
      <c r="CG26" s="87">
        <f t="shared" si="26"/>
        <v>0</v>
      </c>
      <c r="CJ26" s="87">
        <f t="shared" si="27"/>
        <v>0</v>
      </c>
      <c r="CM26" s="87">
        <f t="shared" si="28"/>
        <v>0</v>
      </c>
      <c r="CP26" s="87">
        <f t="shared" si="29"/>
        <v>0</v>
      </c>
      <c r="CS26" s="87">
        <f t="shared" si="30"/>
        <v>0</v>
      </c>
      <c r="CV26" s="87">
        <f t="shared" si="31"/>
        <v>0</v>
      </c>
      <c r="CY26" s="87">
        <f t="shared" si="32"/>
        <v>0</v>
      </c>
      <c r="DB26" s="87">
        <f t="shared" si="33"/>
        <v>0</v>
      </c>
      <c r="DE26" s="87">
        <f t="shared" si="34"/>
        <v>0</v>
      </c>
      <c r="DH26" s="87">
        <f t="shared" si="35"/>
        <v>0</v>
      </c>
      <c r="DK26" s="87">
        <f t="shared" si="36"/>
        <v>0</v>
      </c>
      <c r="DN26" s="87">
        <f t="shared" si="37"/>
        <v>0</v>
      </c>
      <c r="DQ26" s="87">
        <f t="shared" si="38"/>
        <v>0</v>
      </c>
      <c r="DT26" s="87">
        <f t="shared" si="39"/>
        <v>0</v>
      </c>
      <c r="DW26" s="87">
        <f t="shared" si="40"/>
        <v>0</v>
      </c>
      <c r="DZ26" s="87"/>
      <c r="EA26" s="87"/>
      <c r="EB26" s="122">
        <f t="shared" si="41"/>
        <v>176000000</v>
      </c>
      <c r="EC26" s="122">
        <f t="shared" si="42"/>
        <v>0</v>
      </c>
      <c r="ED26" s="87">
        <f t="shared" si="43"/>
        <v>13922.222222222223</v>
      </c>
      <c r="EE26" s="88">
        <f t="shared" si="44"/>
        <v>2.8477272727272726E-2</v>
      </c>
      <c r="EG26" s="122">
        <f t="shared" si="45"/>
        <v>0</v>
      </c>
      <c r="EH26" s="87">
        <f t="shared" si="46"/>
        <v>0</v>
      </c>
      <c r="EI26" s="88">
        <f t="shared" si="47"/>
        <v>0</v>
      </c>
      <c r="EJ26" s="88"/>
      <c r="EK26" s="122">
        <f t="shared" si="48"/>
        <v>176000000</v>
      </c>
      <c r="EL26" s="122">
        <f t="shared" si="49"/>
        <v>0</v>
      </c>
      <c r="EM26" s="122">
        <f t="shared" si="50"/>
        <v>13922.222222222223</v>
      </c>
      <c r="EN26" s="88">
        <f t="shared" si="51"/>
        <v>2.8477272727272726E-2</v>
      </c>
    </row>
    <row r="27" spans="1:144" x14ac:dyDescent="0.25">
      <c r="A27" s="35">
        <f t="shared" si="52"/>
        <v>43481</v>
      </c>
      <c r="D27" s="87">
        <f t="shared" si="1"/>
        <v>0</v>
      </c>
      <c r="G27" s="87">
        <f t="shared" si="2"/>
        <v>0</v>
      </c>
      <c r="J27" s="87">
        <f t="shared" si="3"/>
        <v>0</v>
      </c>
      <c r="M27" s="87">
        <f t="shared" si="4"/>
        <v>0</v>
      </c>
      <c r="P27" s="87">
        <f t="shared" si="5"/>
        <v>0</v>
      </c>
      <c r="S27" s="87">
        <f t="shared" si="6"/>
        <v>0</v>
      </c>
      <c r="V27" s="87">
        <f t="shared" si="7"/>
        <v>0</v>
      </c>
      <c r="Y27" s="87">
        <f t="shared" si="8"/>
        <v>0</v>
      </c>
      <c r="AB27" s="87">
        <f t="shared" si="9"/>
        <v>0</v>
      </c>
      <c r="AE27" s="87">
        <v>0</v>
      </c>
      <c r="AH27" s="87">
        <v>0</v>
      </c>
      <c r="AI27" s="120">
        <f>66450000</f>
        <v>66450000</v>
      </c>
      <c r="AJ27" s="121">
        <v>2.7E-2</v>
      </c>
      <c r="AK27" s="87">
        <f t="shared" si="10"/>
        <v>4983.75</v>
      </c>
      <c r="AL27" s="120"/>
      <c r="AM27" s="121"/>
      <c r="AN27" s="87">
        <f t="shared" si="11"/>
        <v>0</v>
      </c>
      <c r="AO27" s="120">
        <f t="shared" si="53"/>
        <v>50000000</v>
      </c>
      <c r="AP27" s="121">
        <v>2.9700000000000001E-2</v>
      </c>
      <c r="AQ27" s="87">
        <f t="shared" si="12"/>
        <v>4125</v>
      </c>
      <c r="AR27" s="120">
        <f t="shared" si="54"/>
        <v>50000000</v>
      </c>
      <c r="AS27" s="121">
        <v>2.9499999999999998E-2</v>
      </c>
      <c r="AT27" s="87">
        <f t="shared" si="13"/>
        <v>4097.2222222222226</v>
      </c>
      <c r="AW27" s="87">
        <f t="shared" si="14"/>
        <v>0</v>
      </c>
      <c r="AZ27" s="87">
        <f t="shared" si="15"/>
        <v>0</v>
      </c>
      <c r="BC27" s="87">
        <f t="shared" si="16"/>
        <v>0</v>
      </c>
      <c r="BF27" s="87">
        <f t="shared" si="17"/>
        <v>0</v>
      </c>
      <c r="BI27" s="87">
        <f t="shared" si="18"/>
        <v>0</v>
      </c>
      <c r="BL27" s="87">
        <f t="shared" si="19"/>
        <v>0</v>
      </c>
      <c r="BO27" s="87">
        <f t="shared" si="20"/>
        <v>0</v>
      </c>
      <c r="BR27" s="87">
        <f t="shared" si="21"/>
        <v>0</v>
      </c>
      <c r="BU27" s="87">
        <f t="shared" si="22"/>
        <v>0</v>
      </c>
      <c r="BX27" s="87">
        <f t="shared" si="23"/>
        <v>0</v>
      </c>
      <c r="CA27" s="87">
        <f t="shared" si="24"/>
        <v>0</v>
      </c>
      <c r="CD27" s="87">
        <f t="shared" si="25"/>
        <v>0</v>
      </c>
      <c r="CG27" s="87">
        <f t="shared" si="26"/>
        <v>0</v>
      </c>
      <c r="CJ27" s="87">
        <f t="shared" si="27"/>
        <v>0</v>
      </c>
      <c r="CM27" s="87">
        <f t="shared" si="28"/>
        <v>0</v>
      </c>
      <c r="CP27" s="87">
        <f t="shared" si="29"/>
        <v>0</v>
      </c>
      <c r="CS27" s="87">
        <f t="shared" si="30"/>
        <v>0</v>
      </c>
      <c r="CV27" s="87">
        <f t="shared" si="31"/>
        <v>0</v>
      </c>
      <c r="CY27" s="87">
        <f t="shared" si="32"/>
        <v>0</v>
      </c>
      <c r="DB27" s="87">
        <f t="shared" si="33"/>
        <v>0</v>
      </c>
      <c r="DE27" s="87">
        <f t="shared" si="34"/>
        <v>0</v>
      </c>
      <c r="DH27" s="87">
        <f t="shared" si="35"/>
        <v>0</v>
      </c>
      <c r="DK27" s="87">
        <f t="shared" si="36"/>
        <v>0</v>
      </c>
      <c r="DN27" s="87">
        <f t="shared" si="37"/>
        <v>0</v>
      </c>
      <c r="DQ27" s="87">
        <f t="shared" si="38"/>
        <v>0</v>
      </c>
      <c r="DT27" s="87">
        <f t="shared" si="39"/>
        <v>0</v>
      </c>
      <c r="DW27" s="87">
        <f t="shared" si="40"/>
        <v>0</v>
      </c>
      <c r="DZ27" s="87"/>
      <c r="EA27" s="87"/>
      <c r="EB27" s="122">
        <f t="shared" si="41"/>
        <v>166450000</v>
      </c>
      <c r="EC27" s="122">
        <f t="shared" si="42"/>
        <v>0</v>
      </c>
      <c r="ED27" s="87">
        <f t="shared" si="43"/>
        <v>13205.972222222223</v>
      </c>
      <c r="EE27" s="88">
        <f t="shared" si="44"/>
        <v>2.856203063983178E-2</v>
      </c>
      <c r="EG27" s="122">
        <f t="shared" si="45"/>
        <v>0</v>
      </c>
      <c r="EH27" s="87">
        <f t="shared" si="46"/>
        <v>0</v>
      </c>
      <c r="EI27" s="88">
        <f t="shared" si="47"/>
        <v>0</v>
      </c>
      <c r="EJ27" s="88"/>
      <c r="EK27" s="122">
        <f t="shared" si="48"/>
        <v>166450000</v>
      </c>
      <c r="EL27" s="122">
        <f t="shared" si="49"/>
        <v>0</v>
      </c>
      <c r="EM27" s="122">
        <f t="shared" si="50"/>
        <v>13205.972222222223</v>
      </c>
      <c r="EN27" s="88">
        <f t="shared" si="51"/>
        <v>2.856203063983178E-2</v>
      </c>
    </row>
    <row r="28" spans="1:144" x14ac:dyDescent="0.25">
      <c r="A28" s="35">
        <f t="shared" si="52"/>
        <v>43482</v>
      </c>
      <c r="D28" s="87">
        <f t="shared" si="1"/>
        <v>0</v>
      </c>
      <c r="G28" s="87">
        <f t="shared" si="2"/>
        <v>0</v>
      </c>
      <c r="J28" s="87">
        <f t="shared" si="3"/>
        <v>0</v>
      </c>
      <c r="M28" s="87">
        <f t="shared" si="4"/>
        <v>0</v>
      </c>
      <c r="P28" s="87">
        <f t="shared" si="5"/>
        <v>0</v>
      </c>
      <c r="S28" s="87">
        <f t="shared" si="6"/>
        <v>0</v>
      </c>
      <c r="V28" s="87">
        <f t="shared" si="7"/>
        <v>0</v>
      </c>
      <c r="Y28" s="87">
        <f t="shared" si="8"/>
        <v>0</v>
      </c>
      <c r="AB28" s="87">
        <f t="shared" si="9"/>
        <v>0</v>
      </c>
      <c r="AE28" s="87">
        <v>0</v>
      </c>
      <c r="AH28" s="87">
        <v>0</v>
      </c>
      <c r="AI28" s="120">
        <f>53475000</f>
        <v>53475000</v>
      </c>
      <c r="AJ28" s="121">
        <v>2.7E-2</v>
      </c>
      <c r="AK28" s="87">
        <f t="shared" si="10"/>
        <v>4010.625</v>
      </c>
      <c r="AL28" s="120"/>
      <c r="AM28" s="121"/>
      <c r="AN28" s="87">
        <f t="shared" si="11"/>
        <v>0</v>
      </c>
      <c r="AO28" s="120">
        <f t="shared" si="53"/>
        <v>50000000</v>
      </c>
      <c r="AP28" s="121">
        <v>2.9700000000000001E-2</v>
      </c>
      <c r="AQ28" s="87">
        <f t="shared" si="12"/>
        <v>4125</v>
      </c>
      <c r="AR28" s="120">
        <f t="shared" si="54"/>
        <v>50000000</v>
      </c>
      <c r="AS28" s="121">
        <v>2.9499999999999998E-2</v>
      </c>
      <c r="AT28" s="87">
        <f t="shared" si="13"/>
        <v>4097.2222222222226</v>
      </c>
      <c r="AW28" s="87">
        <f t="shared" si="14"/>
        <v>0</v>
      </c>
      <c r="AZ28" s="87">
        <f t="shared" si="15"/>
        <v>0</v>
      </c>
      <c r="BC28" s="87">
        <f t="shared" si="16"/>
        <v>0</v>
      </c>
      <c r="BF28" s="87">
        <f t="shared" si="17"/>
        <v>0</v>
      </c>
      <c r="BI28" s="87">
        <f t="shared" si="18"/>
        <v>0</v>
      </c>
      <c r="BL28" s="87">
        <f t="shared" si="19"/>
        <v>0</v>
      </c>
      <c r="BO28" s="87">
        <f t="shared" si="20"/>
        <v>0</v>
      </c>
      <c r="BR28" s="87">
        <f t="shared" si="21"/>
        <v>0</v>
      </c>
      <c r="BU28" s="87">
        <f t="shared" si="22"/>
        <v>0</v>
      </c>
      <c r="BX28" s="87">
        <f t="shared" si="23"/>
        <v>0</v>
      </c>
      <c r="CA28" s="87">
        <f t="shared" si="24"/>
        <v>0</v>
      </c>
      <c r="CD28" s="87">
        <f t="shared" si="25"/>
        <v>0</v>
      </c>
      <c r="CG28" s="87">
        <f t="shared" si="26"/>
        <v>0</v>
      </c>
      <c r="CJ28" s="87">
        <f t="shared" si="27"/>
        <v>0</v>
      </c>
      <c r="CM28" s="87">
        <f t="shared" si="28"/>
        <v>0</v>
      </c>
      <c r="CP28" s="87">
        <f t="shared" si="29"/>
        <v>0</v>
      </c>
      <c r="CS28" s="87">
        <f t="shared" si="30"/>
        <v>0</v>
      </c>
      <c r="CV28" s="87">
        <f t="shared" si="31"/>
        <v>0</v>
      </c>
      <c r="CY28" s="87">
        <f t="shared" si="32"/>
        <v>0</v>
      </c>
      <c r="DB28" s="87">
        <f t="shared" si="33"/>
        <v>0</v>
      </c>
      <c r="DE28" s="87">
        <f t="shared" si="34"/>
        <v>0</v>
      </c>
      <c r="DH28" s="87">
        <f t="shared" si="35"/>
        <v>0</v>
      </c>
      <c r="DK28" s="87">
        <f t="shared" si="36"/>
        <v>0</v>
      </c>
      <c r="DN28" s="87">
        <f t="shared" si="37"/>
        <v>0</v>
      </c>
      <c r="DQ28" s="87">
        <f t="shared" si="38"/>
        <v>0</v>
      </c>
      <c r="DT28" s="87">
        <f t="shared" si="39"/>
        <v>0</v>
      </c>
      <c r="DW28" s="87">
        <f t="shared" si="40"/>
        <v>0</v>
      </c>
      <c r="DZ28" s="87"/>
      <c r="EA28" s="87"/>
      <c r="EB28" s="122">
        <f t="shared" si="41"/>
        <v>153475000</v>
      </c>
      <c r="EC28" s="122">
        <f t="shared" si="42"/>
        <v>0</v>
      </c>
      <c r="ED28" s="87">
        <f t="shared" si="43"/>
        <v>12232.847222222223</v>
      </c>
      <c r="EE28" s="88">
        <f t="shared" si="44"/>
        <v>2.8694086984850955E-2</v>
      </c>
      <c r="EG28" s="122">
        <f t="shared" si="45"/>
        <v>0</v>
      </c>
      <c r="EH28" s="87">
        <f t="shared" si="46"/>
        <v>0</v>
      </c>
      <c r="EI28" s="88">
        <f t="shared" si="47"/>
        <v>0</v>
      </c>
      <c r="EJ28" s="88"/>
      <c r="EK28" s="122">
        <f t="shared" si="48"/>
        <v>153475000</v>
      </c>
      <c r="EL28" s="122">
        <f t="shared" si="49"/>
        <v>0</v>
      </c>
      <c r="EM28" s="122">
        <f t="shared" si="50"/>
        <v>12232.847222222223</v>
      </c>
      <c r="EN28" s="88">
        <f t="shared" si="51"/>
        <v>2.8694086984850955E-2</v>
      </c>
    </row>
    <row r="29" spans="1:144" x14ac:dyDescent="0.25">
      <c r="A29" s="35">
        <f t="shared" si="52"/>
        <v>43483</v>
      </c>
      <c r="D29" s="87">
        <f t="shared" si="1"/>
        <v>0</v>
      </c>
      <c r="G29" s="87">
        <f t="shared" si="2"/>
        <v>0</v>
      </c>
      <c r="J29" s="87">
        <f t="shared" si="3"/>
        <v>0</v>
      </c>
      <c r="M29" s="87">
        <f t="shared" si="4"/>
        <v>0</v>
      </c>
      <c r="P29" s="87">
        <f t="shared" si="5"/>
        <v>0</v>
      </c>
      <c r="S29" s="87">
        <f t="shared" si="6"/>
        <v>0</v>
      </c>
      <c r="V29" s="87">
        <f t="shared" si="7"/>
        <v>0</v>
      </c>
      <c r="Y29" s="87">
        <f t="shared" si="8"/>
        <v>0</v>
      </c>
      <c r="AB29" s="87">
        <f t="shared" si="9"/>
        <v>0</v>
      </c>
      <c r="AE29" s="87">
        <v>0</v>
      </c>
      <c r="AH29" s="87">
        <v>0</v>
      </c>
      <c r="AI29" s="120">
        <f>33875000</f>
        <v>33875000</v>
      </c>
      <c r="AJ29" s="121">
        <v>2.7E-2</v>
      </c>
      <c r="AK29" s="87">
        <f t="shared" si="10"/>
        <v>2540.625</v>
      </c>
      <c r="AL29" s="120">
        <f t="shared" ref="AL29:AL42" si="55">30000000</f>
        <v>30000000</v>
      </c>
      <c r="AM29" s="121">
        <v>2.9000000000000001E-2</v>
      </c>
      <c r="AN29" s="87">
        <f t="shared" si="11"/>
        <v>2416.6666666666665</v>
      </c>
      <c r="AO29" s="120">
        <f t="shared" si="53"/>
        <v>50000000</v>
      </c>
      <c r="AP29" s="121">
        <v>2.9700000000000001E-2</v>
      </c>
      <c r="AQ29" s="87">
        <f t="shared" si="12"/>
        <v>4125</v>
      </c>
      <c r="AR29" s="120">
        <f t="shared" si="54"/>
        <v>50000000</v>
      </c>
      <c r="AS29" s="121">
        <v>2.9499999999999998E-2</v>
      </c>
      <c r="AT29" s="87">
        <f t="shared" si="13"/>
        <v>4097.2222222222226</v>
      </c>
      <c r="AW29" s="87">
        <f t="shared" si="14"/>
        <v>0</v>
      </c>
      <c r="AZ29" s="87">
        <f t="shared" si="15"/>
        <v>0</v>
      </c>
      <c r="BC29" s="87">
        <f t="shared" si="16"/>
        <v>0</v>
      </c>
      <c r="BF29" s="87">
        <f t="shared" si="17"/>
        <v>0</v>
      </c>
      <c r="BI29" s="87">
        <f t="shared" si="18"/>
        <v>0</v>
      </c>
      <c r="BL29" s="87">
        <f t="shared" si="19"/>
        <v>0</v>
      </c>
      <c r="BO29" s="87">
        <f t="shared" si="20"/>
        <v>0</v>
      </c>
      <c r="BR29" s="87">
        <f t="shared" si="21"/>
        <v>0</v>
      </c>
      <c r="BU29" s="87">
        <f t="shared" si="22"/>
        <v>0</v>
      </c>
      <c r="BX29" s="87">
        <f t="shared" si="23"/>
        <v>0</v>
      </c>
      <c r="CA29" s="87">
        <f t="shared" si="24"/>
        <v>0</v>
      </c>
      <c r="CD29" s="87">
        <f t="shared" si="25"/>
        <v>0</v>
      </c>
      <c r="CG29" s="87">
        <f t="shared" si="26"/>
        <v>0</v>
      </c>
      <c r="CJ29" s="87">
        <f t="shared" si="27"/>
        <v>0</v>
      </c>
      <c r="CM29" s="87">
        <f t="shared" si="28"/>
        <v>0</v>
      </c>
      <c r="CP29" s="87">
        <f t="shared" si="29"/>
        <v>0</v>
      </c>
      <c r="CS29" s="87">
        <f t="shared" si="30"/>
        <v>0</v>
      </c>
      <c r="CV29" s="87">
        <f t="shared" si="31"/>
        <v>0</v>
      </c>
      <c r="CY29" s="87">
        <f t="shared" si="32"/>
        <v>0</v>
      </c>
      <c r="DB29" s="87">
        <f t="shared" si="33"/>
        <v>0</v>
      </c>
      <c r="DE29" s="87">
        <f t="shared" si="34"/>
        <v>0</v>
      </c>
      <c r="DH29" s="87">
        <f t="shared" si="35"/>
        <v>0</v>
      </c>
      <c r="DK29" s="87">
        <f t="shared" si="36"/>
        <v>0</v>
      </c>
      <c r="DN29" s="87">
        <f t="shared" si="37"/>
        <v>0</v>
      </c>
      <c r="DQ29" s="87">
        <f t="shared" si="38"/>
        <v>0</v>
      </c>
      <c r="DT29" s="87">
        <f t="shared" si="39"/>
        <v>0</v>
      </c>
      <c r="DW29" s="87">
        <f t="shared" si="40"/>
        <v>0</v>
      </c>
      <c r="DZ29" s="87"/>
      <c r="EA29" s="87"/>
      <c r="EB29" s="122">
        <f t="shared" si="41"/>
        <v>163875000</v>
      </c>
      <c r="EC29" s="122">
        <f t="shared" si="42"/>
        <v>0</v>
      </c>
      <c r="ED29" s="87">
        <f t="shared" si="43"/>
        <v>13179.513888888889</v>
      </c>
      <c r="EE29" s="88">
        <f t="shared" si="44"/>
        <v>2.8952707856598016E-2</v>
      </c>
      <c r="EG29" s="122">
        <f t="shared" si="45"/>
        <v>0</v>
      </c>
      <c r="EH29" s="87">
        <f t="shared" si="46"/>
        <v>0</v>
      </c>
      <c r="EI29" s="88">
        <f t="shared" si="47"/>
        <v>0</v>
      </c>
      <c r="EJ29" s="88"/>
      <c r="EK29" s="122">
        <f t="shared" si="48"/>
        <v>163875000</v>
      </c>
      <c r="EL29" s="122">
        <f t="shared" si="49"/>
        <v>0</v>
      </c>
      <c r="EM29" s="122">
        <f t="shared" si="50"/>
        <v>13179.513888888889</v>
      </c>
      <c r="EN29" s="88">
        <f t="shared" si="51"/>
        <v>2.8952707856598016E-2</v>
      </c>
    </row>
    <row r="30" spans="1:144" x14ac:dyDescent="0.25">
      <c r="A30" s="35">
        <f t="shared" si="52"/>
        <v>43484</v>
      </c>
      <c r="D30" s="87">
        <f t="shared" si="1"/>
        <v>0</v>
      </c>
      <c r="G30" s="87">
        <f t="shared" si="2"/>
        <v>0</v>
      </c>
      <c r="J30" s="87">
        <f t="shared" si="3"/>
        <v>0</v>
      </c>
      <c r="M30" s="87">
        <f t="shared" si="4"/>
        <v>0</v>
      </c>
      <c r="P30" s="87">
        <f t="shared" si="5"/>
        <v>0</v>
      </c>
      <c r="S30" s="87">
        <f t="shared" si="6"/>
        <v>0</v>
      </c>
      <c r="V30" s="87">
        <f t="shared" si="7"/>
        <v>0</v>
      </c>
      <c r="Y30" s="87">
        <f t="shared" si="8"/>
        <v>0</v>
      </c>
      <c r="AB30" s="87">
        <f t="shared" si="9"/>
        <v>0</v>
      </c>
      <c r="AE30" s="87">
        <v>0</v>
      </c>
      <c r="AH30" s="87">
        <v>0</v>
      </c>
      <c r="AI30" s="120">
        <f>33875000</f>
        <v>33875000</v>
      </c>
      <c r="AJ30" s="121">
        <v>2.7E-2</v>
      </c>
      <c r="AK30" s="87">
        <f t="shared" si="10"/>
        <v>2540.625</v>
      </c>
      <c r="AL30" s="120">
        <f t="shared" si="55"/>
        <v>30000000</v>
      </c>
      <c r="AM30" s="121">
        <v>2.9000000000000001E-2</v>
      </c>
      <c r="AN30" s="87">
        <f t="shared" si="11"/>
        <v>2416.6666666666665</v>
      </c>
      <c r="AO30" s="120">
        <f t="shared" si="53"/>
        <v>50000000</v>
      </c>
      <c r="AP30" s="121">
        <v>2.9700000000000001E-2</v>
      </c>
      <c r="AQ30" s="87">
        <f t="shared" si="12"/>
        <v>4125</v>
      </c>
      <c r="AR30" s="120">
        <f t="shared" si="54"/>
        <v>50000000</v>
      </c>
      <c r="AS30" s="121">
        <v>2.9499999999999998E-2</v>
      </c>
      <c r="AT30" s="87">
        <f t="shared" si="13"/>
        <v>4097.2222222222226</v>
      </c>
      <c r="AW30" s="87">
        <f t="shared" si="14"/>
        <v>0</v>
      </c>
      <c r="AZ30" s="87">
        <f t="shared" si="15"/>
        <v>0</v>
      </c>
      <c r="BC30" s="87">
        <f t="shared" si="16"/>
        <v>0</v>
      </c>
      <c r="BF30" s="87">
        <f t="shared" si="17"/>
        <v>0</v>
      </c>
      <c r="BI30" s="87">
        <f t="shared" si="18"/>
        <v>0</v>
      </c>
      <c r="BL30" s="87">
        <f t="shared" si="19"/>
        <v>0</v>
      </c>
      <c r="BO30" s="87">
        <f t="shared" si="20"/>
        <v>0</v>
      </c>
      <c r="BR30" s="87">
        <f t="shared" si="21"/>
        <v>0</v>
      </c>
      <c r="BU30" s="87">
        <f t="shared" si="22"/>
        <v>0</v>
      </c>
      <c r="BX30" s="87">
        <f t="shared" si="23"/>
        <v>0</v>
      </c>
      <c r="CA30" s="87">
        <f t="shared" si="24"/>
        <v>0</v>
      </c>
      <c r="CD30" s="87">
        <f t="shared" si="25"/>
        <v>0</v>
      </c>
      <c r="CG30" s="87">
        <f t="shared" si="26"/>
        <v>0</v>
      </c>
      <c r="CJ30" s="87">
        <f t="shared" si="27"/>
        <v>0</v>
      </c>
      <c r="CM30" s="87">
        <f t="shared" si="28"/>
        <v>0</v>
      </c>
      <c r="CP30" s="87">
        <f t="shared" si="29"/>
        <v>0</v>
      </c>
      <c r="CS30" s="87">
        <f t="shared" si="30"/>
        <v>0</v>
      </c>
      <c r="CV30" s="87">
        <f t="shared" si="31"/>
        <v>0</v>
      </c>
      <c r="CY30" s="87">
        <f t="shared" si="32"/>
        <v>0</v>
      </c>
      <c r="DB30" s="87">
        <f t="shared" si="33"/>
        <v>0</v>
      </c>
      <c r="DE30" s="87">
        <f t="shared" si="34"/>
        <v>0</v>
      </c>
      <c r="DH30" s="87">
        <f t="shared" si="35"/>
        <v>0</v>
      </c>
      <c r="DK30" s="87">
        <f t="shared" si="36"/>
        <v>0</v>
      </c>
      <c r="DN30" s="87">
        <f t="shared" si="37"/>
        <v>0</v>
      </c>
      <c r="DQ30" s="87">
        <f t="shared" si="38"/>
        <v>0</v>
      </c>
      <c r="DT30" s="87">
        <f t="shared" si="39"/>
        <v>0</v>
      </c>
      <c r="DW30" s="87">
        <f t="shared" si="40"/>
        <v>0</v>
      </c>
      <c r="DZ30" s="87"/>
      <c r="EA30" s="87"/>
      <c r="EB30" s="122">
        <f t="shared" si="41"/>
        <v>163875000</v>
      </c>
      <c r="EC30" s="122">
        <f t="shared" si="42"/>
        <v>0</v>
      </c>
      <c r="ED30" s="87">
        <f t="shared" si="43"/>
        <v>13179.513888888889</v>
      </c>
      <c r="EE30" s="88">
        <f t="shared" si="44"/>
        <v>2.8952707856598016E-2</v>
      </c>
      <c r="EG30" s="122">
        <f t="shared" si="45"/>
        <v>0</v>
      </c>
      <c r="EH30" s="87">
        <f t="shared" si="46"/>
        <v>0</v>
      </c>
      <c r="EI30" s="88">
        <f t="shared" si="47"/>
        <v>0</v>
      </c>
      <c r="EJ30" s="88"/>
      <c r="EK30" s="122">
        <f t="shared" si="48"/>
        <v>163875000</v>
      </c>
      <c r="EL30" s="122">
        <f t="shared" si="49"/>
        <v>0</v>
      </c>
      <c r="EM30" s="122">
        <f t="shared" si="50"/>
        <v>13179.513888888889</v>
      </c>
      <c r="EN30" s="88">
        <f t="shared" si="51"/>
        <v>2.8952707856598016E-2</v>
      </c>
    </row>
    <row r="31" spans="1:144" x14ac:dyDescent="0.25">
      <c r="A31" s="35">
        <f t="shared" si="52"/>
        <v>43485</v>
      </c>
      <c r="D31" s="87">
        <f t="shared" si="1"/>
        <v>0</v>
      </c>
      <c r="G31" s="87">
        <f t="shared" si="2"/>
        <v>0</v>
      </c>
      <c r="J31" s="87">
        <f t="shared" si="3"/>
        <v>0</v>
      </c>
      <c r="M31" s="87">
        <f t="shared" si="4"/>
        <v>0</v>
      </c>
      <c r="P31" s="87">
        <f t="shared" si="5"/>
        <v>0</v>
      </c>
      <c r="S31" s="87">
        <f t="shared" si="6"/>
        <v>0</v>
      </c>
      <c r="V31" s="87">
        <f t="shared" si="7"/>
        <v>0</v>
      </c>
      <c r="Y31" s="87">
        <f t="shared" si="8"/>
        <v>0</v>
      </c>
      <c r="AB31" s="87">
        <f t="shared" si="9"/>
        <v>0</v>
      </c>
      <c r="AE31" s="87">
        <v>0</v>
      </c>
      <c r="AH31" s="87">
        <v>0</v>
      </c>
      <c r="AI31" s="120">
        <f>33875000</f>
        <v>33875000</v>
      </c>
      <c r="AJ31" s="121">
        <v>2.7E-2</v>
      </c>
      <c r="AK31" s="87">
        <f t="shared" si="10"/>
        <v>2540.625</v>
      </c>
      <c r="AL31" s="120">
        <f t="shared" si="55"/>
        <v>30000000</v>
      </c>
      <c r="AM31" s="121">
        <v>2.9000000000000001E-2</v>
      </c>
      <c r="AN31" s="87">
        <f t="shared" si="11"/>
        <v>2416.6666666666665</v>
      </c>
      <c r="AO31" s="120">
        <f t="shared" si="53"/>
        <v>50000000</v>
      </c>
      <c r="AP31" s="121">
        <v>2.9700000000000001E-2</v>
      </c>
      <c r="AQ31" s="87">
        <f t="shared" si="12"/>
        <v>4125</v>
      </c>
      <c r="AR31" s="120">
        <f t="shared" si="54"/>
        <v>50000000</v>
      </c>
      <c r="AS31" s="121">
        <v>2.9499999999999998E-2</v>
      </c>
      <c r="AT31" s="87">
        <f t="shared" si="13"/>
        <v>4097.2222222222226</v>
      </c>
      <c r="AW31" s="87">
        <f t="shared" si="14"/>
        <v>0</v>
      </c>
      <c r="AZ31" s="87">
        <f t="shared" si="15"/>
        <v>0</v>
      </c>
      <c r="BC31" s="87">
        <f t="shared" si="16"/>
        <v>0</v>
      </c>
      <c r="BF31" s="87">
        <f t="shared" si="17"/>
        <v>0</v>
      </c>
      <c r="BI31" s="87">
        <f t="shared" si="18"/>
        <v>0</v>
      </c>
      <c r="BL31" s="87">
        <f t="shared" si="19"/>
        <v>0</v>
      </c>
      <c r="BO31" s="87">
        <f t="shared" si="20"/>
        <v>0</v>
      </c>
      <c r="BR31" s="87">
        <f t="shared" si="21"/>
        <v>0</v>
      </c>
      <c r="BU31" s="87">
        <f t="shared" si="22"/>
        <v>0</v>
      </c>
      <c r="BX31" s="87">
        <f t="shared" si="23"/>
        <v>0</v>
      </c>
      <c r="CA31" s="87">
        <f t="shared" si="24"/>
        <v>0</v>
      </c>
      <c r="CD31" s="87">
        <f t="shared" si="25"/>
        <v>0</v>
      </c>
      <c r="CG31" s="87">
        <f t="shared" si="26"/>
        <v>0</v>
      </c>
      <c r="CJ31" s="87">
        <f t="shared" si="27"/>
        <v>0</v>
      </c>
      <c r="CM31" s="87">
        <f t="shared" si="28"/>
        <v>0</v>
      </c>
      <c r="CP31" s="87">
        <f t="shared" si="29"/>
        <v>0</v>
      </c>
      <c r="CS31" s="87">
        <f t="shared" si="30"/>
        <v>0</v>
      </c>
      <c r="CV31" s="87">
        <f t="shared" si="31"/>
        <v>0</v>
      </c>
      <c r="CY31" s="87">
        <f t="shared" si="32"/>
        <v>0</v>
      </c>
      <c r="DB31" s="87">
        <f t="shared" si="33"/>
        <v>0</v>
      </c>
      <c r="DE31" s="87">
        <f t="shared" si="34"/>
        <v>0</v>
      </c>
      <c r="DH31" s="87">
        <f t="shared" si="35"/>
        <v>0</v>
      </c>
      <c r="DK31" s="87">
        <f t="shared" si="36"/>
        <v>0</v>
      </c>
      <c r="DN31" s="87">
        <f t="shared" si="37"/>
        <v>0</v>
      </c>
      <c r="DQ31" s="87">
        <f t="shared" si="38"/>
        <v>0</v>
      </c>
      <c r="DT31" s="87">
        <f t="shared" si="39"/>
        <v>0</v>
      </c>
      <c r="DW31" s="87">
        <f t="shared" si="40"/>
        <v>0</v>
      </c>
      <c r="DZ31" s="87"/>
      <c r="EA31" s="87"/>
      <c r="EB31" s="122">
        <f t="shared" si="41"/>
        <v>163875000</v>
      </c>
      <c r="EC31" s="122">
        <f t="shared" si="42"/>
        <v>0</v>
      </c>
      <c r="ED31" s="87">
        <f t="shared" si="43"/>
        <v>13179.513888888889</v>
      </c>
      <c r="EE31" s="88">
        <f t="shared" si="44"/>
        <v>2.8952707856598016E-2</v>
      </c>
      <c r="EG31" s="122">
        <f t="shared" si="45"/>
        <v>0</v>
      </c>
      <c r="EH31" s="87">
        <f t="shared" si="46"/>
        <v>0</v>
      </c>
      <c r="EI31" s="88">
        <f t="shared" si="47"/>
        <v>0</v>
      </c>
      <c r="EJ31" s="88"/>
      <c r="EK31" s="122">
        <f t="shared" si="48"/>
        <v>163875000</v>
      </c>
      <c r="EL31" s="122">
        <f t="shared" si="49"/>
        <v>0</v>
      </c>
      <c r="EM31" s="122">
        <f t="shared" si="50"/>
        <v>13179.513888888889</v>
      </c>
      <c r="EN31" s="88">
        <f t="shared" si="51"/>
        <v>2.8952707856598016E-2</v>
      </c>
    </row>
    <row r="32" spans="1:144" x14ac:dyDescent="0.25">
      <c r="A32" s="35">
        <f t="shared" si="52"/>
        <v>43486</v>
      </c>
      <c r="D32" s="87">
        <f t="shared" si="1"/>
        <v>0</v>
      </c>
      <c r="G32" s="87">
        <f t="shared" si="2"/>
        <v>0</v>
      </c>
      <c r="J32" s="87">
        <f t="shared" si="3"/>
        <v>0</v>
      </c>
      <c r="M32" s="87">
        <f t="shared" si="4"/>
        <v>0</v>
      </c>
      <c r="P32" s="87">
        <f t="shared" si="5"/>
        <v>0</v>
      </c>
      <c r="S32" s="87">
        <f t="shared" si="6"/>
        <v>0</v>
      </c>
      <c r="V32" s="87">
        <f t="shared" si="7"/>
        <v>0</v>
      </c>
      <c r="Y32" s="87">
        <f t="shared" si="8"/>
        <v>0</v>
      </c>
      <c r="AB32" s="87">
        <f t="shared" si="9"/>
        <v>0</v>
      </c>
      <c r="AE32" s="87">
        <v>0</v>
      </c>
      <c r="AH32" s="87">
        <v>0</v>
      </c>
      <c r="AI32" s="120">
        <f>33875000</f>
        <v>33875000</v>
      </c>
      <c r="AJ32" s="121">
        <v>2.7E-2</v>
      </c>
      <c r="AK32" s="87">
        <f t="shared" si="10"/>
        <v>2540.625</v>
      </c>
      <c r="AL32" s="120">
        <f t="shared" si="55"/>
        <v>30000000</v>
      </c>
      <c r="AM32" s="121">
        <v>2.9000000000000001E-2</v>
      </c>
      <c r="AN32" s="87">
        <f t="shared" si="11"/>
        <v>2416.6666666666665</v>
      </c>
      <c r="AO32" s="120">
        <f t="shared" si="53"/>
        <v>50000000</v>
      </c>
      <c r="AP32" s="121">
        <v>2.9700000000000001E-2</v>
      </c>
      <c r="AQ32" s="87">
        <f t="shared" si="12"/>
        <v>4125</v>
      </c>
      <c r="AR32" s="120">
        <f t="shared" si="54"/>
        <v>50000000</v>
      </c>
      <c r="AS32" s="121">
        <v>2.9499999999999998E-2</v>
      </c>
      <c r="AT32" s="87">
        <f t="shared" si="13"/>
        <v>4097.2222222222226</v>
      </c>
      <c r="AW32" s="87">
        <f t="shared" si="14"/>
        <v>0</v>
      </c>
      <c r="AZ32" s="87">
        <f t="shared" si="15"/>
        <v>0</v>
      </c>
      <c r="BC32" s="87">
        <f t="shared" si="16"/>
        <v>0</v>
      </c>
      <c r="BF32" s="87">
        <f t="shared" si="17"/>
        <v>0</v>
      </c>
      <c r="BI32" s="87">
        <f t="shared" si="18"/>
        <v>0</v>
      </c>
      <c r="BL32" s="87">
        <f t="shared" si="19"/>
        <v>0</v>
      </c>
      <c r="BO32" s="87">
        <f t="shared" si="20"/>
        <v>0</v>
      </c>
      <c r="BR32" s="87">
        <f t="shared" si="21"/>
        <v>0</v>
      </c>
      <c r="BU32" s="87">
        <f t="shared" si="22"/>
        <v>0</v>
      </c>
      <c r="BX32" s="87">
        <f t="shared" si="23"/>
        <v>0</v>
      </c>
      <c r="CA32" s="87">
        <f t="shared" si="24"/>
        <v>0</v>
      </c>
      <c r="CD32" s="87">
        <f t="shared" si="25"/>
        <v>0</v>
      </c>
      <c r="CG32" s="87">
        <f t="shared" si="26"/>
        <v>0</v>
      </c>
      <c r="CJ32" s="87">
        <f t="shared" si="27"/>
        <v>0</v>
      </c>
      <c r="CM32" s="87">
        <f t="shared" si="28"/>
        <v>0</v>
      </c>
      <c r="CP32" s="87">
        <f t="shared" si="29"/>
        <v>0</v>
      </c>
      <c r="CS32" s="87">
        <f t="shared" si="30"/>
        <v>0</v>
      </c>
      <c r="CV32" s="87">
        <f t="shared" si="31"/>
        <v>0</v>
      </c>
      <c r="CY32" s="87">
        <f t="shared" si="32"/>
        <v>0</v>
      </c>
      <c r="DB32" s="87">
        <f t="shared" si="33"/>
        <v>0</v>
      </c>
      <c r="DE32" s="87">
        <f t="shared" si="34"/>
        <v>0</v>
      </c>
      <c r="DH32" s="87">
        <f t="shared" si="35"/>
        <v>0</v>
      </c>
      <c r="DK32" s="87">
        <f t="shared" si="36"/>
        <v>0</v>
      </c>
      <c r="DN32" s="87">
        <f t="shared" si="37"/>
        <v>0</v>
      </c>
      <c r="DQ32" s="87">
        <f t="shared" si="38"/>
        <v>0</v>
      </c>
      <c r="DT32" s="87">
        <f t="shared" si="39"/>
        <v>0</v>
      </c>
      <c r="DW32" s="87">
        <f t="shared" si="40"/>
        <v>0</v>
      </c>
      <c r="DZ32" s="87"/>
      <c r="EA32" s="87"/>
      <c r="EB32" s="122">
        <f t="shared" si="41"/>
        <v>163875000</v>
      </c>
      <c r="EC32" s="122">
        <f t="shared" si="42"/>
        <v>0</v>
      </c>
      <c r="ED32" s="87">
        <f t="shared" si="43"/>
        <v>13179.513888888889</v>
      </c>
      <c r="EE32" s="88">
        <f t="shared" si="44"/>
        <v>2.8952707856598016E-2</v>
      </c>
      <c r="EG32" s="122">
        <f t="shared" si="45"/>
        <v>0</v>
      </c>
      <c r="EH32" s="87">
        <f t="shared" si="46"/>
        <v>0</v>
      </c>
      <c r="EI32" s="88">
        <f t="shared" si="47"/>
        <v>0</v>
      </c>
      <c r="EJ32" s="88"/>
      <c r="EK32" s="122">
        <f t="shared" si="48"/>
        <v>163875000</v>
      </c>
      <c r="EL32" s="122">
        <f t="shared" si="49"/>
        <v>0</v>
      </c>
      <c r="EM32" s="122">
        <f t="shared" si="50"/>
        <v>13179.513888888889</v>
      </c>
      <c r="EN32" s="88">
        <f t="shared" si="51"/>
        <v>2.8952707856598016E-2</v>
      </c>
    </row>
    <row r="33" spans="1:144" x14ac:dyDescent="0.25">
      <c r="A33" s="35">
        <f t="shared" si="52"/>
        <v>43487</v>
      </c>
      <c r="D33" s="87">
        <f t="shared" si="1"/>
        <v>0</v>
      </c>
      <c r="G33" s="87">
        <f t="shared" si="2"/>
        <v>0</v>
      </c>
      <c r="J33" s="87">
        <f t="shared" si="3"/>
        <v>0</v>
      </c>
      <c r="M33" s="87">
        <f t="shared" si="4"/>
        <v>0</v>
      </c>
      <c r="P33" s="87">
        <f t="shared" si="5"/>
        <v>0</v>
      </c>
      <c r="S33" s="87">
        <f t="shared" si="6"/>
        <v>0</v>
      </c>
      <c r="V33" s="87">
        <f t="shared" si="7"/>
        <v>0</v>
      </c>
      <c r="Y33" s="87">
        <f t="shared" si="8"/>
        <v>0</v>
      </c>
      <c r="AB33" s="87">
        <f t="shared" si="9"/>
        <v>0</v>
      </c>
      <c r="AE33" s="87">
        <v>0</v>
      </c>
      <c r="AH33" s="87">
        <v>0</v>
      </c>
      <c r="AI33" s="120">
        <f>65900000</f>
        <v>65900000</v>
      </c>
      <c r="AJ33" s="121">
        <v>2.7E-2</v>
      </c>
      <c r="AK33" s="87">
        <f t="shared" si="10"/>
        <v>4942.5</v>
      </c>
      <c r="AL33" s="120">
        <f t="shared" si="55"/>
        <v>30000000</v>
      </c>
      <c r="AM33" s="121">
        <v>2.9000000000000001E-2</v>
      </c>
      <c r="AN33" s="87">
        <f t="shared" si="11"/>
        <v>2416.6666666666665</v>
      </c>
      <c r="AO33" s="120">
        <f t="shared" si="53"/>
        <v>50000000</v>
      </c>
      <c r="AP33" s="121">
        <v>2.9700000000000001E-2</v>
      </c>
      <c r="AQ33" s="87">
        <f t="shared" si="12"/>
        <v>4125</v>
      </c>
      <c r="AR33" s="120">
        <f t="shared" si="54"/>
        <v>50000000</v>
      </c>
      <c r="AS33" s="121">
        <v>2.9499999999999998E-2</v>
      </c>
      <c r="AT33" s="87">
        <f t="shared" si="13"/>
        <v>4097.2222222222226</v>
      </c>
      <c r="AW33" s="87">
        <f t="shared" si="14"/>
        <v>0</v>
      </c>
      <c r="AZ33" s="87">
        <f t="shared" si="15"/>
        <v>0</v>
      </c>
      <c r="BC33" s="87">
        <f t="shared" si="16"/>
        <v>0</v>
      </c>
      <c r="BF33" s="87">
        <f t="shared" si="17"/>
        <v>0</v>
      </c>
      <c r="BI33" s="87">
        <f t="shared" si="18"/>
        <v>0</v>
      </c>
      <c r="BL33" s="87">
        <f t="shared" si="19"/>
        <v>0</v>
      </c>
      <c r="BO33" s="87">
        <f t="shared" si="20"/>
        <v>0</v>
      </c>
      <c r="BR33" s="87">
        <f t="shared" si="21"/>
        <v>0</v>
      </c>
      <c r="BU33" s="87">
        <f t="shared" si="22"/>
        <v>0</v>
      </c>
      <c r="BX33" s="87">
        <f t="shared" si="23"/>
        <v>0</v>
      </c>
      <c r="CA33" s="87">
        <f t="shared" si="24"/>
        <v>0</v>
      </c>
      <c r="CD33" s="87">
        <f t="shared" si="25"/>
        <v>0</v>
      </c>
      <c r="CG33" s="87">
        <f t="shared" si="26"/>
        <v>0</v>
      </c>
      <c r="CJ33" s="87">
        <f t="shared" si="27"/>
        <v>0</v>
      </c>
      <c r="CM33" s="87">
        <f t="shared" si="28"/>
        <v>0</v>
      </c>
      <c r="CP33" s="87">
        <f t="shared" si="29"/>
        <v>0</v>
      </c>
      <c r="CS33" s="87">
        <f t="shared" si="30"/>
        <v>0</v>
      </c>
      <c r="CV33" s="87">
        <f t="shared" si="31"/>
        <v>0</v>
      </c>
      <c r="CY33" s="87">
        <f t="shared" si="32"/>
        <v>0</v>
      </c>
      <c r="DB33" s="87">
        <f t="shared" si="33"/>
        <v>0</v>
      </c>
      <c r="DE33" s="87">
        <f t="shared" si="34"/>
        <v>0</v>
      </c>
      <c r="DH33" s="87">
        <f t="shared" si="35"/>
        <v>0</v>
      </c>
      <c r="DK33" s="87">
        <f t="shared" si="36"/>
        <v>0</v>
      </c>
      <c r="DN33" s="87">
        <f t="shared" si="37"/>
        <v>0</v>
      </c>
      <c r="DQ33" s="87">
        <f t="shared" si="38"/>
        <v>0</v>
      </c>
      <c r="DT33" s="87">
        <f t="shared" si="39"/>
        <v>0</v>
      </c>
      <c r="DW33" s="87">
        <f t="shared" si="40"/>
        <v>0</v>
      </c>
      <c r="DZ33" s="87"/>
      <c r="EA33" s="87"/>
      <c r="EB33" s="122">
        <f t="shared" si="41"/>
        <v>195900000</v>
      </c>
      <c r="EC33" s="122">
        <f t="shared" si="42"/>
        <v>0</v>
      </c>
      <c r="ED33" s="87">
        <f t="shared" si="43"/>
        <v>15581.388888888889</v>
      </c>
      <c r="EE33" s="88">
        <f t="shared" si="44"/>
        <v>2.8633486472690147E-2</v>
      </c>
      <c r="EG33" s="122">
        <f t="shared" si="45"/>
        <v>0</v>
      </c>
      <c r="EH33" s="87">
        <f t="shared" si="46"/>
        <v>0</v>
      </c>
      <c r="EI33" s="88">
        <f t="shared" si="47"/>
        <v>0</v>
      </c>
      <c r="EJ33" s="88"/>
      <c r="EK33" s="122">
        <f t="shared" si="48"/>
        <v>195900000</v>
      </c>
      <c r="EL33" s="122">
        <f t="shared" si="49"/>
        <v>0</v>
      </c>
      <c r="EM33" s="122">
        <f t="shared" si="50"/>
        <v>15581.388888888889</v>
      </c>
      <c r="EN33" s="88">
        <f t="shared" si="51"/>
        <v>2.8633486472690147E-2</v>
      </c>
    </row>
    <row r="34" spans="1:144" x14ac:dyDescent="0.25">
      <c r="A34" s="35">
        <f t="shared" si="52"/>
        <v>43488</v>
      </c>
      <c r="D34" s="87">
        <f t="shared" si="1"/>
        <v>0</v>
      </c>
      <c r="G34" s="87">
        <f t="shared" si="2"/>
        <v>0</v>
      </c>
      <c r="J34" s="87">
        <f t="shared" si="3"/>
        <v>0</v>
      </c>
      <c r="M34" s="87">
        <f t="shared" si="4"/>
        <v>0</v>
      </c>
      <c r="P34" s="87">
        <f t="shared" si="5"/>
        <v>0</v>
      </c>
      <c r="S34" s="87">
        <f t="shared" si="6"/>
        <v>0</v>
      </c>
      <c r="V34" s="87">
        <f t="shared" si="7"/>
        <v>0</v>
      </c>
      <c r="Y34" s="87">
        <f t="shared" si="8"/>
        <v>0</v>
      </c>
      <c r="AB34" s="87">
        <f t="shared" si="9"/>
        <v>0</v>
      </c>
      <c r="AE34" s="87">
        <v>0</v>
      </c>
      <c r="AH34" s="87">
        <v>0</v>
      </c>
      <c r="AI34" s="120">
        <f>52625000</f>
        <v>52625000</v>
      </c>
      <c r="AJ34" s="121">
        <v>2.7E-2</v>
      </c>
      <c r="AK34" s="87">
        <f t="shared" si="10"/>
        <v>3946.875</v>
      </c>
      <c r="AL34" s="120">
        <f t="shared" si="55"/>
        <v>30000000</v>
      </c>
      <c r="AM34" s="121">
        <v>2.9000000000000001E-2</v>
      </c>
      <c r="AN34" s="87">
        <f t="shared" si="11"/>
        <v>2416.6666666666665</v>
      </c>
      <c r="AO34" s="120">
        <f t="shared" si="53"/>
        <v>50000000</v>
      </c>
      <c r="AP34" s="121">
        <v>2.9700000000000001E-2</v>
      </c>
      <c r="AQ34" s="87">
        <f t="shared" si="12"/>
        <v>4125</v>
      </c>
      <c r="AR34" s="120">
        <f t="shared" si="54"/>
        <v>50000000</v>
      </c>
      <c r="AS34" s="121">
        <v>2.9499999999999998E-2</v>
      </c>
      <c r="AT34" s="87">
        <f t="shared" si="13"/>
        <v>4097.2222222222226</v>
      </c>
      <c r="AW34" s="87">
        <f t="shared" si="14"/>
        <v>0</v>
      </c>
      <c r="AZ34" s="87">
        <f t="shared" si="15"/>
        <v>0</v>
      </c>
      <c r="BC34" s="87">
        <f t="shared" si="16"/>
        <v>0</v>
      </c>
      <c r="BF34" s="87">
        <f t="shared" si="17"/>
        <v>0</v>
      </c>
      <c r="BI34" s="87">
        <f t="shared" si="18"/>
        <v>0</v>
      </c>
      <c r="BL34" s="87">
        <f t="shared" si="19"/>
        <v>0</v>
      </c>
      <c r="BO34" s="87">
        <f t="shared" si="20"/>
        <v>0</v>
      </c>
      <c r="BR34" s="87">
        <f t="shared" si="21"/>
        <v>0</v>
      </c>
      <c r="BU34" s="87">
        <f t="shared" si="22"/>
        <v>0</v>
      </c>
      <c r="BX34" s="87">
        <f t="shared" si="23"/>
        <v>0</v>
      </c>
      <c r="CA34" s="87">
        <f t="shared" si="24"/>
        <v>0</v>
      </c>
      <c r="CD34" s="87">
        <f t="shared" si="25"/>
        <v>0</v>
      </c>
      <c r="CG34" s="87">
        <f t="shared" si="26"/>
        <v>0</v>
      </c>
      <c r="CJ34" s="87">
        <f t="shared" si="27"/>
        <v>0</v>
      </c>
      <c r="CM34" s="87">
        <f t="shared" si="28"/>
        <v>0</v>
      </c>
      <c r="CP34" s="87">
        <f t="shared" si="29"/>
        <v>0</v>
      </c>
      <c r="CS34" s="87">
        <f t="shared" si="30"/>
        <v>0</v>
      </c>
      <c r="CV34" s="87">
        <f t="shared" si="31"/>
        <v>0</v>
      </c>
      <c r="CY34" s="87">
        <f t="shared" si="32"/>
        <v>0</v>
      </c>
      <c r="DB34" s="87">
        <f t="shared" si="33"/>
        <v>0</v>
      </c>
      <c r="DE34" s="87">
        <f t="shared" si="34"/>
        <v>0</v>
      </c>
      <c r="DH34" s="87">
        <f t="shared" si="35"/>
        <v>0</v>
      </c>
      <c r="DK34" s="87">
        <f t="shared" si="36"/>
        <v>0</v>
      </c>
      <c r="DN34" s="87">
        <f t="shared" si="37"/>
        <v>0</v>
      </c>
      <c r="DQ34" s="87">
        <f t="shared" si="38"/>
        <v>0</v>
      </c>
      <c r="DT34" s="87">
        <f t="shared" si="39"/>
        <v>0</v>
      </c>
      <c r="DW34" s="87">
        <f t="shared" si="40"/>
        <v>0</v>
      </c>
      <c r="DZ34" s="87"/>
      <c r="EA34" s="87"/>
      <c r="EB34" s="122">
        <f t="shared" si="41"/>
        <v>182625000</v>
      </c>
      <c r="EC34" s="122">
        <f t="shared" si="42"/>
        <v>0</v>
      </c>
      <c r="ED34" s="87">
        <f t="shared" si="43"/>
        <v>14585.763888888889</v>
      </c>
      <c r="EE34" s="88">
        <f t="shared" si="44"/>
        <v>2.8752224503764544E-2</v>
      </c>
      <c r="EG34" s="122">
        <f t="shared" si="45"/>
        <v>0</v>
      </c>
      <c r="EH34" s="87">
        <f t="shared" si="46"/>
        <v>0</v>
      </c>
      <c r="EI34" s="88">
        <f t="shared" si="47"/>
        <v>0</v>
      </c>
      <c r="EJ34" s="88"/>
      <c r="EK34" s="122">
        <f t="shared" si="48"/>
        <v>182625000</v>
      </c>
      <c r="EL34" s="122">
        <f t="shared" si="49"/>
        <v>0</v>
      </c>
      <c r="EM34" s="122">
        <f t="shared" si="50"/>
        <v>14585.763888888889</v>
      </c>
      <c r="EN34" s="88">
        <f t="shared" si="51"/>
        <v>2.8752224503764544E-2</v>
      </c>
    </row>
    <row r="35" spans="1:144" x14ac:dyDescent="0.25">
      <c r="A35" s="35">
        <f t="shared" si="52"/>
        <v>43489</v>
      </c>
      <c r="D35" s="87">
        <f t="shared" si="1"/>
        <v>0</v>
      </c>
      <c r="G35" s="87">
        <f t="shared" si="2"/>
        <v>0</v>
      </c>
      <c r="J35" s="87">
        <f t="shared" si="3"/>
        <v>0</v>
      </c>
      <c r="M35" s="87">
        <f t="shared" si="4"/>
        <v>0</v>
      </c>
      <c r="P35" s="87">
        <f t="shared" si="5"/>
        <v>0</v>
      </c>
      <c r="S35" s="87">
        <f t="shared" si="6"/>
        <v>0</v>
      </c>
      <c r="V35" s="87">
        <f t="shared" si="7"/>
        <v>0</v>
      </c>
      <c r="Y35" s="87">
        <f t="shared" si="8"/>
        <v>0</v>
      </c>
      <c r="AB35" s="87">
        <f t="shared" si="9"/>
        <v>0</v>
      </c>
      <c r="AE35" s="87">
        <v>0</v>
      </c>
      <c r="AH35" s="87">
        <v>0</v>
      </c>
      <c r="AI35" s="120">
        <f>34300000</f>
        <v>34300000</v>
      </c>
      <c r="AJ35" s="121">
        <v>2.7E-2</v>
      </c>
      <c r="AK35" s="87">
        <f t="shared" si="10"/>
        <v>2572.5</v>
      </c>
      <c r="AL35" s="120">
        <f t="shared" si="55"/>
        <v>30000000</v>
      </c>
      <c r="AM35" s="121">
        <v>2.9000000000000001E-2</v>
      </c>
      <c r="AN35" s="87">
        <f t="shared" si="11"/>
        <v>2416.6666666666665</v>
      </c>
      <c r="AO35" s="120">
        <f t="shared" si="53"/>
        <v>50000000</v>
      </c>
      <c r="AP35" s="121">
        <v>2.9700000000000001E-2</v>
      </c>
      <c r="AQ35" s="87">
        <f t="shared" si="12"/>
        <v>4125</v>
      </c>
      <c r="AR35" s="120">
        <f t="shared" si="54"/>
        <v>50000000</v>
      </c>
      <c r="AS35" s="121">
        <v>2.9499999999999998E-2</v>
      </c>
      <c r="AT35" s="87">
        <f t="shared" si="13"/>
        <v>4097.2222222222226</v>
      </c>
      <c r="AW35" s="87">
        <f t="shared" si="14"/>
        <v>0</v>
      </c>
      <c r="AZ35" s="87">
        <f t="shared" si="15"/>
        <v>0</v>
      </c>
      <c r="BC35" s="87">
        <f t="shared" si="16"/>
        <v>0</v>
      </c>
      <c r="BF35" s="87">
        <f t="shared" si="17"/>
        <v>0</v>
      </c>
      <c r="BI35" s="87">
        <f t="shared" si="18"/>
        <v>0</v>
      </c>
      <c r="BL35" s="87">
        <f t="shared" si="19"/>
        <v>0</v>
      </c>
      <c r="BO35" s="87">
        <f t="shared" si="20"/>
        <v>0</v>
      </c>
      <c r="BR35" s="87">
        <f t="shared" si="21"/>
        <v>0</v>
      </c>
      <c r="BU35" s="87">
        <f t="shared" si="22"/>
        <v>0</v>
      </c>
      <c r="BX35" s="87">
        <f t="shared" si="23"/>
        <v>0</v>
      </c>
      <c r="CA35" s="87">
        <f t="shared" si="24"/>
        <v>0</v>
      </c>
      <c r="CD35" s="87">
        <f t="shared" si="25"/>
        <v>0</v>
      </c>
      <c r="CG35" s="87">
        <f t="shared" si="26"/>
        <v>0</v>
      </c>
      <c r="CJ35" s="87">
        <f t="shared" si="27"/>
        <v>0</v>
      </c>
      <c r="CM35" s="87">
        <f t="shared" si="28"/>
        <v>0</v>
      </c>
      <c r="CP35" s="87">
        <f t="shared" si="29"/>
        <v>0</v>
      </c>
      <c r="CS35" s="87">
        <f t="shared" si="30"/>
        <v>0</v>
      </c>
      <c r="CV35" s="87">
        <f t="shared" si="31"/>
        <v>0</v>
      </c>
      <c r="CY35" s="87">
        <f t="shared" si="32"/>
        <v>0</v>
      </c>
      <c r="DB35" s="87">
        <f t="shared" si="33"/>
        <v>0</v>
      </c>
      <c r="DE35" s="87">
        <f t="shared" si="34"/>
        <v>0</v>
      </c>
      <c r="DH35" s="87">
        <f t="shared" si="35"/>
        <v>0</v>
      </c>
      <c r="DK35" s="87">
        <f t="shared" si="36"/>
        <v>0</v>
      </c>
      <c r="DN35" s="87">
        <f t="shared" si="37"/>
        <v>0</v>
      </c>
      <c r="DQ35" s="87">
        <f t="shared" si="38"/>
        <v>0</v>
      </c>
      <c r="DT35" s="87">
        <f t="shared" si="39"/>
        <v>0</v>
      </c>
      <c r="DW35" s="87">
        <f t="shared" si="40"/>
        <v>0</v>
      </c>
      <c r="DZ35" s="87"/>
      <c r="EA35" s="87"/>
      <c r="EB35" s="122">
        <f t="shared" si="41"/>
        <v>164300000</v>
      </c>
      <c r="EC35" s="122">
        <f t="shared" si="42"/>
        <v>0</v>
      </c>
      <c r="ED35" s="87">
        <f t="shared" si="43"/>
        <v>13211.388888888889</v>
      </c>
      <c r="EE35" s="88">
        <f t="shared" si="44"/>
        <v>2.8947656725502133E-2</v>
      </c>
      <c r="EG35" s="122">
        <f t="shared" si="45"/>
        <v>0</v>
      </c>
      <c r="EH35" s="87">
        <f t="shared" si="46"/>
        <v>0</v>
      </c>
      <c r="EI35" s="88">
        <f t="shared" si="47"/>
        <v>0</v>
      </c>
      <c r="EJ35" s="88"/>
      <c r="EK35" s="122">
        <f t="shared" si="48"/>
        <v>164300000</v>
      </c>
      <c r="EL35" s="122">
        <f t="shared" si="49"/>
        <v>0</v>
      </c>
      <c r="EM35" s="122">
        <f t="shared" si="50"/>
        <v>13211.388888888889</v>
      </c>
      <c r="EN35" s="88">
        <f t="shared" si="51"/>
        <v>2.8947656725502133E-2</v>
      </c>
    </row>
    <row r="36" spans="1:144" x14ac:dyDescent="0.25">
      <c r="A36" s="35">
        <f t="shared" si="52"/>
        <v>43490</v>
      </c>
      <c r="D36" s="87">
        <f t="shared" si="1"/>
        <v>0</v>
      </c>
      <c r="G36" s="87">
        <f t="shared" si="2"/>
        <v>0</v>
      </c>
      <c r="J36" s="87">
        <f t="shared" si="3"/>
        <v>0</v>
      </c>
      <c r="M36" s="87">
        <f t="shared" si="4"/>
        <v>0</v>
      </c>
      <c r="P36" s="87">
        <f t="shared" si="5"/>
        <v>0</v>
      </c>
      <c r="S36" s="87">
        <f t="shared" si="6"/>
        <v>0</v>
      </c>
      <c r="V36" s="87">
        <f t="shared" si="7"/>
        <v>0</v>
      </c>
      <c r="Y36" s="87">
        <f t="shared" si="8"/>
        <v>0</v>
      </c>
      <c r="AB36" s="87">
        <f t="shared" si="9"/>
        <v>0</v>
      </c>
      <c r="AE36" s="87">
        <v>0</v>
      </c>
      <c r="AH36" s="87">
        <v>0</v>
      </c>
      <c r="AI36" s="120">
        <f>42425000+175000</f>
        <v>42600000</v>
      </c>
      <c r="AJ36" s="121">
        <v>2.7E-2</v>
      </c>
      <c r="AK36" s="87">
        <f t="shared" si="10"/>
        <v>3195</v>
      </c>
      <c r="AL36" s="120">
        <f t="shared" si="55"/>
        <v>30000000</v>
      </c>
      <c r="AM36" s="121">
        <v>2.9000000000000001E-2</v>
      </c>
      <c r="AN36" s="87">
        <f t="shared" si="11"/>
        <v>2416.6666666666665</v>
      </c>
      <c r="AO36" s="120">
        <f t="shared" si="53"/>
        <v>50000000</v>
      </c>
      <c r="AP36" s="121">
        <v>2.9700000000000001E-2</v>
      </c>
      <c r="AQ36" s="87">
        <f t="shared" si="12"/>
        <v>4125</v>
      </c>
      <c r="AR36" s="120">
        <f t="shared" si="54"/>
        <v>50000000</v>
      </c>
      <c r="AS36" s="121">
        <v>2.9499999999999998E-2</v>
      </c>
      <c r="AT36" s="87">
        <f t="shared" si="13"/>
        <v>4097.2222222222226</v>
      </c>
      <c r="AW36" s="87">
        <f t="shared" si="14"/>
        <v>0</v>
      </c>
      <c r="AZ36" s="87">
        <f t="shared" si="15"/>
        <v>0</v>
      </c>
      <c r="BC36" s="87">
        <f t="shared" si="16"/>
        <v>0</v>
      </c>
      <c r="BF36" s="87">
        <f t="shared" si="17"/>
        <v>0</v>
      </c>
      <c r="BI36" s="87">
        <f t="shared" si="18"/>
        <v>0</v>
      </c>
      <c r="BL36" s="87">
        <f t="shared" si="19"/>
        <v>0</v>
      </c>
      <c r="BO36" s="87">
        <f t="shared" si="20"/>
        <v>0</v>
      </c>
      <c r="BR36" s="87">
        <f t="shared" si="21"/>
        <v>0</v>
      </c>
      <c r="BU36" s="87">
        <f t="shared" si="22"/>
        <v>0</v>
      </c>
      <c r="BX36" s="87">
        <f t="shared" si="23"/>
        <v>0</v>
      </c>
      <c r="CA36" s="87">
        <f t="shared" si="24"/>
        <v>0</v>
      </c>
      <c r="CD36" s="87">
        <f t="shared" si="25"/>
        <v>0</v>
      </c>
      <c r="CG36" s="87">
        <f t="shared" si="26"/>
        <v>0</v>
      </c>
      <c r="CJ36" s="87">
        <f t="shared" si="27"/>
        <v>0</v>
      </c>
      <c r="CM36" s="87">
        <f t="shared" si="28"/>
        <v>0</v>
      </c>
      <c r="CP36" s="87">
        <f t="shared" si="29"/>
        <v>0</v>
      </c>
      <c r="CS36" s="87">
        <f t="shared" si="30"/>
        <v>0</v>
      </c>
      <c r="CV36" s="87">
        <f t="shared" si="31"/>
        <v>0</v>
      </c>
      <c r="CY36" s="87">
        <f t="shared" si="32"/>
        <v>0</v>
      </c>
      <c r="DB36" s="87">
        <f t="shared" si="33"/>
        <v>0</v>
      </c>
      <c r="DE36" s="87">
        <f t="shared" si="34"/>
        <v>0</v>
      </c>
      <c r="DH36" s="87">
        <f t="shared" si="35"/>
        <v>0</v>
      </c>
      <c r="DK36" s="87">
        <f t="shared" si="36"/>
        <v>0</v>
      </c>
      <c r="DN36" s="87">
        <f t="shared" si="37"/>
        <v>0</v>
      </c>
      <c r="DQ36" s="87">
        <f t="shared" si="38"/>
        <v>0</v>
      </c>
      <c r="DT36" s="87">
        <f t="shared" si="39"/>
        <v>0</v>
      </c>
      <c r="DW36" s="87">
        <f t="shared" si="40"/>
        <v>0</v>
      </c>
      <c r="DZ36" s="87"/>
      <c r="EA36" s="87"/>
      <c r="EB36" s="122">
        <f t="shared" si="41"/>
        <v>172600000</v>
      </c>
      <c r="EC36" s="122">
        <f t="shared" si="42"/>
        <v>0</v>
      </c>
      <c r="ED36" s="87">
        <f t="shared" si="43"/>
        <v>13833.888888888889</v>
      </c>
      <c r="EE36" s="88">
        <f t="shared" si="44"/>
        <v>2.8853997682502897E-2</v>
      </c>
      <c r="EG36" s="122">
        <f t="shared" si="45"/>
        <v>0</v>
      </c>
      <c r="EH36" s="87">
        <f t="shared" si="46"/>
        <v>0</v>
      </c>
      <c r="EI36" s="88">
        <f t="shared" si="47"/>
        <v>0</v>
      </c>
      <c r="EJ36" s="88"/>
      <c r="EK36" s="122">
        <f t="shared" si="48"/>
        <v>172600000</v>
      </c>
      <c r="EL36" s="122">
        <f t="shared" si="49"/>
        <v>0</v>
      </c>
      <c r="EM36" s="122">
        <f t="shared" si="50"/>
        <v>13833.888888888889</v>
      </c>
      <c r="EN36" s="88">
        <f t="shared" si="51"/>
        <v>2.8853997682502897E-2</v>
      </c>
    </row>
    <row r="37" spans="1:144" x14ac:dyDescent="0.25">
      <c r="A37" s="35">
        <f t="shared" si="52"/>
        <v>43491</v>
      </c>
      <c r="D37" s="87">
        <f t="shared" si="1"/>
        <v>0</v>
      </c>
      <c r="G37" s="87">
        <f t="shared" si="2"/>
        <v>0</v>
      </c>
      <c r="J37" s="87">
        <f t="shared" si="3"/>
        <v>0</v>
      </c>
      <c r="M37" s="87">
        <f t="shared" si="4"/>
        <v>0</v>
      </c>
      <c r="P37" s="87">
        <f t="shared" si="5"/>
        <v>0</v>
      </c>
      <c r="S37" s="87">
        <f t="shared" si="6"/>
        <v>0</v>
      </c>
      <c r="V37" s="87">
        <f t="shared" si="7"/>
        <v>0</v>
      </c>
      <c r="Y37" s="87">
        <f t="shared" si="8"/>
        <v>0</v>
      </c>
      <c r="AB37" s="87">
        <f t="shared" si="9"/>
        <v>0</v>
      </c>
      <c r="AE37" s="87">
        <v>0</v>
      </c>
      <c r="AH37" s="87">
        <v>0</v>
      </c>
      <c r="AI37" s="120">
        <f>42425000+175000</f>
        <v>42600000</v>
      </c>
      <c r="AJ37" s="121">
        <v>2.7E-2</v>
      </c>
      <c r="AK37" s="87">
        <f t="shared" si="10"/>
        <v>3195</v>
      </c>
      <c r="AL37" s="120">
        <f t="shared" si="55"/>
        <v>30000000</v>
      </c>
      <c r="AM37" s="121">
        <v>2.9000000000000001E-2</v>
      </c>
      <c r="AN37" s="87">
        <f t="shared" si="11"/>
        <v>2416.6666666666665</v>
      </c>
      <c r="AO37" s="120">
        <f t="shared" si="53"/>
        <v>50000000</v>
      </c>
      <c r="AP37" s="121">
        <v>2.9700000000000001E-2</v>
      </c>
      <c r="AQ37" s="87">
        <f t="shared" si="12"/>
        <v>4125</v>
      </c>
      <c r="AR37" s="120">
        <f t="shared" si="54"/>
        <v>50000000</v>
      </c>
      <c r="AS37" s="121">
        <v>2.9499999999999998E-2</v>
      </c>
      <c r="AT37" s="87">
        <f t="shared" si="13"/>
        <v>4097.2222222222226</v>
      </c>
      <c r="AW37" s="87">
        <f t="shared" si="14"/>
        <v>0</v>
      </c>
      <c r="AZ37" s="87">
        <f t="shared" si="15"/>
        <v>0</v>
      </c>
      <c r="BC37" s="87">
        <f t="shared" si="16"/>
        <v>0</v>
      </c>
      <c r="BF37" s="87">
        <f t="shared" si="17"/>
        <v>0</v>
      </c>
      <c r="BI37" s="87">
        <f t="shared" si="18"/>
        <v>0</v>
      </c>
      <c r="BL37" s="87">
        <f t="shared" si="19"/>
        <v>0</v>
      </c>
      <c r="BO37" s="87">
        <f t="shared" si="20"/>
        <v>0</v>
      </c>
      <c r="BR37" s="87">
        <f t="shared" si="21"/>
        <v>0</v>
      </c>
      <c r="BU37" s="87">
        <f t="shared" si="22"/>
        <v>0</v>
      </c>
      <c r="BX37" s="87">
        <f t="shared" si="23"/>
        <v>0</v>
      </c>
      <c r="CA37" s="87">
        <f t="shared" si="24"/>
        <v>0</v>
      </c>
      <c r="CD37" s="87">
        <f t="shared" si="25"/>
        <v>0</v>
      </c>
      <c r="CG37" s="87">
        <f t="shared" si="26"/>
        <v>0</v>
      </c>
      <c r="CJ37" s="87">
        <f t="shared" si="27"/>
        <v>0</v>
      </c>
      <c r="CM37" s="87">
        <f t="shared" si="28"/>
        <v>0</v>
      </c>
      <c r="CP37" s="87">
        <f t="shared" si="29"/>
        <v>0</v>
      </c>
      <c r="CS37" s="87">
        <f t="shared" si="30"/>
        <v>0</v>
      </c>
      <c r="CV37" s="87">
        <f t="shared" si="31"/>
        <v>0</v>
      </c>
      <c r="CY37" s="87">
        <f t="shared" si="32"/>
        <v>0</v>
      </c>
      <c r="DB37" s="87">
        <f t="shared" si="33"/>
        <v>0</v>
      </c>
      <c r="DE37" s="87">
        <f t="shared" si="34"/>
        <v>0</v>
      </c>
      <c r="DH37" s="87">
        <f t="shared" si="35"/>
        <v>0</v>
      </c>
      <c r="DK37" s="87">
        <f t="shared" si="36"/>
        <v>0</v>
      </c>
      <c r="DN37" s="87">
        <f t="shared" si="37"/>
        <v>0</v>
      </c>
      <c r="DQ37" s="87">
        <f t="shared" si="38"/>
        <v>0</v>
      </c>
      <c r="DT37" s="87">
        <f t="shared" si="39"/>
        <v>0</v>
      </c>
      <c r="DW37" s="87">
        <f t="shared" si="40"/>
        <v>0</v>
      </c>
      <c r="DZ37" s="87"/>
      <c r="EA37" s="87"/>
      <c r="EB37" s="122">
        <f t="shared" si="41"/>
        <v>172600000</v>
      </c>
      <c r="EC37" s="122">
        <f t="shared" si="42"/>
        <v>0</v>
      </c>
      <c r="ED37" s="87">
        <f t="shared" si="43"/>
        <v>13833.888888888889</v>
      </c>
      <c r="EE37" s="88">
        <f t="shared" si="44"/>
        <v>2.8853997682502897E-2</v>
      </c>
      <c r="EG37" s="122">
        <f t="shared" si="45"/>
        <v>0</v>
      </c>
      <c r="EH37" s="87">
        <f t="shared" si="46"/>
        <v>0</v>
      </c>
      <c r="EI37" s="88">
        <f t="shared" si="47"/>
        <v>0</v>
      </c>
      <c r="EJ37" s="88"/>
      <c r="EK37" s="122">
        <f t="shared" si="48"/>
        <v>172600000</v>
      </c>
      <c r="EL37" s="122">
        <f t="shared" si="49"/>
        <v>0</v>
      </c>
      <c r="EM37" s="122">
        <f t="shared" si="50"/>
        <v>13833.888888888889</v>
      </c>
      <c r="EN37" s="88">
        <f t="shared" si="51"/>
        <v>2.8853997682502897E-2</v>
      </c>
    </row>
    <row r="38" spans="1:144" x14ac:dyDescent="0.25">
      <c r="A38" s="35">
        <f t="shared" si="52"/>
        <v>43492</v>
      </c>
      <c r="D38" s="87">
        <f t="shared" si="1"/>
        <v>0</v>
      </c>
      <c r="G38" s="87">
        <f t="shared" si="2"/>
        <v>0</v>
      </c>
      <c r="J38" s="87">
        <f t="shared" si="3"/>
        <v>0</v>
      </c>
      <c r="M38" s="87">
        <f t="shared" si="4"/>
        <v>0</v>
      </c>
      <c r="P38" s="87">
        <f t="shared" si="5"/>
        <v>0</v>
      </c>
      <c r="S38" s="87">
        <f t="shared" si="6"/>
        <v>0</v>
      </c>
      <c r="V38" s="87">
        <f t="shared" si="7"/>
        <v>0</v>
      </c>
      <c r="Y38" s="87">
        <f t="shared" si="8"/>
        <v>0</v>
      </c>
      <c r="AB38" s="87">
        <f t="shared" si="9"/>
        <v>0</v>
      </c>
      <c r="AE38" s="87">
        <v>0</v>
      </c>
      <c r="AH38" s="87">
        <v>0</v>
      </c>
      <c r="AI38" s="120">
        <f>42425000+175000</f>
        <v>42600000</v>
      </c>
      <c r="AJ38" s="121">
        <v>2.7E-2</v>
      </c>
      <c r="AK38" s="87">
        <f t="shared" si="10"/>
        <v>3195</v>
      </c>
      <c r="AL38" s="120">
        <f t="shared" si="55"/>
        <v>30000000</v>
      </c>
      <c r="AM38" s="121">
        <v>2.9000000000000001E-2</v>
      </c>
      <c r="AN38" s="87">
        <f t="shared" si="11"/>
        <v>2416.6666666666665</v>
      </c>
      <c r="AO38" s="120">
        <f t="shared" si="53"/>
        <v>50000000</v>
      </c>
      <c r="AP38" s="121">
        <v>2.9700000000000001E-2</v>
      </c>
      <c r="AQ38" s="87">
        <f t="shared" si="12"/>
        <v>4125</v>
      </c>
      <c r="AR38" s="120">
        <f t="shared" si="54"/>
        <v>50000000</v>
      </c>
      <c r="AS38" s="121">
        <v>2.9499999999999998E-2</v>
      </c>
      <c r="AT38" s="87">
        <f t="shared" si="13"/>
        <v>4097.2222222222226</v>
      </c>
      <c r="AW38" s="87">
        <f t="shared" si="14"/>
        <v>0</v>
      </c>
      <c r="AZ38" s="87">
        <f t="shared" si="15"/>
        <v>0</v>
      </c>
      <c r="BC38" s="87">
        <f t="shared" si="16"/>
        <v>0</v>
      </c>
      <c r="BF38" s="87">
        <f t="shared" si="17"/>
        <v>0</v>
      </c>
      <c r="BI38" s="87">
        <f t="shared" si="18"/>
        <v>0</v>
      </c>
      <c r="BL38" s="87">
        <f t="shared" si="19"/>
        <v>0</v>
      </c>
      <c r="BO38" s="87">
        <f t="shared" si="20"/>
        <v>0</v>
      </c>
      <c r="BR38" s="87">
        <f t="shared" si="21"/>
        <v>0</v>
      </c>
      <c r="BU38" s="87">
        <f t="shared" si="22"/>
        <v>0</v>
      </c>
      <c r="BX38" s="87">
        <f t="shared" si="23"/>
        <v>0</v>
      </c>
      <c r="CA38" s="87">
        <f t="shared" si="24"/>
        <v>0</v>
      </c>
      <c r="CD38" s="87">
        <f t="shared" si="25"/>
        <v>0</v>
      </c>
      <c r="CG38" s="87">
        <f t="shared" si="26"/>
        <v>0</v>
      </c>
      <c r="CJ38" s="87">
        <f t="shared" si="27"/>
        <v>0</v>
      </c>
      <c r="CM38" s="87">
        <f t="shared" si="28"/>
        <v>0</v>
      </c>
      <c r="CP38" s="87">
        <f t="shared" si="29"/>
        <v>0</v>
      </c>
      <c r="CS38" s="87">
        <f t="shared" si="30"/>
        <v>0</v>
      </c>
      <c r="CV38" s="87">
        <f t="shared" si="31"/>
        <v>0</v>
      </c>
      <c r="CY38" s="87">
        <f t="shared" si="32"/>
        <v>0</v>
      </c>
      <c r="DB38" s="87">
        <f t="shared" si="33"/>
        <v>0</v>
      </c>
      <c r="DE38" s="87">
        <f t="shared" si="34"/>
        <v>0</v>
      </c>
      <c r="DH38" s="87">
        <f t="shared" si="35"/>
        <v>0</v>
      </c>
      <c r="DK38" s="87">
        <f t="shared" si="36"/>
        <v>0</v>
      </c>
      <c r="DN38" s="87">
        <f t="shared" si="37"/>
        <v>0</v>
      </c>
      <c r="DQ38" s="87">
        <f t="shared" si="38"/>
        <v>0</v>
      </c>
      <c r="DT38" s="87">
        <f t="shared" si="39"/>
        <v>0</v>
      </c>
      <c r="DW38" s="87">
        <f t="shared" si="40"/>
        <v>0</v>
      </c>
      <c r="DZ38" s="87"/>
      <c r="EA38" s="87"/>
      <c r="EB38" s="122">
        <f t="shared" si="41"/>
        <v>172600000</v>
      </c>
      <c r="EC38" s="122">
        <f t="shared" si="42"/>
        <v>0</v>
      </c>
      <c r="ED38" s="87">
        <f t="shared" si="43"/>
        <v>13833.888888888889</v>
      </c>
      <c r="EE38" s="88">
        <f t="shared" si="44"/>
        <v>2.8853997682502897E-2</v>
      </c>
      <c r="EG38" s="122">
        <f t="shared" si="45"/>
        <v>0</v>
      </c>
      <c r="EH38" s="87">
        <f t="shared" si="46"/>
        <v>0</v>
      </c>
      <c r="EI38" s="88">
        <f t="shared" si="47"/>
        <v>0</v>
      </c>
      <c r="EJ38" s="88"/>
      <c r="EK38" s="122">
        <f t="shared" si="48"/>
        <v>172600000</v>
      </c>
      <c r="EL38" s="122">
        <f t="shared" si="49"/>
        <v>0</v>
      </c>
      <c r="EM38" s="122">
        <f t="shared" si="50"/>
        <v>13833.888888888889</v>
      </c>
      <c r="EN38" s="88">
        <f t="shared" si="51"/>
        <v>2.8853997682502897E-2</v>
      </c>
    </row>
    <row r="39" spans="1:144" x14ac:dyDescent="0.25">
      <c r="A39" s="35">
        <f t="shared" si="52"/>
        <v>43493</v>
      </c>
      <c r="D39" s="87">
        <f t="shared" si="1"/>
        <v>0</v>
      </c>
      <c r="G39" s="87">
        <f t="shared" si="2"/>
        <v>0</v>
      </c>
      <c r="J39" s="87">
        <f t="shared" si="3"/>
        <v>0</v>
      </c>
      <c r="M39" s="87">
        <f t="shared" si="4"/>
        <v>0</v>
      </c>
      <c r="P39" s="87">
        <f t="shared" si="5"/>
        <v>0</v>
      </c>
      <c r="S39" s="87">
        <f t="shared" si="6"/>
        <v>0</v>
      </c>
      <c r="V39" s="87">
        <f t="shared" si="7"/>
        <v>0</v>
      </c>
      <c r="Y39" s="87">
        <f t="shared" si="8"/>
        <v>0</v>
      </c>
      <c r="AB39" s="87">
        <f t="shared" si="9"/>
        <v>0</v>
      </c>
      <c r="AE39" s="87">
        <v>0</v>
      </c>
      <c r="AH39" s="87">
        <v>0</v>
      </c>
      <c r="AI39" s="120">
        <f>62400000</f>
        <v>62400000</v>
      </c>
      <c r="AJ39" s="121">
        <v>2.7E-2</v>
      </c>
      <c r="AK39" s="87">
        <f t="shared" si="10"/>
        <v>4680</v>
      </c>
      <c r="AL39" s="120">
        <f t="shared" si="55"/>
        <v>30000000</v>
      </c>
      <c r="AM39" s="121">
        <v>2.9000000000000001E-2</v>
      </c>
      <c r="AN39" s="87">
        <f t="shared" si="11"/>
        <v>2416.6666666666665</v>
      </c>
      <c r="AO39" s="120">
        <f t="shared" si="53"/>
        <v>50000000</v>
      </c>
      <c r="AP39" s="121">
        <v>2.9700000000000001E-2</v>
      </c>
      <c r="AQ39" s="87">
        <f t="shared" si="12"/>
        <v>4125</v>
      </c>
      <c r="AR39" s="120">
        <f t="shared" si="54"/>
        <v>50000000</v>
      </c>
      <c r="AS39" s="121">
        <v>2.9499999999999998E-2</v>
      </c>
      <c r="AT39" s="87">
        <f t="shared" si="13"/>
        <v>4097.2222222222226</v>
      </c>
      <c r="AW39" s="87">
        <f t="shared" si="14"/>
        <v>0</v>
      </c>
      <c r="AZ39" s="87">
        <f t="shared" si="15"/>
        <v>0</v>
      </c>
      <c r="BC39" s="87">
        <f t="shared" si="16"/>
        <v>0</v>
      </c>
      <c r="BF39" s="87">
        <f t="shared" si="17"/>
        <v>0</v>
      </c>
      <c r="BI39" s="87">
        <f t="shared" si="18"/>
        <v>0</v>
      </c>
      <c r="BL39" s="87">
        <f t="shared" si="19"/>
        <v>0</v>
      </c>
      <c r="BO39" s="87">
        <f t="shared" si="20"/>
        <v>0</v>
      </c>
      <c r="BR39" s="87">
        <f t="shared" si="21"/>
        <v>0</v>
      </c>
      <c r="BU39" s="87">
        <f t="shared" si="22"/>
        <v>0</v>
      </c>
      <c r="BX39" s="87">
        <f t="shared" si="23"/>
        <v>0</v>
      </c>
      <c r="CA39" s="87">
        <f t="shared" si="24"/>
        <v>0</v>
      </c>
      <c r="CD39" s="87">
        <f t="shared" si="25"/>
        <v>0</v>
      </c>
      <c r="CG39" s="87">
        <f t="shared" si="26"/>
        <v>0</v>
      </c>
      <c r="CJ39" s="87">
        <f t="shared" si="27"/>
        <v>0</v>
      </c>
      <c r="CM39" s="87">
        <f t="shared" si="28"/>
        <v>0</v>
      </c>
      <c r="CP39" s="87">
        <f t="shared" si="29"/>
        <v>0</v>
      </c>
      <c r="CS39" s="87">
        <f t="shared" si="30"/>
        <v>0</v>
      </c>
      <c r="CV39" s="87">
        <f t="shared" si="31"/>
        <v>0</v>
      </c>
      <c r="CY39" s="87">
        <f t="shared" si="32"/>
        <v>0</v>
      </c>
      <c r="DB39" s="87">
        <f t="shared" si="33"/>
        <v>0</v>
      </c>
      <c r="DE39" s="87">
        <f t="shared" si="34"/>
        <v>0</v>
      </c>
      <c r="DH39" s="87">
        <f t="shared" si="35"/>
        <v>0</v>
      </c>
      <c r="DK39" s="87">
        <f t="shared" si="36"/>
        <v>0</v>
      </c>
      <c r="DN39" s="87">
        <f t="shared" si="37"/>
        <v>0</v>
      </c>
      <c r="DQ39" s="87">
        <f t="shared" si="38"/>
        <v>0</v>
      </c>
      <c r="DT39" s="87">
        <f t="shared" si="39"/>
        <v>0</v>
      </c>
      <c r="DW39" s="87">
        <f t="shared" si="40"/>
        <v>0</v>
      </c>
      <c r="DZ39" s="87"/>
      <c r="EA39" s="87"/>
      <c r="EB39" s="122">
        <f t="shared" si="41"/>
        <v>192400000</v>
      </c>
      <c r="EC39" s="122">
        <f t="shared" si="42"/>
        <v>0</v>
      </c>
      <c r="ED39" s="87">
        <f t="shared" si="43"/>
        <v>15318.888888888889</v>
      </c>
      <c r="EE39" s="88">
        <f t="shared" si="44"/>
        <v>2.8663201663201663E-2</v>
      </c>
      <c r="EG39" s="122">
        <f t="shared" si="45"/>
        <v>0</v>
      </c>
      <c r="EH39" s="87">
        <f t="shared" si="46"/>
        <v>0</v>
      </c>
      <c r="EI39" s="88">
        <f t="shared" si="47"/>
        <v>0</v>
      </c>
      <c r="EJ39" s="88"/>
      <c r="EK39" s="122">
        <f t="shared" si="48"/>
        <v>192400000</v>
      </c>
      <c r="EL39" s="122">
        <f t="shared" si="49"/>
        <v>0</v>
      </c>
      <c r="EM39" s="122">
        <f t="shared" si="50"/>
        <v>15318.888888888889</v>
      </c>
      <c r="EN39" s="88">
        <f t="shared" si="51"/>
        <v>2.8663201663201663E-2</v>
      </c>
    </row>
    <row r="40" spans="1:144" x14ac:dyDescent="0.25">
      <c r="A40" s="35">
        <f t="shared" si="52"/>
        <v>43494</v>
      </c>
      <c r="D40" s="87">
        <f t="shared" si="1"/>
        <v>0</v>
      </c>
      <c r="G40" s="87">
        <f t="shared" si="2"/>
        <v>0</v>
      </c>
      <c r="J40" s="87">
        <f t="shared" si="3"/>
        <v>0</v>
      </c>
      <c r="M40" s="87">
        <f t="shared" si="4"/>
        <v>0</v>
      </c>
      <c r="P40" s="87">
        <f t="shared" si="5"/>
        <v>0</v>
      </c>
      <c r="S40" s="87">
        <f t="shared" si="6"/>
        <v>0</v>
      </c>
      <c r="V40" s="87">
        <f t="shared" si="7"/>
        <v>0</v>
      </c>
      <c r="Y40" s="87">
        <f t="shared" si="8"/>
        <v>0</v>
      </c>
      <c r="AB40" s="87">
        <f t="shared" si="9"/>
        <v>0</v>
      </c>
      <c r="AE40" s="87">
        <v>0</v>
      </c>
      <c r="AH40" s="87">
        <v>0</v>
      </c>
      <c r="AI40" s="120">
        <f>51050000</f>
        <v>51050000</v>
      </c>
      <c r="AJ40" s="121">
        <v>2.7E-2</v>
      </c>
      <c r="AK40" s="87">
        <f t="shared" si="10"/>
        <v>3828.75</v>
      </c>
      <c r="AL40" s="120">
        <f t="shared" si="55"/>
        <v>30000000</v>
      </c>
      <c r="AM40" s="121">
        <v>2.9000000000000001E-2</v>
      </c>
      <c r="AN40" s="87">
        <f t="shared" si="11"/>
        <v>2416.6666666666665</v>
      </c>
      <c r="AO40" s="120">
        <f t="shared" si="53"/>
        <v>50000000</v>
      </c>
      <c r="AP40" s="121">
        <v>2.9700000000000001E-2</v>
      </c>
      <c r="AQ40" s="87">
        <f t="shared" si="12"/>
        <v>4125</v>
      </c>
      <c r="AR40" s="120">
        <f t="shared" si="54"/>
        <v>50000000</v>
      </c>
      <c r="AS40" s="121">
        <v>2.9499999999999998E-2</v>
      </c>
      <c r="AT40" s="87">
        <f t="shared" si="13"/>
        <v>4097.2222222222226</v>
      </c>
      <c r="AW40" s="87">
        <f t="shared" si="14"/>
        <v>0</v>
      </c>
      <c r="AZ40" s="87">
        <f t="shared" si="15"/>
        <v>0</v>
      </c>
      <c r="BC40" s="87">
        <f t="shared" si="16"/>
        <v>0</v>
      </c>
      <c r="BF40" s="87">
        <f t="shared" si="17"/>
        <v>0</v>
      </c>
      <c r="BI40" s="87">
        <f t="shared" si="18"/>
        <v>0</v>
      </c>
      <c r="BL40" s="87">
        <f t="shared" si="19"/>
        <v>0</v>
      </c>
      <c r="BO40" s="87">
        <f t="shared" si="20"/>
        <v>0</v>
      </c>
      <c r="BR40" s="87">
        <f t="shared" si="21"/>
        <v>0</v>
      </c>
      <c r="BU40" s="87">
        <f t="shared" si="22"/>
        <v>0</v>
      </c>
      <c r="BX40" s="87">
        <f t="shared" si="23"/>
        <v>0</v>
      </c>
      <c r="CA40" s="87">
        <f t="shared" si="24"/>
        <v>0</v>
      </c>
      <c r="CD40" s="87">
        <f t="shared" si="25"/>
        <v>0</v>
      </c>
      <c r="CG40" s="87">
        <f t="shared" si="26"/>
        <v>0</v>
      </c>
      <c r="CJ40" s="87">
        <f t="shared" si="27"/>
        <v>0</v>
      </c>
      <c r="CM40" s="87">
        <f t="shared" si="28"/>
        <v>0</v>
      </c>
      <c r="CP40" s="87">
        <f t="shared" si="29"/>
        <v>0</v>
      </c>
      <c r="CS40" s="87">
        <f t="shared" si="30"/>
        <v>0</v>
      </c>
      <c r="CV40" s="87">
        <f t="shared" si="31"/>
        <v>0</v>
      </c>
      <c r="CY40" s="87">
        <f t="shared" si="32"/>
        <v>0</v>
      </c>
      <c r="DB40" s="87">
        <f t="shared" si="33"/>
        <v>0</v>
      </c>
      <c r="DE40" s="87">
        <f t="shared" si="34"/>
        <v>0</v>
      </c>
      <c r="DH40" s="87">
        <f t="shared" si="35"/>
        <v>0</v>
      </c>
      <c r="DK40" s="87">
        <f t="shared" si="36"/>
        <v>0</v>
      </c>
      <c r="DN40" s="87">
        <f t="shared" si="37"/>
        <v>0</v>
      </c>
      <c r="DQ40" s="87">
        <f t="shared" si="38"/>
        <v>0</v>
      </c>
      <c r="DT40" s="87">
        <f t="shared" si="39"/>
        <v>0</v>
      </c>
      <c r="DW40" s="87">
        <f t="shared" si="40"/>
        <v>0</v>
      </c>
      <c r="DZ40" s="87"/>
      <c r="EA40" s="87"/>
      <c r="EB40" s="122">
        <f t="shared" si="41"/>
        <v>181050000</v>
      </c>
      <c r="EC40" s="122">
        <f t="shared" si="42"/>
        <v>0</v>
      </c>
      <c r="ED40" s="87">
        <f t="shared" si="43"/>
        <v>14467.638888888889</v>
      </c>
      <c r="EE40" s="88">
        <f t="shared" si="44"/>
        <v>2.8767467550400438E-2</v>
      </c>
      <c r="EG40" s="122">
        <f t="shared" si="45"/>
        <v>0</v>
      </c>
      <c r="EH40" s="87">
        <f t="shared" si="46"/>
        <v>0</v>
      </c>
      <c r="EI40" s="88">
        <f t="shared" si="47"/>
        <v>0</v>
      </c>
      <c r="EJ40" s="88"/>
      <c r="EK40" s="122">
        <f t="shared" si="48"/>
        <v>181050000</v>
      </c>
      <c r="EL40" s="122">
        <f t="shared" si="49"/>
        <v>0</v>
      </c>
      <c r="EM40" s="122">
        <f t="shared" si="50"/>
        <v>14467.638888888889</v>
      </c>
      <c r="EN40" s="88">
        <f t="shared" si="51"/>
        <v>2.8767467550400438E-2</v>
      </c>
    </row>
    <row r="41" spans="1:144" x14ac:dyDescent="0.25">
      <c r="A41" s="35">
        <f t="shared" si="52"/>
        <v>43495</v>
      </c>
      <c r="D41" s="87">
        <f t="shared" si="1"/>
        <v>0</v>
      </c>
      <c r="G41" s="87">
        <f t="shared" si="2"/>
        <v>0</v>
      </c>
      <c r="J41" s="87">
        <f t="shared" si="3"/>
        <v>0</v>
      </c>
      <c r="M41" s="87">
        <f t="shared" si="4"/>
        <v>0</v>
      </c>
      <c r="P41" s="87">
        <f t="shared" si="5"/>
        <v>0</v>
      </c>
      <c r="S41" s="87">
        <f t="shared" si="6"/>
        <v>0</v>
      </c>
      <c r="V41" s="87">
        <f t="shared" si="7"/>
        <v>0</v>
      </c>
      <c r="Y41" s="87">
        <f t="shared" si="8"/>
        <v>0</v>
      </c>
      <c r="AB41" s="87">
        <f t="shared" si="9"/>
        <v>0</v>
      </c>
      <c r="AE41" s="87">
        <v>0</v>
      </c>
      <c r="AH41" s="87">
        <v>0</v>
      </c>
      <c r="AI41" s="120">
        <f>68900000</f>
        <v>68900000</v>
      </c>
      <c r="AJ41" s="121">
        <v>2.7E-2</v>
      </c>
      <c r="AK41" s="87">
        <f t="shared" si="10"/>
        <v>5167.5</v>
      </c>
      <c r="AL41" s="120">
        <f t="shared" si="55"/>
        <v>30000000</v>
      </c>
      <c r="AM41" s="121">
        <v>2.9000000000000001E-2</v>
      </c>
      <c r="AN41" s="87">
        <f t="shared" si="11"/>
        <v>2416.6666666666665</v>
      </c>
      <c r="AO41" s="120">
        <f t="shared" si="53"/>
        <v>50000000</v>
      </c>
      <c r="AP41" s="121">
        <v>2.9700000000000001E-2</v>
      </c>
      <c r="AQ41" s="87">
        <f t="shared" si="12"/>
        <v>4125</v>
      </c>
      <c r="AR41" s="120">
        <f t="shared" si="54"/>
        <v>50000000</v>
      </c>
      <c r="AS41" s="121">
        <v>2.9499999999999998E-2</v>
      </c>
      <c r="AT41" s="87">
        <f t="shared" si="13"/>
        <v>4097.2222222222226</v>
      </c>
      <c r="AW41" s="87">
        <f t="shared" si="14"/>
        <v>0</v>
      </c>
      <c r="AZ41" s="87">
        <f t="shared" si="15"/>
        <v>0</v>
      </c>
      <c r="BC41" s="87">
        <f t="shared" si="16"/>
        <v>0</v>
      </c>
      <c r="BF41" s="87">
        <f t="shared" si="17"/>
        <v>0</v>
      </c>
      <c r="BI41" s="87">
        <f t="shared" si="18"/>
        <v>0</v>
      </c>
      <c r="BL41" s="87">
        <f t="shared" si="19"/>
        <v>0</v>
      </c>
      <c r="BO41" s="87">
        <f t="shared" si="20"/>
        <v>0</v>
      </c>
      <c r="BR41" s="87">
        <f t="shared" si="21"/>
        <v>0</v>
      </c>
      <c r="BU41" s="87">
        <f t="shared" si="22"/>
        <v>0</v>
      </c>
      <c r="BX41" s="87">
        <f t="shared" si="23"/>
        <v>0</v>
      </c>
      <c r="CA41" s="87">
        <f t="shared" si="24"/>
        <v>0</v>
      </c>
      <c r="CD41" s="87">
        <f t="shared" si="25"/>
        <v>0</v>
      </c>
      <c r="CG41" s="87">
        <f t="shared" si="26"/>
        <v>0</v>
      </c>
      <c r="CJ41" s="87">
        <f t="shared" si="27"/>
        <v>0</v>
      </c>
      <c r="CM41" s="87">
        <f t="shared" si="28"/>
        <v>0</v>
      </c>
      <c r="CP41" s="87">
        <f t="shared" si="29"/>
        <v>0</v>
      </c>
      <c r="CS41" s="87">
        <f t="shared" si="30"/>
        <v>0</v>
      </c>
      <c r="CV41" s="87">
        <f t="shared" si="31"/>
        <v>0</v>
      </c>
      <c r="CY41" s="87">
        <f t="shared" si="32"/>
        <v>0</v>
      </c>
      <c r="DB41" s="87">
        <f t="shared" si="33"/>
        <v>0</v>
      </c>
      <c r="DE41" s="87">
        <f t="shared" si="34"/>
        <v>0</v>
      </c>
      <c r="DH41" s="87">
        <f t="shared" si="35"/>
        <v>0</v>
      </c>
      <c r="DK41" s="87">
        <f t="shared" si="36"/>
        <v>0</v>
      </c>
      <c r="DN41" s="87">
        <f t="shared" si="37"/>
        <v>0</v>
      </c>
      <c r="DQ41" s="87">
        <f t="shared" si="38"/>
        <v>0</v>
      </c>
      <c r="DT41" s="87">
        <f t="shared" si="39"/>
        <v>0</v>
      </c>
      <c r="DW41" s="87">
        <f t="shared" si="40"/>
        <v>0</v>
      </c>
      <c r="DZ41" s="85"/>
      <c r="EA41" s="87"/>
      <c r="EB41" s="122">
        <f t="shared" si="41"/>
        <v>198900000</v>
      </c>
      <c r="EC41" s="122">
        <f t="shared" si="42"/>
        <v>0</v>
      </c>
      <c r="ED41" s="87">
        <f t="shared" si="43"/>
        <v>15806.388888888889</v>
      </c>
      <c r="EE41" s="88">
        <f t="shared" si="44"/>
        <v>2.8608848667672198E-2</v>
      </c>
      <c r="EG41" s="122">
        <f t="shared" si="45"/>
        <v>0</v>
      </c>
      <c r="EH41" s="87">
        <f t="shared" si="46"/>
        <v>0</v>
      </c>
      <c r="EI41" s="88">
        <f t="shared" si="47"/>
        <v>0</v>
      </c>
      <c r="EJ41" s="88"/>
      <c r="EK41" s="122">
        <f t="shared" si="48"/>
        <v>198900000</v>
      </c>
      <c r="EL41" s="122">
        <f t="shared" si="49"/>
        <v>0</v>
      </c>
      <c r="EM41" s="122">
        <f t="shared" si="50"/>
        <v>15806.388888888889</v>
      </c>
      <c r="EN41" s="88">
        <f t="shared" si="51"/>
        <v>2.8608848667672198E-2</v>
      </c>
    </row>
    <row r="42" spans="1:144" x14ac:dyDescent="0.25">
      <c r="A42" s="35">
        <f t="shared" si="52"/>
        <v>43496</v>
      </c>
      <c r="D42" s="87">
        <f t="shared" si="1"/>
        <v>0</v>
      </c>
      <c r="G42" s="87">
        <f t="shared" si="2"/>
        <v>0</v>
      </c>
      <c r="J42" s="87">
        <f t="shared" si="3"/>
        <v>0</v>
      </c>
      <c r="M42" s="87">
        <f t="shared" si="4"/>
        <v>0</v>
      </c>
      <c r="P42" s="87">
        <f t="shared" si="5"/>
        <v>0</v>
      </c>
      <c r="S42" s="87">
        <f t="shared" si="6"/>
        <v>0</v>
      </c>
      <c r="V42" s="87">
        <f t="shared" si="7"/>
        <v>0</v>
      </c>
      <c r="Y42" s="87">
        <f t="shared" si="8"/>
        <v>0</v>
      </c>
      <c r="AB42" s="87">
        <f t="shared" si="9"/>
        <v>0</v>
      </c>
      <c r="AE42" s="87">
        <v>0</v>
      </c>
      <c r="AH42" s="87">
        <v>0</v>
      </c>
      <c r="AI42" s="120">
        <f>67225000</f>
        <v>67225000</v>
      </c>
      <c r="AJ42" s="121">
        <v>2.7E-2</v>
      </c>
      <c r="AK42" s="87">
        <f t="shared" si="10"/>
        <v>5041.875</v>
      </c>
      <c r="AL42" s="120">
        <f t="shared" si="55"/>
        <v>30000000</v>
      </c>
      <c r="AM42" s="121">
        <v>2.9000000000000001E-2</v>
      </c>
      <c r="AN42" s="87">
        <f t="shared" si="11"/>
        <v>2416.6666666666665</v>
      </c>
      <c r="AO42" s="120">
        <f t="shared" si="53"/>
        <v>50000000</v>
      </c>
      <c r="AP42" s="121">
        <v>2.9700000000000001E-2</v>
      </c>
      <c r="AQ42" s="87">
        <f t="shared" si="12"/>
        <v>4125</v>
      </c>
      <c r="AR42" s="120">
        <f t="shared" si="54"/>
        <v>50000000</v>
      </c>
      <c r="AS42" s="121">
        <v>2.9499999999999998E-2</v>
      </c>
      <c r="AT42" s="87">
        <f t="shared" si="13"/>
        <v>4097.2222222222226</v>
      </c>
      <c r="AW42" s="87">
        <f t="shared" si="14"/>
        <v>0</v>
      </c>
      <c r="AZ42" s="87">
        <f t="shared" si="15"/>
        <v>0</v>
      </c>
      <c r="BC42" s="87">
        <f t="shared" si="16"/>
        <v>0</v>
      </c>
      <c r="BF42" s="87">
        <f t="shared" si="17"/>
        <v>0</v>
      </c>
      <c r="BI42" s="87">
        <f t="shared" si="18"/>
        <v>0</v>
      </c>
      <c r="BL42" s="87">
        <f t="shared" si="19"/>
        <v>0</v>
      </c>
      <c r="BO42" s="87">
        <f t="shared" si="20"/>
        <v>0</v>
      </c>
      <c r="BR42" s="87">
        <f t="shared" si="21"/>
        <v>0</v>
      </c>
      <c r="BU42" s="87">
        <f t="shared" si="22"/>
        <v>0</v>
      </c>
      <c r="BX42" s="87">
        <f t="shared" si="23"/>
        <v>0</v>
      </c>
      <c r="CA42" s="87">
        <f t="shared" si="24"/>
        <v>0</v>
      </c>
      <c r="CD42" s="87">
        <f t="shared" si="25"/>
        <v>0</v>
      </c>
      <c r="CG42" s="87">
        <f t="shared" si="26"/>
        <v>0</v>
      </c>
      <c r="CJ42" s="87">
        <f t="shared" si="27"/>
        <v>0</v>
      </c>
      <c r="CM42" s="87">
        <f t="shared" si="28"/>
        <v>0</v>
      </c>
      <c r="CP42" s="87">
        <f t="shared" si="29"/>
        <v>0</v>
      </c>
      <c r="CS42" s="87">
        <f t="shared" si="30"/>
        <v>0</v>
      </c>
      <c r="CV42" s="87">
        <f t="shared" si="31"/>
        <v>0</v>
      </c>
      <c r="CY42" s="87">
        <f t="shared" si="32"/>
        <v>0</v>
      </c>
      <c r="DB42" s="87">
        <f t="shared" si="33"/>
        <v>0</v>
      </c>
      <c r="DE42" s="87">
        <f t="shared" si="34"/>
        <v>0</v>
      </c>
      <c r="DH42" s="87">
        <f t="shared" si="35"/>
        <v>0</v>
      </c>
      <c r="DK42" s="87">
        <f t="shared" si="36"/>
        <v>0</v>
      </c>
      <c r="DN42" s="87">
        <f t="shared" si="37"/>
        <v>0</v>
      </c>
      <c r="DQ42" s="87">
        <f t="shared" si="38"/>
        <v>0</v>
      </c>
      <c r="DT42" s="87">
        <f t="shared" si="39"/>
        <v>0</v>
      </c>
      <c r="DW42" s="87">
        <f t="shared" si="40"/>
        <v>0</v>
      </c>
      <c r="DZ42" s="85"/>
      <c r="EA42" s="87"/>
      <c r="EB42" s="122">
        <f t="shared" si="41"/>
        <v>197225000</v>
      </c>
      <c r="EC42" s="122">
        <f t="shared" si="42"/>
        <v>0</v>
      </c>
      <c r="ED42" s="87">
        <f t="shared" si="43"/>
        <v>15680.763888888889</v>
      </c>
      <c r="EE42" s="88">
        <f t="shared" si="44"/>
        <v>2.8622512358980858E-2</v>
      </c>
      <c r="EG42" s="122">
        <f t="shared" si="45"/>
        <v>0</v>
      </c>
      <c r="EH42" s="87">
        <f t="shared" si="46"/>
        <v>0</v>
      </c>
      <c r="EI42" s="88">
        <f t="shared" si="47"/>
        <v>0</v>
      </c>
      <c r="EJ42" s="88"/>
      <c r="EK42" s="122">
        <f t="shared" si="48"/>
        <v>197225000</v>
      </c>
      <c r="EL42" s="122">
        <f t="shared" si="49"/>
        <v>0</v>
      </c>
      <c r="EM42" s="122">
        <f t="shared" si="50"/>
        <v>15680.763888888889</v>
      </c>
      <c r="EN42" s="88">
        <f t="shared" si="51"/>
        <v>2.8622512358980858E-2</v>
      </c>
    </row>
    <row r="43" spans="1:144" x14ac:dyDescent="0.25">
      <c r="A43" s="123" t="s">
        <v>76</v>
      </c>
      <c r="D43" s="124">
        <f>SUM(D12:D42)</f>
        <v>0</v>
      </c>
      <c r="G43" s="124">
        <f>SUM(G12:G42)</f>
        <v>0</v>
      </c>
      <c r="J43" s="124">
        <f>SUM(J12:J42)</f>
        <v>0</v>
      </c>
      <c r="M43" s="124">
        <f>SUM(M12:M42)</f>
        <v>0</v>
      </c>
      <c r="P43" s="124">
        <f>SUM(P12:P42)</f>
        <v>0</v>
      </c>
      <c r="S43" s="124">
        <f>SUM(S12:S42)</f>
        <v>0</v>
      </c>
      <c r="V43" s="124">
        <f>SUM(V12:V42)</f>
        <v>0</v>
      </c>
      <c r="Y43" s="124">
        <f>SUM(Y12:Y42)</f>
        <v>0</v>
      </c>
      <c r="AB43" s="124">
        <f>SUM(AB12:AB42)</f>
        <v>0</v>
      </c>
      <c r="AE43" s="124">
        <f>SUM(AE12:AE42)</f>
        <v>0</v>
      </c>
      <c r="AH43" s="124">
        <f>SUM(AH12:AH42)</f>
        <v>0</v>
      </c>
      <c r="AK43" s="124">
        <f>SUM(AK12:AK42)</f>
        <v>103753.04166666666</v>
      </c>
      <c r="AN43" s="124">
        <f>SUM(AN12:AN42)</f>
        <v>39277.777777777774</v>
      </c>
      <c r="AQ43" s="124">
        <f>SUM(AQ12:AQ42)</f>
        <v>115500</v>
      </c>
      <c r="AT43" s="124">
        <f>SUM(AT12:AT42)</f>
        <v>73749.999999999971</v>
      </c>
      <c r="AW43" s="124">
        <f>SUM(AW12:AW42)</f>
        <v>0</v>
      </c>
      <c r="AZ43" s="124">
        <f>SUM(AZ12:AZ42)</f>
        <v>0</v>
      </c>
      <c r="BC43" s="124">
        <f>SUM(BC12:BC42)</f>
        <v>0</v>
      </c>
      <c r="BF43" s="124">
        <f>SUM(BF12:BF42)</f>
        <v>0</v>
      </c>
      <c r="BI43" s="124">
        <f>SUM(BI12:BI42)</f>
        <v>0</v>
      </c>
      <c r="BL43" s="124">
        <f>SUM(BL12:BL42)</f>
        <v>0</v>
      </c>
      <c r="BO43" s="124">
        <f>SUM(BO12:BO42)</f>
        <v>0</v>
      </c>
      <c r="BR43" s="124">
        <f>SUM(BR12:BR42)</f>
        <v>0</v>
      </c>
      <c r="BU43" s="124">
        <f>SUM(BU12:BU42)</f>
        <v>0</v>
      </c>
      <c r="BX43" s="124">
        <f>SUM(BX12:BX42)</f>
        <v>0</v>
      </c>
      <c r="CA43" s="124">
        <f>SUM(CA12:CA42)</f>
        <v>0</v>
      </c>
      <c r="CD43" s="124">
        <f>SUM(CD12:CD42)</f>
        <v>0</v>
      </c>
      <c r="CG43" s="124">
        <f>SUM(CG12:CG42)</f>
        <v>0</v>
      </c>
      <c r="CJ43" s="124">
        <f>SUM(CJ12:CJ42)</f>
        <v>0</v>
      </c>
      <c r="CM43" s="124">
        <f>SUM(CM12:CM42)</f>
        <v>0</v>
      </c>
      <c r="CP43" s="124">
        <f>SUM(CP12:CP42)</f>
        <v>0</v>
      </c>
      <c r="CS43" s="124">
        <f>SUM(CS12:CS42)</f>
        <v>0</v>
      </c>
      <c r="CV43" s="124">
        <f>SUM(CV12:CV42)</f>
        <v>0</v>
      </c>
      <c r="CY43" s="124">
        <f>SUM(CY12:CY42)</f>
        <v>0</v>
      </c>
      <c r="DB43" s="124">
        <f>SUM(DB12:DB42)</f>
        <v>0</v>
      </c>
      <c r="DE43" s="124">
        <f>SUM(DE12:DE42)</f>
        <v>0</v>
      </c>
      <c r="DH43" s="124">
        <f>SUM(DH12:DH42)</f>
        <v>0</v>
      </c>
      <c r="DK43" s="124">
        <f>SUM(DK12:DK42)</f>
        <v>0</v>
      </c>
      <c r="DN43" s="124">
        <f>SUM(DN12:DN42)</f>
        <v>0</v>
      </c>
      <c r="DQ43" s="124">
        <f>SUM(DQ12:DQ42)</f>
        <v>0</v>
      </c>
      <c r="DT43" s="124">
        <f>SUM(DT12:DT42)</f>
        <v>0</v>
      </c>
      <c r="DW43" s="124">
        <f>SUM(DW12:DW42)</f>
        <v>0</v>
      </c>
      <c r="DZ43" s="85"/>
      <c r="EA43" s="85"/>
      <c r="EB43" s="87"/>
      <c r="EC43" s="87"/>
      <c r="ED43" s="124">
        <f>SUM(ED12:ED42)</f>
        <v>332280.81944444426</v>
      </c>
      <c r="EE43" s="88"/>
      <c r="EG43" s="87"/>
      <c r="EH43" s="124">
        <f>SUM(EH12:EH42)</f>
        <v>0</v>
      </c>
      <c r="EI43" s="88"/>
      <c r="EJ43" s="88"/>
      <c r="EK43" s="87"/>
      <c r="EL43" s="87"/>
      <c r="EM43" s="124">
        <f>SUM(EM12:EM42)</f>
        <v>332280.81944444426</v>
      </c>
      <c r="EN43" s="88"/>
    </row>
    <row r="45" spans="1:144" x14ac:dyDescent="0.25">
      <c r="EM45" s="125"/>
    </row>
    <row r="46" spans="1:144" x14ac:dyDescent="0.25">
      <c r="EM46" s="125"/>
    </row>
    <row r="47" spans="1:144" x14ac:dyDescent="0.25">
      <c r="EM47" s="87"/>
    </row>
    <row r="48" spans="1:144" x14ac:dyDescent="0.25">
      <c r="EM48" s="87"/>
    </row>
    <row r="51" spans="143:143" x14ac:dyDescent="0.25">
      <c r="EM51" s="125"/>
    </row>
    <row r="52" spans="143:143" x14ac:dyDescent="0.25">
      <c r="EM52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Monthly Cost Tracker 1</vt:lpstr>
      <vt:lpstr>Monthly Cost Tracker 2</vt:lpstr>
      <vt:lpstr>Monthly Cost Tracker 3</vt:lpstr>
      <vt:lpstr>True-Up</vt:lpstr>
      <vt:lpstr>Rate Schedule</vt:lpstr>
      <vt:lpstr>RRR</vt:lpstr>
      <vt:lpstr>SRP</vt:lpstr>
      <vt:lpstr>RAC</vt:lpstr>
      <vt:lpstr>Jan 19 int</vt:lpstr>
      <vt:lpstr>Feb 19 int</vt:lpstr>
      <vt:lpstr>Mar 19 int</vt:lpstr>
      <vt:lpstr>Apr 19 int</vt:lpstr>
      <vt:lpstr>May 19 int</vt:lpstr>
      <vt:lpstr>June 19 int</vt:lpstr>
      <vt:lpstr>July 19 int</vt:lpstr>
      <vt:lpstr>WACC</vt:lpstr>
      <vt:lpstr>Rate Base</vt:lpstr>
      <vt:lpstr>Aug 20 Int</vt:lpstr>
      <vt:lpstr>Sept 20 Int</vt:lpstr>
      <vt:lpstr>Oct 20 Int</vt:lpstr>
      <vt:lpstr>Nov 20 Int</vt:lpstr>
      <vt:lpstr>Dec 20 Int</vt:lpstr>
      <vt:lpstr>Jan 21 Int</vt:lpstr>
      <vt:lpstr>Feb 21 Int</vt:lpstr>
      <vt:lpstr>Mar 21 Int</vt:lpstr>
      <vt:lpstr>Apr 21 Int</vt:lpstr>
      <vt:lpstr>May 21 Int</vt:lpstr>
      <vt:lpstr>Jun 21 Int</vt:lpstr>
      <vt:lpstr>Jul 21 Int</vt:lpstr>
      <vt:lpstr>'Rate Schedule'!Print_Area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cp:lastPrinted>2021-09-29T15:05:18Z</cp:lastPrinted>
  <dcterms:created xsi:type="dcterms:W3CDTF">2019-08-15T19:17:26Z</dcterms:created>
  <dcterms:modified xsi:type="dcterms:W3CDTF">2021-09-29T15:05:21Z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