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9\DataRequests\19582\Library\Red lines\"/>
    </mc:Choice>
  </mc:AlternateContent>
  <xr:revisionPtr revIDLastSave="0" documentId="13_ncr:1_{7C637E44-E3DF-4FC2-9E2E-54D8829E99C7}" xr6:coauthVersionLast="36" xr6:coauthVersionMax="36" xr10:uidLastSave="{00000000-0000-0000-0000-000000000000}"/>
  <bookViews>
    <workbookView xWindow="120" yWindow="225" windowWidth="15240" windowHeight="4605" xr2:uid="{00000000-000D-0000-FFFF-FFFF00000000}"/>
  </bookViews>
  <sheets>
    <sheet name="tariff tables" sheetId="5" r:id="rId1"/>
    <sheet name="PPC Cycle 2" sheetId="4" r:id="rId2"/>
    <sheet name="PPC Cycle 3" sheetId="19" r:id="rId3"/>
    <sheet name="PCR Cycle 1" sheetId="1" r:id="rId4"/>
    <sheet name="PCR Cycle 2" sheetId="15" r:id="rId5"/>
    <sheet name="PTD Cycle 2" sheetId="12" r:id="rId6"/>
    <sheet name="PTD Cycle 3" sheetId="20" r:id="rId7"/>
    <sheet name="TDR Cycle 1" sheetId="11" r:id="rId8"/>
    <sheet name="TDR Cycle 2" sheetId="16" r:id="rId9"/>
    <sheet name="EO Cycle 2" sheetId="8" r:id="rId10"/>
    <sheet name="EOR Cycle 1" sheetId="9" r:id="rId11"/>
    <sheet name="OA Cycle 2" sheetId="10" r:id="rId12"/>
    <sheet name="OAR Cycle 2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12">'OAR Cycle 2'!$A$1:$L$51</definedName>
    <definedName name="_xlnm.Print_Area" localSheetId="3">'PCR Cycle 1'!$A$1:$N$60</definedName>
    <definedName name="_xlnm.Print_Area" localSheetId="4">'PCR Cycle 2'!$A$1:$N$60</definedName>
    <definedName name="solver_adj" localSheetId="3" hidden="1">'PCR Cycle 1'!$E$43</definedName>
    <definedName name="solver_adj" localSheetId="4" hidden="1">'PCR Cycle 2'!$E$43</definedName>
    <definedName name="solver_adj" localSheetId="7" hidden="1">'TDR Cycle 1'!#REF!</definedName>
    <definedName name="solver_adj" localSheetId="8" hidden="1">'TDR Cycle 2'!#REF!</definedName>
    <definedName name="solver_cvg" localSheetId="3" hidden="1">0.0001</definedName>
    <definedName name="solver_cvg" localSheetId="4" hidden="1">0.0001</definedName>
    <definedName name="solver_cvg" localSheetId="7" hidden="1">0.0001</definedName>
    <definedName name="solver_cvg" localSheetId="8" hidden="1">0.0001</definedName>
    <definedName name="solver_drv" localSheetId="3" hidden="1">1</definedName>
    <definedName name="solver_drv" localSheetId="4" hidden="1">1</definedName>
    <definedName name="solver_drv" localSheetId="7" hidden="1">2</definedName>
    <definedName name="solver_drv" localSheetId="8" hidden="1">2</definedName>
    <definedName name="solver_eng" localSheetId="3" hidden="1">1</definedName>
    <definedName name="solver_eng" localSheetId="4" hidden="1">1</definedName>
    <definedName name="solver_eng" localSheetId="7" hidden="1">1</definedName>
    <definedName name="solver_eng" localSheetId="8" hidden="1">1</definedName>
    <definedName name="solver_est" localSheetId="3" hidden="1">1</definedName>
    <definedName name="solver_est" localSheetId="4" hidden="1">1</definedName>
    <definedName name="solver_est" localSheetId="7" hidden="1">1</definedName>
    <definedName name="solver_est" localSheetId="8" hidden="1">1</definedName>
    <definedName name="solver_itr" localSheetId="3" hidden="1">2147483647</definedName>
    <definedName name="solver_itr" localSheetId="4" hidden="1">2147483647</definedName>
    <definedName name="solver_itr" localSheetId="7" hidden="1">2147483647</definedName>
    <definedName name="solver_itr" localSheetId="8" hidden="1">2147483647</definedName>
    <definedName name="solver_mip" localSheetId="3" hidden="1">2147483647</definedName>
    <definedName name="solver_mip" localSheetId="4" hidden="1">2147483647</definedName>
    <definedName name="solver_mip" localSheetId="7" hidden="1">2147483647</definedName>
    <definedName name="solver_mip" localSheetId="8" hidden="1">2147483647</definedName>
    <definedName name="solver_mni" localSheetId="3" hidden="1">30</definedName>
    <definedName name="solver_mni" localSheetId="4" hidden="1">30</definedName>
    <definedName name="solver_mni" localSheetId="7" hidden="1">30</definedName>
    <definedName name="solver_mni" localSheetId="8" hidden="1">30</definedName>
    <definedName name="solver_mrt" localSheetId="3" hidden="1">0.075</definedName>
    <definedName name="solver_mrt" localSheetId="4" hidden="1">0.075</definedName>
    <definedName name="solver_mrt" localSheetId="7" hidden="1">0.075</definedName>
    <definedName name="solver_mrt" localSheetId="8" hidden="1">0.075</definedName>
    <definedName name="solver_msl" localSheetId="3" hidden="1">2</definedName>
    <definedName name="solver_msl" localSheetId="4" hidden="1">2</definedName>
    <definedName name="solver_msl" localSheetId="7" hidden="1">2</definedName>
    <definedName name="solver_msl" localSheetId="8" hidden="1">2</definedName>
    <definedName name="solver_neg" localSheetId="3" hidden="1">1</definedName>
    <definedName name="solver_neg" localSheetId="4" hidden="1">1</definedName>
    <definedName name="solver_neg" localSheetId="7" hidden="1">1</definedName>
    <definedName name="solver_neg" localSheetId="8" hidden="1">1</definedName>
    <definedName name="solver_nod" localSheetId="3" hidden="1">2147483647</definedName>
    <definedName name="solver_nod" localSheetId="4" hidden="1">2147483647</definedName>
    <definedName name="solver_nod" localSheetId="7" hidden="1">2147483647</definedName>
    <definedName name="solver_nod" localSheetId="8" hidden="1">2147483647</definedName>
    <definedName name="solver_num" localSheetId="3" hidden="1">0</definedName>
    <definedName name="solver_num" localSheetId="4" hidden="1">0</definedName>
    <definedName name="solver_num" localSheetId="7" hidden="1">0</definedName>
    <definedName name="solver_num" localSheetId="8" hidden="1">0</definedName>
    <definedName name="solver_nwt" localSheetId="3" hidden="1">1</definedName>
    <definedName name="solver_nwt" localSheetId="4" hidden="1">1</definedName>
    <definedName name="solver_nwt" localSheetId="7" hidden="1">1</definedName>
    <definedName name="solver_nwt" localSheetId="8" hidden="1">1</definedName>
    <definedName name="solver_opt" localSheetId="3" hidden="1">'PCR Cycle 1'!$E$48</definedName>
    <definedName name="solver_opt" localSheetId="4" hidden="1">'PCR Cycle 2'!$E$48</definedName>
    <definedName name="solver_opt" localSheetId="7" hidden="1">'TDR Cycle 1'!#REF!</definedName>
    <definedName name="solver_opt" localSheetId="8" hidden="1">'TDR Cycle 2'!#REF!</definedName>
    <definedName name="solver_pre" localSheetId="3" hidden="1">0.000001</definedName>
    <definedName name="solver_pre" localSheetId="4" hidden="1">0.000001</definedName>
    <definedName name="solver_pre" localSheetId="7" hidden="1">0.000001</definedName>
    <definedName name="solver_pre" localSheetId="8" hidden="1">0.000001</definedName>
    <definedName name="solver_rbv" localSheetId="3" hidden="1">1</definedName>
    <definedName name="solver_rbv" localSheetId="4" hidden="1">1</definedName>
    <definedName name="solver_rbv" localSheetId="7" hidden="1">2</definedName>
    <definedName name="solver_rbv" localSheetId="8" hidden="1">2</definedName>
    <definedName name="solver_rlx" localSheetId="3" hidden="1">2</definedName>
    <definedName name="solver_rlx" localSheetId="4" hidden="1">2</definedName>
    <definedName name="solver_rlx" localSheetId="7" hidden="1">2</definedName>
    <definedName name="solver_rlx" localSheetId="8" hidden="1">2</definedName>
    <definedName name="solver_rsd" localSheetId="3" hidden="1">0</definedName>
    <definedName name="solver_rsd" localSheetId="4" hidden="1">0</definedName>
    <definedName name="solver_rsd" localSheetId="7" hidden="1">0</definedName>
    <definedName name="solver_rsd" localSheetId="8" hidden="1">0</definedName>
    <definedName name="solver_scl" localSheetId="3" hidden="1">1</definedName>
    <definedName name="solver_scl" localSheetId="4" hidden="1">1</definedName>
    <definedName name="solver_scl" localSheetId="7" hidden="1">2</definedName>
    <definedName name="solver_scl" localSheetId="8" hidden="1">2</definedName>
    <definedName name="solver_sho" localSheetId="3" hidden="1">2</definedName>
    <definedName name="solver_sho" localSheetId="4" hidden="1">2</definedName>
    <definedName name="solver_sho" localSheetId="7" hidden="1">2</definedName>
    <definedName name="solver_sho" localSheetId="8" hidden="1">2</definedName>
    <definedName name="solver_ssz" localSheetId="3" hidden="1">100</definedName>
    <definedName name="solver_ssz" localSheetId="4" hidden="1">100</definedName>
    <definedName name="solver_ssz" localSheetId="7" hidden="1">100</definedName>
    <definedName name="solver_ssz" localSheetId="8" hidden="1">100</definedName>
    <definedName name="solver_tim" localSheetId="3" hidden="1">2147483647</definedName>
    <definedName name="solver_tim" localSheetId="4" hidden="1">2147483647</definedName>
    <definedName name="solver_tim" localSheetId="7" hidden="1">2147483647</definedName>
    <definedName name="solver_tim" localSheetId="8" hidden="1">2147483647</definedName>
    <definedName name="solver_tol" localSheetId="3" hidden="1">0.01</definedName>
    <definedName name="solver_tol" localSheetId="4" hidden="1">0.01</definedName>
    <definedName name="solver_tol" localSheetId="7" hidden="1">0.01</definedName>
    <definedName name="solver_tol" localSheetId="8" hidden="1">0.01</definedName>
    <definedName name="solver_typ" localSheetId="3" hidden="1">3</definedName>
    <definedName name="solver_typ" localSheetId="4" hidden="1">3</definedName>
    <definedName name="solver_typ" localSheetId="7" hidden="1">3</definedName>
    <definedName name="solver_typ" localSheetId="8" hidden="1">3</definedName>
    <definedName name="solver_val" localSheetId="3" hidden="1">0</definedName>
    <definedName name="solver_val" localSheetId="4" hidden="1">0</definedName>
    <definedName name="solver_val" localSheetId="7" hidden="1">23888.44</definedName>
    <definedName name="solver_val" localSheetId="8" hidden="1">23888.44</definedName>
    <definedName name="solver_ver" localSheetId="3" hidden="1">3</definedName>
    <definedName name="solver_ver" localSheetId="4" hidden="1">3</definedName>
    <definedName name="solver_ver" localSheetId="7" hidden="1">3</definedName>
    <definedName name="solver_ver" localSheetId="8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3" i="5" l="1"/>
  <c r="U23" i="5"/>
  <c r="T23" i="5"/>
  <c r="S23" i="5"/>
  <c r="Q23" i="5"/>
  <c r="P23" i="5"/>
  <c r="O23" i="5"/>
  <c r="V22" i="5"/>
  <c r="U22" i="5"/>
  <c r="T22" i="5"/>
  <c r="S22" i="5"/>
  <c r="Q22" i="5"/>
  <c r="P22" i="5"/>
  <c r="O22" i="5"/>
  <c r="V21" i="5"/>
  <c r="U21" i="5"/>
  <c r="T21" i="5"/>
  <c r="S21" i="5"/>
  <c r="Q21" i="5"/>
  <c r="P21" i="5"/>
  <c r="O21" i="5"/>
  <c r="V20" i="5"/>
  <c r="U20" i="5"/>
  <c r="T20" i="5"/>
  <c r="S20" i="5"/>
  <c r="Q20" i="5"/>
  <c r="P20" i="5"/>
  <c r="O20" i="5"/>
  <c r="Y15" i="5"/>
  <c r="X15" i="5"/>
  <c r="V15" i="5"/>
  <c r="U15" i="5"/>
  <c r="T15" i="5"/>
  <c r="S15" i="5"/>
  <c r="Y14" i="5"/>
  <c r="X14" i="5"/>
  <c r="V14" i="5"/>
  <c r="U14" i="5"/>
  <c r="T14" i="5"/>
  <c r="S14" i="5"/>
  <c r="Y13" i="5"/>
  <c r="X13" i="5"/>
  <c r="V13" i="5"/>
  <c r="U13" i="5"/>
  <c r="T13" i="5"/>
  <c r="S13" i="5"/>
  <c r="Y12" i="5"/>
  <c r="X12" i="5"/>
  <c r="V12" i="5"/>
  <c r="U12" i="5"/>
  <c r="T12" i="5"/>
  <c r="S12" i="5"/>
  <c r="AA23" i="5"/>
  <c r="Z23" i="5"/>
  <c r="Y23" i="5"/>
  <c r="X23" i="5"/>
  <c r="AA22" i="5"/>
  <c r="Z22" i="5"/>
  <c r="Y22" i="5"/>
  <c r="X22" i="5"/>
  <c r="AA21" i="5"/>
  <c r="Z21" i="5"/>
  <c r="Y21" i="5"/>
  <c r="X21" i="5"/>
  <c r="AA20" i="5"/>
  <c r="Z20" i="5"/>
  <c r="Y20" i="5"/>
  <c r="X20" i="5"/>
  <c r="AA15" i="5"/>
  <c r="Z15" i="5"/>
  <c r="AA14" i="5"/>
  <c r="Z14" i="5"/>
  <c r="AA13" i="5"/>
  <c r="Z13" i="5"/>
  <c r="AA12" i="5"/>
  <c r="Z12" i="5"/>
  <c r="A1" i="19" l="1"/>
  <c r="B8" i="19" l="1"/>
  <c r="B7" i="19"/>
  <c r="B6" i="19"/>
  <c r="B5" i="19"/>
  <c r="C12" i="8" l="1"/>
  <c r="C14" i="8" l="1"/>
  <c r="D12" i="8"/>
  <c r="C13" i="8" l="1"/>
  <c r="D13" i="8"/>
  <c r="D14" i="8"/>
  <c r="E14" i="8"/>
  <c r="E13" i="8" l="1"/>
  <c r="E12" i="8"/>
  <c r="B14" i="8" l="1"/>
  <c r="B13" i="8"/>
  <c r="B12" i="8"/>
  <c r="G7" i="5" l="1"/>
  <c r="G6" i="5"/>
  <c r="G5" i="5"/>
  <c r="F14" i="8"/>
  <c r="G14" i="8" s="1"/>
  <c r="C15" i="8"/>
  <c r="A2" i="20"/>
  <c r="E15" i="5" l="1"/>
  <c r="B15" i="8"/>
  <c r="F13" i="8"/>
  <c r="G13" i="8" s="1"/>
  <c r="D15" i="8"/>
  <c r="E15" i="8"/>
  <c r="F12" i="8"/>
  <c r="E14" i="5" l="1"/>
  <c r="G12" i="8"/>
  <c r="F15" i="8"/>
  <c r="G15" i="8" l="1"/>
  <c r="E13" i="5"/>
  <c r="A1" i="20"/>
  <c r="K10" i="1"/>
  <c r="K9" i="1"/>
  <c r="B9" i="19"/>
  <c r="B12" i="4"/>
  <c r="B11" i="4"/>
  <c r="B10" i="4"/>
  <c r="B6" i="4"/>
  <c r="B5" i="4"/>
  <c r="I8" i="4"/>
  <c r="H8" i="4"/>
  <c r="G8" i="4"/>
  <c r="F8" i="4"/>
  <c r="D12" i="4"/>
  <c r="D11" i="4"/>
  <c r="D10" i="4"/>
  <c r="K8" i="1" s="1"/>
  <c r="J8" i="13" l="1"/>
  <c r="L8" i="16"/>
  <c r="J8" i="9"/>
  <c r="E13" i="10"/>
  <c r="K8" i="11"/>
  <c r="K8" i="15"/>
  <c r="J9" i="13"/>
  <c r="L9" i="16"/>
  <c r="E14" i="10"/>
  <c r="K9" i="11"/>
  <c r="J9" i="9"/>
  <c r="K9" i="15"/>
  <c r="L10" i="16"/>
  <c r="E15" i="10"/>
  <c r="K10" i="11"/>
  <c r="J10" i="9"/>
  <c r="J10" i="13"/>
  <c r="K10" i="15"/>
  <c r="K11" i="1"/>
  <c r="K11" i="11" l="1"/>
  <c r="E16" i="10"/>
  <c r="J11" i="9"/>
  <c r="K11" i="15"/>
  <c r="L11" i="16"/>
  <c r="J11" i="13"/>
  <c r="D13" i="4" l="1"/>
  <c r="B13" i="4"/>
  <c r="E22" i="16" l="1"/>
  <c r="E23" i="16"/>
  <c r="F23" i="16" l="1"/>
  <c r="F22" i="16"/>
  <c r="G23" i="16" l="1"/>
  <c r="G22" i="16"/>
  <c r="H23" i="16" l="1"/>
  <c r="H22" i="16"/>
  <c r="I22" i="16" l="1"/>
  <c r="I23" i="16"/>
  <c r="J22" i="16" l="1"/>
  <c r="J23" i="16"/>
  <c r="G17" i="13" l="1"/>
  <c r="B9" i="8" l="1"/>
  <c r="B8" i="8"/>
  <c r="B10" i="8" l="1"/>
  <c r="K18" i="15" l="1"/>
  <c r="J18" i="15"/>
  <c r="K17" i="15"/>
  <c r="J17" i="15"/>
  <c r="K16" i="15"/>
  <c r="J16" i="15"/>
  <c r="K15" i="15"/>
  <c r="J15" i="15"/>
  <c r="B37" i="11" l="1"/>
  <c r="B36" i="11"/>
  <c r="B41" i="15"/>
  <c r="B40" i="15"/>
  <c r="G18" i="13" l="1"/>
  <c r="D8" i="10" l="1"/>
  <c r="I39" i="11" l="1"/>
  <c r="H39" i="11"/>
  <c r="G39" i="11"/>
  <c r="F39" i="11"/>
  <c r="E39" i="11"/>
  <c r="D39" i="11"/>
  <c r="G31" i="1" l="1"/>
  <c r="G30" i="1"/>
  <c r="G22" i="13" l="1"/>
  <c r="G21" i="13"/>
  <c r="I22" i="9"/>
  <c r="I21" i="9"/>
  <c r="H22" i="9"/>
  <c r="H21" i="9"/>
  <c r="G22" i="9"/>
  <c r="G21" i="9"/>
  <c r="F22" i="9"/>
  <c r="F21" i="9"/>
  <c r="E22" i="9"/>
  <c r="E21" i="9"/>
  <c r="D22" i="9"/>
  <c r="D21" i="9"/>
  <c r="H19" i="16"/>
  <c r="H18" i="16"/>
  <c r="J19" i="16"/>
  <c r="J18" i="16"/>
  <c r="I19" i="16"/>
  <c r="I18" i="16"/>
  <c r="G19" i="16"/>
  <c r="G18" i="16"/>
  <c r="F19" i="16"/>
  <c r="F18" i="16"/>
  <c r="E19" i="16"/>
  <c r="E18" i="16"/>
  <c r="I19" i="11"/>
  <c r="I18" i="11"/>
  <c r="H19" i="11"/>
  <c r="H18" i="11"/>
  <c r="G19" i="11"/>
  <c r="G18" i="11"/>
  <c r="F19" i="11"/>
  <c r="F18" i="11"/>
  <c r="E19" i="11"/>
  <c r="E18" i="11"/>
  <c r="D19" i="11"/>
  <c r="D18" i="11"/>
  <c r="G27" i="15"/>
  <c r="G26" i="15"/>
  <c r="I31" i="15"/>
  <c r="I30" i="15"/>
  <c r="I27" i="15"/>
  <c r="I26" i="15"/>
  <c r="H31" i="15"/>
  <c r="H30" i="15"/>
  <c r="H27" i="15"/>
  <c r="H26" i="15"/>
  <c r="G31" i="15"/>
  <c r="G30" i="15"/>
  <c r="F31" i="15"/>
  <c r="F30" i="15"/>
  <c r="F27" i="15"/>
  <c r="F26" i="15"/>
  <c r="E31" i="15"/>
  <c r="E30" i="15"/>
  <c r="E27" i="15"/>
  <c r="E26" i="15"/>
  <c r="D31" i="15"/>
  <c r="D30" i="15"/>
  <c r="D27" i="15"/>
  <c r="D26" i="15"/>
  <c r="G27" i="1"/>
  <c r="G26" i="1"/>
  <c r="I31" i="1"/>
  <c r="I30" i="1"/>
  <c r="I27" i="1"/>
  <c r="I26" i="1"/>
  <c r="H31" i="1"/>
  <c r="H30" i="1"/>
  <c r="H27" i="1"/>
  <c r="H26" i="1"/>
  <c r="F31" i="1"/>
  <c r="F30" i="1"/>
  <c r="F27" i="1"/>
  <c r="F26" i="1"/>
  <c r="E31" i="1"/>
  <c r="E30" i="1"/>
  <c r="E27" i="1"/>
  <c r="E26" i="1"/>
  <c r="D31" i="1"/>
  <c r="D30" i="1"/>
  <c r="D27" i="1"/>
  <c r="D26" i="1"/>
  <c r="I18" i="15" l="1"/>
  <c r="H18" i="15"/>
  <c r="G18" i="15"/>
  <c r="F18" i="15"/>
  <c r="E18" i="15"/>
  <c r="I17" i="15"/>
  <c r="H17" i="15"/>
  <c r="G17" i="15"/>
  <c r="F17" i="15"/>
  <c r="E17" i="15"/>
  <c r="I16" i="15"/>
  <c r="H16" i="15"/>
  <c r="G16" i="15"/>
  <c r="F16" i="15"/>
  <c r="E16" i="15"/>
  <c r="I15" i="15"/>
  <c r="H15" i="15"/>
  <c r="G15" i="15"/>
  <c r="F15" i="15"/>
  <c r="E15" i="15"/>
  <c r="D18" i="15"/>
  <c r="D17" i="15"/>
  <c r="D16" i="15"/>
  <c r="D15" i="15"/>
  <c r="I43" i="1" l="1"/>
  <c r="H43" i="1"/>
  <c r="G43" i="1"/>
  <c r="F43" i="1"/>
  <c r="E43" i="1"/>
  <c r="D43" i="1"/>
  <c r="B41" i="13" l="1"/>
  <c r="C41" i="13" s="1"/>
  <c r="L39" i="13"/>
  <c r="I28" i="13"/>
  <c r="C28" i="13"/>
  <c r="C32" i="13" s="1"/>
  <c r="E27" i="13"/>
  <c r="C27" i="13"/>
  <c r="C31" i="13" s="1"/>
  <c r="H28" i="13"/>
  <c r="G28" i="13"/>
  <c r="F28" i="13"/>
  <c r="E28" i="13"/>
  <c r="D28" i="13"/>
  <c r="I27" i="13"/>
  <c r="H27" i="13"/>
  <c r="G27" i="13"/>
  <c r="F27" i="13"/>
  <c r="D27" i="13"/>
  <c r="D14" i="13"/>
  <c r="E14" i="13" s="1"/>
  <c r="F14" i="13" s="1"/>
  <c r="G14" i="13" s="1"/>
  <c r="H14" i="13" s="1"/>
  <c r="I14" i="13" s="1"/>
  <c r="J14" i="13" s="1"/>
  <c r="K14" i="13" s="1"/>
  <c r="L14" i="13" s="1"/>
  <c r="C13" i="13"/>
  <c r="B13" i="13"/>
  <c r="G5" i="13"/>
  <c r="E5" i="13"/>
  <c r="G4" i="13"/>
  <c r="G6" i="13" s="1"/>
  <c r="E4" i="13"/>
  <c r="A1" i="13"/>
  <c r="D32" i="13" l="1"/>
  <c r="D31" i="13"/>
  <c r="E6" i="13"/>
  <c r="C10" i="10" l="1"/>
  <c r="D33" i="16" l="1"/>
  <c r="D15" i="16" l="1"/>
  <c r="D32" i="16" l="1"/>
  <c r="E34" i="13" l="1"/>
  <c r="D34" i="13"/>
  <c r="D26" i="10" l="1"/>
  <c r="F34" i="13"/>
  <c r="G34" i="13"/>
  <c r="D37" i="13"/>
  <c r="D36" i="13"/>
  <c r="H34" i="13"/>
  <c r="I34" i="13"/>
  <c r="J34" i="13" s="1"/>
  <c r="K34" i="13" s="1"/>
  <c r="L27" i="1"/>
  <c r="K27" i="1"/>
  <c r="K22" i="13" s="1"/>
  <c r="K28" i="13" s="1"/>
  <c r="L26" i="1"/>
  <c r="K26" i="1"/>
  <c r="K21" i="13" s="1"/>
  <c r="K27" i="13" s="1"/>
  <c r="J27" i="1"/>
  <c r="J22" i="13" s="1"/>
  <c r="J26" i="1"/>
  <c r="J21" i="13" s="1"/>
  <c r="L22" i="13" l="1"/>
  <c r="L28" i="13" s="1"/>
  <c r="L22" i="9"/>
  <c r="L21" i="13"/>
  <c r="L27" i="13" s="1"/>
  <c r="L21" i="9"/>
  <c r="J27" i="13"/>
  <c r="D4" i="13"/>
  <c r="J28" i="13"/>
  <c r="D27" i="10"/>
  <c r="D28" i="10" s="1"/>
  <c r="D29" i="10" s="1"/>
  <c r="D39" i="13"/>
  <c r="E31" i="13"/>
  <c r="D41" i="13"/>
  <c r="E36" i="13"/>
  <c r="E32" i="13"/>
  <c r="E37" i="13"/>
  <c r="D5" i="13" l="1"/>
  <c r="F5" i="13" s="1"/>
  <c r="F4" i="13"/>
  <c r="F37" i="13"/>
  <c r="F32" i="13"/>
  <c r="D38" i="13"/>
  <c r="E41" i="13"/>
  <c r="F36" i="13"/>
  <c r="F31" i="13"/>
  <c r="E39" i="13"/>
  <c r="F6" i="13" l="1"/>
  <c r="D6" i="13"/>
  <c r="G36" i="13"/>
  <c r="G31" i="13"/>
  <c r="F41" i="13"/>
  <c r="E38" i="13"/>
  <c r="F39" i="13"/>
  <c r="G37" i="13"/>
  <c r="G32" i="13"/>
  <c r="H37" i="13" l="1"/>
  <c r="H32" i="13"/>
  <c r="F38" i="13"/>
  <c r="G41" i="13"/>
  <c r="H31" i="13"/>
  <c r="H36" i="13"/>
  <c r="G39" i="13"/>
  <c r="H39" i="13" l="1"/>
  <c r="G38" i="13"/>
  <c r="H41" i="13"/>
  <c r="I36" i="13"/>
  <c r="I31" i="13"/>
  <c r="I37" i="13"/>
  <c r="I32" i="13"/>
  <c r="I39" i="13" l="1"/>
  <c r="J32" i="13"/>
  <c r="J37" i="13"/>
  <c r="J31" i="13"/>
  <c r="J36" i="13"/>
  <c r="H38" i="13"/>
  <c r="I41" i="13"/>
  <c r="J39" i="13" l="1"/>
  <c r="J41" i="13"/>
  <c r="I38" i="13"/>
  <c r="K31" i="13"/>
  <c r="K36" i="13"/>
  <c r="K32" i="13"/>
  <c r="K37" i="13"/>
  <c r="H5" i="13" s="1"/>
  <c r="I5" i="13" s="1"/>
  <c r="I9" i="13" l="1"/>
  <c r="F22" i="5" s="1"/>
  <c r="I8" i="13"/>
  <c r="F21" i="5" s="1"/>
  <c r="I10" i="13"/>
  <c r="F23" i="5" s="1"/>
  <c r="K39" i="13"/>
  <c r="H4" i="13"/>
  <c r="K41" i="13"/>
  <c r="J38" i="13"/>
  <c r="L32" i="13"/>
  <c r="J5" i="13" s="1"/>
  <c r="L31" i="13"/>
  <c r="I11" i="13" l="1"/>
  <c r="L41" i="13"/>
  <c r="L38" i="13" s="1"/>
  <c r="K38" i="13"/>
  <c r="H6" i="13"/>
  <c r="I4" i="13"/>
  <c r="J4" i="13" l="1"/>
  <c r="I6" i="13"/>
  <c r="C33" i="16" l="1"/>
  <c r="C37" i="16" s="1"/>
  <c r="D37" i="16" s="1"/>
  <c r="C32" i="16"/>
  <c r="C36" i="16" s="1"/>
  <c r="D36" i="16" s="1"/>
  <c r="B46" i="16" l="1"/>
  <c r="B50" i="15" l="1"/>
  <c r="A2" i="10" l="1"/>
  <c r="E14" i="1"/>
  <c r="F14" i="1" s="1"/>
  <c r="G14" i="1" s="1"/>
  <c r="H14" i="1" s="1"/>
  <c r="I14" i="1" s="1"/>
  <c r="J14" i="1" s="1"/>
  <c r="K14" i="1" s="1"/>
  <c r="L14" i="1" s="1"/>
  <c r="A1" i="10" l="1"/>
  <c r="C28" i="9" l="1"/>
  <c r="C27" i="9"/>
  <c r="C13" i="9" l="1"/>
  <c r="B13" i="9"/>
  <c r="D14" i="9" l="1"/>
  <c r="E14" i="9" s="1"/>
  <c r="F14" i="9" s="1"/>
  <c r="G14" i="9" s="1"/>
  <c r="H14" i="9" s="1"/>
  <c r="I14" i="9" s="1"/>
  <c r="J14" i="9" s="1"/>
  <c r="K14" i="9" s="1"/>
  <c r="L14" i="9" s="1"/>
  <c r="I34" i="9" l="1"/>
  <c r="A1" i="8" l="1"/>
  <c r="H34" i="9" l="1"/>
  <c r="G34" i="9"/>
  <c r="F34" i="9"/>
  <c r="E34" i="9"/>
  <c r="D34" i="9" l="1"/>
  <c r="B41" i="9" l="1"/>
  <c r="C41" i="9" s="1"/>
  <c r="L39" i="9"/>
  <c r="H28" i="9"/>
  <c r="H27" i="9"/>
  <c r="G27" i="9"/>
  <c r="D28" i="9"/>
  <c r="F28" i="9"/>
  <c r="E28" i="9"/>
  <c r="D27" i="9"/>
  <c r="G5" i="9"/>
  <c r="G4" i="9"/>
  <c r="A1" i="9"/>
  <c r="G6" i="9" l="1"/>
  <c r="E27" i="9"/>
  <c r="F27" i="9"/>
  <c r="G28" i="9"/>
  <c r="E5" i="9"/>
  <c r="C31" i="9"/>
  <c r="C32" i="9"/>
  <c r="J34" i="9"/>
  <c r="K34" i="9" s="1"/>
  <c r="E4" i="9" l="1"/>
  <c r="E6" i="9" s="1"/>
  <c r="D31" i="9"/>
  <c r="D36" i="9"/>
  <c r="D37" i="9"/>
  <c r="D32" i="9"/>
  <c r="D41" i="9" l="1"/>
  <c r="D39" i="9"/>
  <c r="E36" i="9"/>
  <c r="E31" i="9"/>
  <c r="E37" i="9"/>
  <c r="E32" i="9"/>
  <c r="A2" i="8"/>
  <c r="E41" i="9" l="1"/>
  <c r="E39" i="9"/>
  <c r="F32" i="9"/>
  <c r="F37" i="9"/>
  <c r="D38" i="9"/>
  <c r="F36" i="9"/>
  <c r="F31" i="9"/>
  <c r="F41" i="9" l="1"/>
  <c r="F39" i="9"/>
  <c r="G31" i="9"/>
  <c r="G36" i="9"/>
  <c r="E38" i="9"/>
  <c r="G37" i="9"/>
  <c r="G32" i="9"/>
  <c r="G41" i="9" l="1"/>
  <c r="H37" i="9"/>
  <c r="H32" i="9"/>
  <c r="G39" i="9"/>
  <c r="F38" i="9"/>
  <c r="H36" i="9"/>
  <c r="H31" i="9"/>
  <c r="H41" i="9" l="1"/>
  <c r="H39" i="9"/>
  <c r="G38" i="9"/>
  <c r="H38" i="9" l="1"/>
  <c r="L28" i="9" l="1"/>
  <c r="L27" i="9"/>
  <c r="K22" i="9" l="1"/>
  <c r="K28" i="9" s="1"/>
  <c r="J22" i="9"/>
  <c r="K21" i="9"/>
  <c r="J21" i="9"/>
  <c r="J28" i="9" l="1"/>
  <c r="K27" i="9"/>
  <c r="J27" i="9"/>
  <c r="D4" i="9"/>
  <c r="I27" i="9"/>
  <c r="I28" i="9"/>
  <c r="D5" i="9"/>
  <c r="F5" i="9" s="1"/>
  <c r="C13" i="16"/>
  <c r="B13" i="16"/>
  <c r="H15" i="11"/>
  <c r="G15" i="11"/>
  <c r="F15" i="11"/>
  <c r="E15" i="11"/>
  <c r="D15" i="11"/>
  <c r="H43" i="15"/>
  <c r="I39" i="16" s="1"/>
  <c r="G43" i="15"/>
  <c r="H39" i="16" s="1"/>
  <c r="F43" i="15"/>
  <c r="G39" i="16" s="1"/>
  <c r="E43" i="15"/>
  <c r="F39" i="16" s="1"/>
  <c r="D43" i="15"/>
  <c r="E39" i="16" s="1"/>
  <c r="C22" i="15"/>
  <c r="C23" i="15"/>
  <c r="C13" i="15"/>
  <c r="B13" i="15"/>
  <c r="I37" i="9" l="1"/>
  <c r="I32" i="9"/>
  <c r="I36" i="9"/>
  <c r="I31" i="9"/>
  <c r="D6" i="9"/>
  <c r="F4" i="9"/>
  <c r="C23" i="1"/>
  <c r="C22" i="1"/>
  <c r="H23" i="1"/>
  <c r="G23" i="1"/>
  <c r="F23" i="1"/>
  <c r="E23" i="1"/>
  <c r="D23" i="1"/>
  <c r="H22" i="1"/>
  <c r="G22" i="1"/>
  <c r="F22" i="1"/>
  <c r="E22" i="1"/>
  <c r="D22" i="1"/>
  <c r="I41" i="9" l="1"/>
  <c r="I38" i="9" s="1"/>
  <c r="J31" i="9"/>
  <c r="J36" i="9"/>
  <c r="F6" i="9"/>
  <c r="J37" i="9"/>
  <c r="J32" i="9"/>
  <c r="I39" i="9"/>
  <c r="J41" i="9" l="1"/>
  <c r="J38" i="9" s="1"/>
  <c r="K32" i="9"/>
  <c r="K37" i="9"/>
  <c r="H5" i="9" s="1"/>
  <c r="I5" i="9" s="1"/>
  <c r="J39" i="9"/>
  <c r="K36" i="9"/>
  <c r="K31" i="9"/>
  <c r="H5" i="11"/>
  <c r="H4" i="11"/>
  <c r="I9" i="9" l="1"/>
  <c r="E22" i="5" s="1"/>
  <c r="L6" i="5" s="1"/>
  <c r="I10" i="9"/>
  <c r="E23" i="5" s="1"/>
  <c r="L7" i="5" s="1"/>
  <c r="I8" i="9"/>
  <c r="K41" i="9"/>
  <c r="L41" i="9" s="1"/>
  <c r="K39" i="9"/>
  <c r="H4" i="9"/>
  <c r="L32" i="9"/>
  <c r="J5" i="9" s="1"/>
  <c r="L31" i="9"/>
  <c r="I43" i="15"/>
  <c r="I11" i="9" l="1"/>
  <c r="E21" i="5"/>
  <c r="E7" i="5"/>
  <c r="L38" i="9"/>
  <c r="K38" i="9"/>
  <c r="H6" i="9"/>
  <c r="I4" i="9"/>
  <c r="M23" i="11"/>
  <c r="E20" i="5" l="1"/>
  <c r="J4" i="9"/>
  <c r="I6" i="9"/>
  <c r="H23" i="15"/>
  <c r="G23" i="15"/>
  <c r="F23" i="15"/>
  <c r="E23" i="15"/>
  <c r="D23" i="15"/>
  <c r="H22" i="15"/>
  <c r="G22" i="15"/>
  <c r="F22" i="15"/>
  <c r="E22" i="15"/>
  <c r="D22" i="15"/>
  <c r="I23" i="15"/>
  <c r="I22" i="15"/>
  <c r="B46" i="11" l="1"/>
  <c r="B50" i="1" l="1"/>
  <c r="C50" i="1" s="1"/>
  <c r="J39" i="16" l="1"/>
  <c r="L27" i="15" l="1"/>
  <c r="K27" i="15"/>
  <c r="J27" i="15"/>
  <c r="L26" i="15"/>
  <c r="K26" i="15"/>
  <c r="J26" i="15"/>
  <c r="J43" i="15"/>
  <c r="D14" i="15"/>
  <c r="E14" i="15" s="1"/>
  <c r="F14" i="15" s="1"/>
  <c r="G14" i="15" s="1"/>
  <c r="H14" i="15" s="1"/>
  <c r="I14" i="15" s="1"/>
  <c r="J14" i="15" s="1"/>
  <c r="K14" i="15" s="1"/>
  <c r="L14" i="15" s="1"/>
  <c r="J30" i="15" l="1"/>
  <c r="K39" i="16"/>
  <c r="M22" i="11"/>
  <c r="C13" i="11" l="1"/>
  <c r="B13" i="11"/>
  <c r="J43" i="1" l="1"/>
  <c r="D30" i="10" s="1"/>
  <c r="C46" i="16" l="1"/>
  <c r="D46" i="16" s="1"/>
  <c r="M19" i="16"/>
  <c r="M33" i="16" s="1"/>
  <c r="L19" i="16"/>
  <c r="K19" i="16"/>
  <c r="M18" i="16"/>
  <c r="M32" i="16" s="1"/>
  <c r="L18" i="16"/>
  <c r="K18" i="16"/>
  <c r="E14" i="16"/>
  <c r="F14" i="16" s="1"/>
  <c r="G14" i="16" s="1"/>
  <c r="H14" i="16" s="1"/>
  <c r="I14" i="16" s="1"/>
  <c r="J14" i="16" s="1"/>
  <c r="K14" i="16" s="1"/>
  <c r="L14" i="16" s="1"/>
  <c r="M14" i="16" s="1"/>
  <c r="I5" i="16"/>
  <c r="I4" i="16"/>
  <c r="A1" i="16"/>
  <c r="C50" i="15"/>
  <c r="L48" i="15"/>
  <c r="K43" i="15"/>
  <c r="C37" i="15"/>
  <c r="C41" i="15" s="1"/>
  <c r="C36" i="15"/>
  <c r="C40" i="15" s="1"/>
  <c r="L31" i="15"/>
  <c r="K31" i="15"/>
  <c r="J31" i="15"/>
  <c r="A31" i="15"/>
  <c r="L30" i="15"/>
  <c r="K30" i="15"/>
  <c r="L23" i="15"/>
  <c r="I37" i="15"/>
  <c r="H37" i="15"/>
  <c r="F37" i="15"/>
  <c r="E37" i="15"/>
  <c r="D37" i="15"/>
  <c r="L22" i="15"/>
  <c r="I36" i="15"/>
  <c r="H36" i="15"/>
  <c r="G36" i="15"/>
  <c r="F36" i="15"/>
  <c r="E36" i="15"/>
  <c r="D36" i="15"/>
  <c r="H5" i="15"/>
  <c r="E5" i="15"/>
  <c r="H4" i="15"/>
  <c r="E4" i="15"/>
  <c r="A1" i="15"/>
  <c r="H6" i="15" l="1"/>
  <c r="D41" i="15"/>
  <c r="D46" i="15"/>
  <c r="D40" i="15"/>
  <c r="D45" i="15"/>
  <c r="D5" i="15"/>
  <c r="L39" i="16"/>
  <c r="I6" i="16"/>
  <c r="E6" i="15"/>
  <c r="D4" i="15"/>
  <c r="L37" i="15"/>
  <c r="L36" i="15"/>
  <c r="E5" i="16"/>
  <c r="E4" i="16"/>
  <c r="G37" i="15"/>
  <c r="D48" i="15" l="1"/>
  <c r="E40" i="15"/>
  <c r="E41" i="15"/>
  <c r="E45" i="15"/>
  <c r="E46" i="15"/>
  <c r="D6" i="15"/>
  <c r="E6" i="16"/>
  <c r="D50" i="15"/>
  <c r="D47" i="15" s="1"/>
  <c r="F41" i="15" l="1"/>
  <c r="F40" i="15"/>
  <c r="F45" i="15"/>
  <c r="F46" i="15"/>
  <c r="E48" i="15"/>
  <c r="E50" i="15"/>
  <c r="E47" i="15" s="1"/>
  <c r="K19" i="11"/>
  <c r="J19" i="11"/>
  <c r="K18" i="11"/>
  <c r="J18" i="11"/>
  <c r="F48" i="15" l="1"/>
  <c r="G46" i="15"/>
  <c r="G45" i="15"/>
  <c r="G41" i="15"/>
  <c r="G40" i="15"/>
  <c r="F50" i="15"/>
  <c r="F47" i="15" s="1"/>
  <c r="F5" i="11"/>
  <c r="F4" i="11"/>
  <c r="H46" i="15" l="1"/>
  <c r="H45" i="15"/>
  <c r="H40" i="15"/>
  <c r="G48" i="15"/>
  <c r="H41" i="15"/>
  <c r="K43" i="1"/>
  <c r="G50" i="15"/>
  <c r="G47" i="15" s="1"/>
  <c r="J32" i="11"/>
  <c r="K32" i="11"/>
  <c r="J33" i="11"/>
  <c r="K33" i="11"/>
  <c r="J15" i="11"/>
  <c r="K15" i="11"/>
  <c r="K31" i="1"/>
  <c r="J31" i="1"/>
  <c r="K30" i="1"/>
  <c r="J30" i="1"/>
  <c r="J22" i="1"/>
  <c r="K22" i="1"/>
  <c r="L22" i="1"/>
  <c r="J23" i="1"/>
  <c r="K23" i="1"/>
  <c r="L23" i="1"/>
  <c r="D31" i="10" l="1"/>
  <c r="I41" i="15"/>
  <c r="I46" i="15"/>
  <c r="I40" i="15"/>
  <c r="I45" i="15"/>
  <c r="H50" i="15"/>
  <c r="H47" i="15" s="1"/>
  <c r="H48" i="15"/>
  <c r="K36" i="1"/>
  <c r="J37" i="1"/>
  <c r="K37" i="1"/>
  <c r="J36" i="1"/>
  <c r="D32" i="10" l="1"/>
  <c r="D33" i="10" s="1"/>
  <c r="I50" i="15"/>
  <c r="D9" i="10" l="1"/>
  <c r="I47" i="15"/>
  <c r="I48" i="15"/>
  <c r="D13" i="10" l="1"/>
  <c r="F13" i="5" s="1"/>
  <c r="D15" i="10"/>
  <c r="F15" i="5" s="1"/>
  <c r="D14" i="10"/>
  <c r="F14" i="5" s="1"/>
  <c r="F12" i="5"/>
  <c r="D10" i="10"/>
  <c r="D11" i="10" s="1"/>
  <c r="H5" i="1"/>
  <c r="H4" i="1"/>
  <c r="F6" i="5" l="1"/>
  <c r="M6" i="5"/>
  <c r="M7" i="5"/>
  <c r="F7" i="5"/>
  <c r="D16" i="10"/>
  <c r="H6" i="11"/>
  <c r="H6" i="1"/>
  <c r="C33" i="11"/>
  <c r="C37" i="11" s="1"/>
  <c r="C32" i="11"/>
  <c r="C36" i="11" s="1"/>
  <c r="C46" i="11" l="1"/>
  <c r="C37" i="1"/>
  <c r="C41" i="1" s="1"/>
  <c r="C36" i="1"/>
  <c r="C40" i="1" s="1"/>
  <c r="I15" i="11" l="1"/>
  <c r="E5" i="1" l="1"/>
  <c r="E4" i="1"/>
  <c r="H33" i="11" l="1"/>
  <c r="H32" i="11"/>
  <c r="G33" i="11"/>
  <c r="G32" i="11"/>
  <c r="F33" i="11"/>
  <c r="F32" i="11"/>
  <c r="H37" i="1"/>
  <c r="H36" i="1"/>
  <c r="F37" i="1"/>
  <c r="F36" i="1"/>
  <c r="G36" i="1" l="1"/>
  <c r="G37" i="1"/>
  <c r="L19" i="11" l="1"/>
  <c r="L18" i="11"/>
  <c r="L32" i="11" l="1"/>
  <c r="L33" i="11"/>
  <c r="L48" i="1"/>
  <c r="L31" i="1"/>
  <c r="L30" i="1"/>
  <c r="L37" i="1" l="1"/>
  <c r="L36" i="1"/>
  <c r="A1" i="5"/>
  <c r="A1" i="11"/>
  <c r="A1" i="12"/>
  <c r="A1" i="1"/>
  <c r="I23" i="1" l="1"/>
  <c r="F5" i="1" s="1"/>
  <c r="I22" i="1" l="1"/>
  <c r="F4" i="1" s="1"/>
  <c r="A2" i="12" l="1"/>
  <c r="D14" i="11" l="1"/>
  <c r="E14" i="11" s="1"/>
  <c r="F14" i="11" s="1"/>
  <c r="G14" i="11" s="1"/>
  <c r="H14" i="11" s="1"/>
  <c r="I14" i="11" s="1"/>
  <c r="J14" i="11" s="1"/>
  <c r="K14" i="11" s="1"/>
  <c r="L14" i="11" s="1"/>
  <c r="G6" i="4" l="1"/>
  <c r="F5" i="5" l="1"/>
  <c r="F4" i="5"/>
  <c r="E6" i="1" l="1"/>
  <c r="E36" i="1" l="1"/>
  <c r="E37" i="1"/>
  <c r="D36" i="1" l="1"/>
  <c r="D45" i="1" s="1"/>
  <c r="D37" i="1"/>
  <c r="D46" i="1" s="1"/>
  <c r="D48" i="1" l="1"/>
  <c r="D50" i="1"/>
  <c r="D40" i="1"/>
  <c r="D41" i="1"/>
  <c r="E46" i="1" l="1"/>
  <c r="E40" i="1"/>
  <c r="E45" i="1"/>
  <c r="D47" i="1" l="1"/>
  <c r="F45" i="1"/>
  <c r="E48" i="1"/>
  <c r="F40" i="1"/>
  <c r="E33" i="11"/>
  <c r="E32" i="11"/>
  <c r="G45" i="1" l="1"/>
  <c r="G40" i="1"/>
  <c r="D33" i="11"/>
  <c r="D42" i="11" s="1"/>
  <c r="D32" i="11"/>
  <c r="D41" i="11" s="1"/>
  <c r="E4" i="11"/>
  <c r="D36" i="11" l="1"/>
  <c r="D37" i="11"/>
  <c r="H45" i="1"/>
  <c r="H40" i="1"/>
  <c r="E5" i="11"/>
  <c r="E42" i="11" l="1"/>
  <c r="E41" i="11"/>
  <c r="D46" i="11"/>
  <c r="D43" i="11" s="1"/>
  <c r="E37" i="11"/>
  <c r="E36" i="11"/>
  <c r="F42" i="11" l="1"/>
  <c r="F41" i="11"/>
  <c r="F37" i="11"/>
  <c r="F36" i="11"/>
  <c r="D44" i="11"/>
  <c r="G42" i="11" l="1"/>
  <c r="G41" i="11"/>
  <c r="G37" i="11"/>
  <c r="G36" i="11"/>
  <c r="F44" i="11"/>
  <c r="E46" i="11"/>
  <c r="E43" i="11" s="1"/>
  <c r="E44" i="11"/>
  <c r="D5" i="11"/>
  <c r="H42" i="11" l="1"/>
  <c r="H41" i="11"/>
  <c r="H37" i="11"/>
  <c r="H36" i="11"/>
  <c r="D4" i="11"/>
  <c r="F46" i="11"/>
  <c r="F43" i="11" s="1"/>
  <c r="G44" i="11"/>
  <c r="G46" i="11" l="1"/>
  <c r="G43" i="11" s="1"/>
  <c r="H44" i="11"/>
  <c r="D6" i="11"/>
  <c r="F6" i="1"/>
  <c r="B7" i="4"/>
  <c r="F7" i="4"/>
  <c r="D4" i="1" l="1"/>
  <c r="D5" i="1"/>
  <c r="H46" i="11"/>
  <c r="H43" i="11" s="1"/>
  <c r="I37" i="1"/>
  <c r="I36" i="1"/>
  <c r="I40" i="1" l="1"/>
  <c r="I45" i="1"/>
  <c r="D6" i="1"/>
  <c r="G4" i="1"/>
  <c r="G4" i="5" l="1"/>
  <c r="A31" i="1"/>
  <c r="M5" i="5" l="1"/>
  <c r="M4" i="5"/>
  <c r="H7" i="4" l="1"/>
  <c r="G7" i="4"/>
  <c r="I7" i="4" l="1"/>
  <c r="G5" i="1"/>
  <c r="G6" i="1" l="1"/>
  <c r="E41" i="1" l="1"/>
  <c r="F41" i="1" l="1"/>
  <c r="F46" i="1"/>
  <c r="F48" i="1" s="1"/>
  <c r="E50" i="1"/>
  <c r="G46" i="1" l="1"/>
  <c r="J45" i="1"/>
  <c r="J40" i="1"/>
  <c r="E47" i="1"/>
  <c r="F50" i="1"/>
  <c r="G48" i="1"/>
  <c r="G41" i="1"/>
  <c r="K45" i="1" l="1"/>
  <c r="F47" i="1"/>
  <c r="G50" i="1"/>
  <c r="H41" i="1"/>
  <c r="H46" i="1"/>
  <c r="H48" i="1" s="1"/>
  <c r="I46" i="1" l="1"/>
  <c r="I41" i="1"/>
  <c r="G47" i="1"/>
  <c r="H50" i="1"/>
  <c r="I50" i="1" l="1"/>
  <c r="I47" i="1" s="1"/>
  <c r="H47" i="1"/>
  <c r="J46" i="1" l="1"/>
  <c r="J41" i="1"/>
  <c r="K46" i="1" l="1"/>
  <c r="J50" i="1"/>
  <c r="I48" i="1"/>
  <c r="K40" i="1" l="1"/>
  <c r="L40" i="1" l="1"/>
  <c r="I4" i="1"/>
  <c r="J4" i="1" s="1"/>
  <c r="K4" i="1" l="1"/>
  <c r="J48" i="1" l="1"/>
  <c r="K41" i="1" l="1"/>
  <c r="J47" i="1" l="1"/>
  <c r="K50" i="1"/>
  <c r="I5" i="1"/>
  <c r="K48" i="1"/>
  <c r="L41" i="1"/>
  <c r="I33" i="11"/>
  <c r="I42" i="11" s="1"/>
  <c r="I32" i="11"/>
  <c r="I41" i="11" s="1"/>
  <c r="I36" i="11" l="1"/>
  <c r="I37" i="11"/>
  <c r="J5" i="1"/>
  <c r="I6" i="1"/>
  <c r="K47" i="1"/>
  <c r="L50" i="1"/>
  <c r="L47" i="1" s="1"/>
  <c r="F6" i="11"/>
  <c r="E6" i="11"/>
  <c r="G5" i="11"/>
  <c r="G4" i="11"/>
  <c r="J8" i="1" l="1"/>
  <c r="J9" i="1"/>
  <c r="J10" i="1"/>
  <c r="I46" i="11"/>
  <c r="J39" i="11"/>
  <c r="J36" i="11"/>
  <c r="J37" i="11"/>
  <c r="K5" i="1"/>
  <c r="J6" i="1"/>
  <c r="G6" i="11"/>
  <c r="J11" i="1" l="1"/>
  <c r="J42" i="11"/>
  <c r="J41" i="11"/>
  <c r="I44" i="11"/>
  <c r="I43" i="11"/>
  <c r="K39" i="11"/>
  <c r="K37" i="11"/>
  <c r="L42" i="11" s="1"/>
  <c r="K36" i="11"/>
  <c r="L41" i="11" s="1"/>
  <c r="K42" i="11" l="1"/>
  <c r="K41" i="11"/>
  <c r="J46" i="11"/>
  <c r="J43" i="11" s="1"/>
  <c r="L36" i="11"/>
  <c r="L37" i="11"/>
  <c r="M42" i="11" l="1"/>
  <c r="M41" i="11"/>
  <c r="J44" i="11"/>
  <c r="I5" i="11" l="1"/>
  <c r="J5" i="11" s="1"/>
  <c r="I4" i="11"/>
  <c r="J4" i="11" s="1"/>
  <c r="K46" i="11"/>
  <c r="K43" i="11" s="1"/>
  <c r="K44" i="11"/>
  <c r="J9" i="11" l="1"/>
  <c r="J10" i="11"/>
  <c r="J8" i="11"/>
  <c r="K4" i="11"/>
  <c r="K5" i="11"/>
  <c r="I6" i="11"/>
  <c r="J6" i="11"/>
  <c r="L44" i="11"/>
  <c r="L46" i="11"/>
  <c r="L43" i="11" s="1"/>
  <c r="J11" i="11" l="1"/>
  <c r="I9" i="4"/>
  <c r="I10" i="4"/>
  <c r="H10" i="4" l="1"/>
  <c r="H9" i="4"/>
  <c r="J22" i="15" l="1"/>
  <c r="K22" i="15" l="1"/>
  <c r="K36" i="15" s="1"/>
  <c r="J36" i="15"/>
  <c r="F4" i="15" l="1"/>
  <c r="G4" i="15" s="1"/>
  <c r="J45" i="15"/>
  <c r="J40" i="15"/>
  <c r="K45" i="15" l="1"/>
  <c r="I4" i="15" s="1"/>
  <c r="K40" i="15"/>
  <c r="L40" i="15" l="1"/>
  <c r="J4" i="15"/>
  <c r="C20" i="5" l="1"/>
  <c r="K4" i="15"/>
  <c r="F10" i="4" l="1"/>
  <c r="F9" i="4"/>
  <c r="K23" i="15" l="1"/>
  <c r="K37" i="15" s="1"/>
  <c r="J23" i="15" l="1"/>
  <c r="G10" i="4"/>
  <c r="C6" i="4" s="1"/>
  <c r="G9" i="4"/>
  <c r="C5" i="4" s="1"/>
  <c r="C12" i="5" s="1"/>
  <c r="J4" i="5" s="1"/>
  <c r="C10" i="4" l="1"/>
  <c r="C11" i="4"/>
  <c r="C12" i="4"/>
  <c r="C7" i="4"/>
  <c r="F5" i="15"/>
  <c r="J37" i="15"/>
  <c r="C15" i="5" l="1"/>
  <c r="C14" i="5"/>
  <c r="C13" i="5"/>
  <c r="C8" i="4"/>
  <c r="C13" i="4"/>
  <c r="G5" i="15"/>
  <c r="G6" i="15" s="1"/>
  <c r="F6" i="15"/>
  <c r="C4" i="5"/>
  <c r="J46" i="15"/>
  <c r="J41" i="15"/>
  <c r="K46" i="15" l="1"/>
  <c r="K41" i="15"/>
  <c r="J48" i="15"/>
  <c r="J50" i="15"/>
  <c r="J47" i="15" s="1"/>
  <c r="L41" i="15" l="1"/>
  <c r="I5" i="15"/>
  <c r="K48" i="15"/>
  <c r="K50" i="15"/>
  <c r="L50" i="15" s="1"/>
  <c r="L47" i="15" l="1"/>
  <c r="K47" i="15"/>
  <c r="J5" i="15"/>
  <c r="I6" i="15"/>
  <c r="J10" i="15" l="1"/>
  <c r="J9" i="15"/>
  <c r="J8" i="15"/>
  <c r="J6" i="15"/>
  <c r="K5" i="15"/>
  <c r="C22" i="5" l="1"/>
  <c r="J6" i="5" s="1"/>
  <c r="C23" i="5"/>
  <c r="J11" i="15"/>
  <c r="C21" i="5"/>
  <c r="C6" i="5"/>
  <c r="C7" i="5" l="1"/>
  <c r="J7" i="5"/>
  <c r="C5" i="5"/>
  <c r="J5" i="5"/>
  <c r="E27" i="16" l="1"/>
  <c r="E26" i="16"/>
  <c r="E32" i="16" l="1"/>
  <c r="E15" i="16"/>
  <c r="E33" i="16"/>
  <c r="F26" i="16"/>
  <c r="F27" i="16"/>
  <c r="F33" i="16" s="1"/>
  <c r="F32" i="16" l="1"/>
  <c r="F15" i="16"/>
  <c r="E37" i="16"/>
  <c r="E42" i="16"/>
  <c r="E41" i="16"/>
  <c r="E36" i="16"/>
  <c r="G26" i="16"/>
  <c r="G27" i="16"/>
  <c r="G33" i="16" s="1"/>
  <c r="E44" i="16" l="1"/>
  <c r="G32" i="16"/>
  <c r="G15" i="16"/>
  <c r="E46" i="16"/>
  <c r="E43" i="16" s="1"/>
  <c r="F42" i="16"/>
  <c r="F37" i="16"/>
  <c r="F41" i="16"/>
  <c r="F36" i="16"/>
  <c r="H26" i="16"/>
  <c r="H27" i="16"/>
  <c r="H33" i="16" s="1"/>
  <c r="F46" i="16" l="1"/>
  <c r="F43" i="16" s="1"/>
  <c r="G42" i="16"/>
  <c r="G37" i="16"/>
  <c r="G41" i="16"/>
  <c r="G36" i="16"/>
  <c r="H32" i="16"/>
  <c r="H15" i="16"/>
  <c r="F44" i="16"/>
  <c r="I26" i="16"/>
  <c r="I27" i="16"/>
  <c r="I33" i="16" s="1"/>
  <c r="G44" i="16" l="1"/>
  <c r="G46" i="16"/>
  <c r="G43" i="16" s="1"/>
  <c r="H36" i="16"/>
  <c r="H41" i="16"/>
  <c r="H37" i="16"/>
  <c r="H42" i="16"/>
  <c r="I32" i="16"/>
  <c r="I15" i="16"/>
  <c r="J26" i="16"/>
  <c r="J27" i="16"/>
  <c r="J33" i="16" s="1"/>
  <c r="H44" i="16" l="1"/>
  <c r="H46" i="16"/>
  <c r="H43" i="16" s="1"/>
  <c r="J32" i="16"/>
  <c r="J15" i="16"/>
  <c r="I42" i="16"/>
  <c r="I37" i="16"/>
  <c r="I36" i="16"/>
  <c r="I41" i="16"/>
  <c r="I46" i="16" l="1"/>
  <c r="I43" i="16" s="1"/>
  <c r="J36" i="16"/>
  <c r="J41" i="16"/>
  <c r="J42" i="16"/>
  <c r="J37" i="16"/>
  <c r="I44" i="16"/>
  <c r="J44" i="16" l="1"/>
  <c r="J46" i="16"/>
  <c r="J43" i="16" l="1"/>
  <c r="C9" i="8" l="1"/>
  <c r="D9" i="8" l="1"/>
  <c r="C8" i="8"/>
  <c r="C10" i="8" l="1"/>
  <c r="E9" i="8"/>
  <c r="F9" i="8" s="1"/>
  <c r="D8" i="8"/>
  <c r="D10" i="8" s="1"/>
  <c r="G9" i="8" l="1"/>
  <c r="E5" i="5" l="1"/>
  <c r="L5" i="5"/>
  <c r="E8" i="8" l="1"/>
  <c r="E10" i="8" l="1"/>
  <c r="F8" i="8"/>
  <c r="G8" i="8" s="1"/>
  <c r="F10" i="8" l="1"/>
  <c r="G10" i="8" l="1"/>
  <c r="E12" i="5"/>
  <c r="E6" i="5" l="1"/>
  <c r="E4" i="5"/>
  <c r="L4" i="5"/>
  <c r="B8" i="20" l="1"/>
  <c r="B9" i="20"/>
  <c r="B6" i="20"/>
  <c r="B7" i="20" l="1"/>
  <c r="C9" i="20" l="1"/>
  <c r="C8" i="20"/>
  <c r="C6" i="20"/>
  <c r="C7" i="20" l="1"/>
  <c r="K22" i="16" l="1"/>
  <c r="K23" i="16" l="1"/>
  <c r="L22" i="16"/>
  <c r="N22" i="16" s="1"/>
  <c r="F4" i="16" s="1"/>
  <c r="L26" i="16"/>
  <c r="K27" i="16"/>
  <c r="K26" i="16"/>
  <c r="L32" i="16" l="1"/>
  <c r="K32" i="16"/>
  <c r="K15" i="16"/>
  <c r="G4" i="16"/>
  <c r="K33" i="16"/>
  <c r="L23" i="16"/>
  <c r="N23" i="16" s="1"/>
  <c r="F5" i="16" s="1"/>
  <c r="F6" i="16" s="1"/>
  <c r="H4" i="16" l="1"/>
  <c r="K41" i="16"/>
  <c r="K36" i="16"/>
  <c r="K42" i="16"/>
  <c r="K37" i="16"/>
  <c r="L27" i="16"/>
  <c r="L41" i="16" l="1"/>
  <c r="L36" i="16"/>
  <c r="K44" i="16"/>
  <c r="K46" i="16"/>
  <c r="K43" i="16" s="1"/>
  <c r="L33" i="16"/>
  <c r="L42" i="16" s="1"/>
  <c r="G5" i="16"/>
  <c r="L15" i="16"/>
  <c r="J5" i="16" l="1"/>
  <c r="M36" i="16"/>
  <c r="M41" i="16"/>
  <c r="L46" i="16"/>
  <c r="J4" i="16"/>
  <c r="L44" i="16"/>
  <c r="H5" i="16"/>
  <c r="G6" i="16"/>
  <c r="L37" i="16"/>
  <c r="K4" i="16" l="1"/>
  <c r="L4" i="16" s="1"/>
  <c r="J6" i="16"/>
  <c r="L43" i="16"/>
  <c r="M42" i="16"/>
  <c r="M37" i="16"/>
  <c r="K5" i="16"/>
  <c r="H6" i="16"/>
  <c r="M44" i="16" l="1"/>
  <c r="M46" i="16"/>
  <c r="M43" i="16" s="1"/>
  <c r="K10" i="16"/>
  <c r="L5" i="16"/>
  <c r="K9" i="16"/>
  <c r="K8" i="16"/>
  <c r="D20" i="5"/>
  <c r="K6" i="16"/>
  <c r="D22" i="5" l="1"/>
  <c r="D23" i="5"/>
  <c r="D21" i="5"/>
  <c r="K11" i="16"/>
  <c r="B10" i="20" l="1"/>
  <c r="C10" i="20"/>
  <c r="C12" i="12" l="1"/>
  <c r="B12" i="12"/>
  <c r="C11" i="12"/>
  <c r="B11" i="12"/>
  <c r="B6" i="12"/>
  <c r="B10" i="12"/>
  <c r="C6" i="12"/>
  <c r="D12" i="5" s="1"/>
  <c r="K4" i="5" s="1"/>
  <c r="D14" i="5" l="1"/>
  <c r="K6" i="5" s="1"/>
  <c r="D15" i="5"/>
  <c r="K7" i="5" s="1"/>
  <c r="B13" i="12"/>
  <c r="C10" i="12"/>
  <c r="D7" i="5" l="1"/>
  <c r="H7" i="5" s="1"/>
  <c r="C13" i="12"/>
  <c r="D13" i="5"/>
  <c r="D4" i="5"/>
  <c r="B7" i="12"/>
  <c r="B8" i="12" s="1"/>
  <c r="H4" i="5" l="1"/>
  <c r="C7" i="12"/>
  <c r="C8" i="12" l="1"/>
  <c r="D6" i="5" l="1"/>
  <c r="H6" i="5" s="1"/>
  <c r="K5" i="5"/>
  <c r="D5" i="5"/>
  <c r="H5" i="5" l="1"/>
</calcChain>
</file>

<file path=xl/sharedStrings.xml><?xml version="1.0" encoding="utf-8"?>
<sst xmlns="http://schemas.openxmlformats.org/spreadsheetml/2006/main" count="488" uniqueCount="202">
  <si>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</si>
  <si>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</si>
  <si>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</si>
  <si>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</si>
  <si>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</si>
  <si>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</si>
  <si>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</si>
  <si>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</si>
  <si>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</si>
  <si>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</si>
  <si>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</si>
  <si>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</si>
  <si>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</si>
  <si>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</si>
  <si>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</si>
  <si>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</si>
  <si>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</si>
  <si>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</si>
  <si>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</si>
  <si>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</si>
  <si>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</si>
  <si>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</si>
  <si>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</si>
  <si>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</si>
  <si>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</si>
  <si>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</si>
  <si>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</si>
  <si>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</si>
  <si>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</si>
  <si>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</si>
  <si>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</si>
  <si>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</si>
  <si>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</si>
  <si>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</si>
  <si>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</si>
  <si>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</si>
  <si>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</si>
  <si>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</si>
  <si>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</si>
  <si>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</si>
  <si>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</si>
  <si>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</si>
  <si>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</si>
  <si>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</si>
  <si>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</si>
  <si>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</si>
  <si>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</si>
  <si>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</si>
  <si>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</si>
  <si>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</si>
  <si>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</si>
  <si>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</si>
  <si>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</si>
  <si>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</si>
  <si>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</si>
  <si>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</si>
  <si>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</si>
  <si>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</si>
  <si>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</si>
  <si>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</si>
  <si>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</si>
  <si>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</si>
  <si>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</si>
  <si>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</si>
  <si>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</si>
  <si>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</si>
  <si>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</si>
  <si>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</si>
  <si>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</si>
  <si>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</si>
  <si>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</si>
  <si>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</si>
  <si>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</si>
  <si>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</si>
  <si>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</si>
  <si>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</si>
  <si>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</si>
  <si>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</si>
  <si>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</si>
  <si>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</si>
  <si>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</si>
  <si>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</si>
  <si>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</si>
  <si>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</si>
  <si>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Throughput Disincentive (PTD) TD Calculation</t>
  </si>
  <si>
    <t>Cycle 2 Projected Program Costs (PPC) Calculation</t>
  </si>
  <si>
    <t>Cycle 1 Throughput Disincentive TD-NSB Reconciliation (TDR) Calculation</t>
  </si>
  <si>
    <t>1. Forecasted kWh Sales Impact</t>
  </si>
  <si>
    <t>4. Actual/Forecasted TD-NSB</t>
  </si>
  <si>
    <t>5. Total monthly interest - Source: calculated</t>
  </si>
  <si>
    <t>6. AFUDC Rate</t>
  </si>
  <si>
    <t>7. Actual TD-NSB rate component of the tariff rate</t>
  </si>
  <si>
    <t>7. Current Tariff Rate</t>
  </si>
  <si>
    <t>4. Actual/Forecasted TD</t>
  </si>
  <si>
    <t>7. Actual TD rate component of the tariff rate</t>
  </si>
  <si>
    <t>6. Short-Term Interest Rate</t>
  </si>
  <si>
    <t>3. kWh sales impact</t>
  </si>
  <si>
    <t>Cumulative kWh Sales Impact</t>
  </si>
  <si>
    <t>TD</t>
  </si>
  <si>
    <t>EO Rate</t>
  </si>
  <si>
    <t>Cycle 1 Earnings Opportunity Reconciliation (EOR) Calculation</t>
  </si>
  <si>
    <t>Carrying Cost</t>
  </si>
  <si>
    <t>1. &amp; 4. Actual monthly TD-NSB - Source: None</t>
  </si>
  <si>
    <t>1. Allocated Actual Earnings Opportunity</t>
  </si>
  <si>
    <t>1. Actual monthly earnings opportunity - Source: None</t>
  </si>
  <si>
    <t>2. Actual/Forecasted Revenues - Earnings Opportunity Only</t>
  </si>
  <si>
    <t>3. Total Interest</t>
  </si>
  <si>
    <t>4. Short-Term Interest Rate</t>
  </si>
  <si>
    <t>3. Total monthly interest - Source: calculated</t>
  </si>
  <si>
    <t>1. Ordered Adjustment</t>
  </si>
  <si>
    <t>2. Carrying Costs on OA</t>
  </si>
  <si>
    <t>1. Actual monthly program costs by allocation bucket Residential, Non-Residential, Low Income, Common/General, Programmable Thermostat) - Source: None</t>
  </si>
  <si>
    <t>Correction of Reported Results for April - October 2018</t>
  </si>
  <si>
    <t>Res/Non-Res Allocation</t>
  </si>
  <si>
    <t>2. Carrying Costs on OA - Source: Calculated</t>
  </si>
  <si>
    <t>3. Monthly Short-Term Interest Rate</t>
  </si>
  <si>
    <t>OA Rate</t>
  </si>
  <si>
    <t>Cumulative Over/Under Carryover From 06/01/2019 Filing</t>
  </si>
  <si>
    <t>Reverse May-19 - October-19  Forecast From 06/01/2019 Filing</t>
  </si>
  <si>
    <t>1. Total Earnings Opportunity</t>
  </si>
  <si>
    <t>5. Total Earnings Opportunity plus Carrying Costs</t>
  </si>
  <si>
    <t>Cycle 2 Ordered Adjustments Reconciliation (OAR) Calculation</t>
  </si>
  <si>
    <t>1. Allocated Actual Ordered Adjustments</t>
  </si>
  <si>
    <t>2. Actual/Forecasted Revenues - Ordered Adjustments Only</t>
  </si>
  <si>
    <t xml:space="preserve">1. Ordered Adjustment - </t>
  </si>
  <si>
    <t>1. Ordered Adjustment - Source: None</t>
  </si>
  <si>
    <t>3. Monthly Short-Term Borrowing Rate - Source: None</t>
  </si>
  <si>
    <t>Cycle 2 Earnings Opportunity (EO) Calculation</t>
  </si>
  <si>
    <t>2. EO TD Ex Post Gross Adjustment</t>
  </si>
  <si>
    <t>4. Carrying Costs @ AFUDC Rate</t>
  </si>
  <si>
    <t>6. Amortization Over 24 Month Recovery Period</t>
  </si>
  <si>
    <t>3. EO TD NTG Adjustment</t>
  </si>
  <si>
    <t>5. Total Earnings Opportunity plus Carrying Costs - Source: Sum of Lines 1. through 4.</t>
  </si>
  <si>
    <t>1. Actual monthly Ordered Adjustments - Source: OA Adjustment Cycle 2 Missouri West.xlsx</t>
  </si>
  <si>
    <t>Cycle 2 Ordered Adjustment (OA) Calculation</t>
  </si>
  <si>
    <t>3. Actual monthly kWh Sales Impact - Source: TD Model Missouri West 102019 11202019.xlsx
    Forecasted monthly kWh Sales Impact - Source: Missouri West MEEIA Cycle 2 Forecast 2017-2020 102019 actuals 11222019.xlsx</t>
  </si>
  <si>
    <t>Cycle 2 kWh Participation</t>
  </si>
  <si>
    <t>Non-Residential SGS</t>
  </si>
  <si>
    <t>Non-Residential LGS</t>
  </si>
  <si>
    <t>Non-Residential LPS</t>
  </si>
  <si>
    <t>Total Non-Residential</t>
  </si>
  <si>
    <t>3. Cycle 2 kWh Participation - Source: TD Model Missouri West 102019 11202019 v2.xlsx</t>
  </si>
  <si>
    <t>3. Cycle 2 kWh Participation</t>
  </si>
  <si>
    <t>Projections for Cycle 2 January - December 2020 DSIM</t>
  </si>
  <si>
    <t>Cycle 3 Projected Program Costs (PPC) Calculation</t>
  </si>
  <si>
    <t>Projections for Cycle 3 January - December 2020 DSIM</t>
  </si>
  <si>
    <t>1. PPC</t>
  </si>
  <si>
    <t>Cycle 3 Projected Throughput Disincentive (PTD) TD Calculation</t>
  </si>
  <si>
    <t>1. Forecasted program costs by rate class (Residential, Non-Residential SGS, Non-Residential LGS and Non-Residential LPS) - Source: MEEIA 2019 Portfolio Analysis_FILED_GMO_11292018_SURR 2 12132019.xlsx</t>
  </si>
  <si>
    <t>1. Forecasted Residential/Non-Residential kWh Sales Impact  - Source: MEEIA 2019 Portfolio Analysis_FILED_GMO_11292018_SURR 2 12132019.xlsx</t>
  </si>
  <si>
    <t>2. Forecasted Throughput Disincentive  - Source: MEEIA 2019 Portfolio Analysis_FILED_GMO_11292018_SURR 2 12132019.xlsx</t>
  </si>
  <si>
    <t>1. Forecasted kWh by Residential/Non-Residential (Reduced for Opt-Out) - Source: Billed kWh Budget Missouri West 2019-2020 v2.xlsx</t>
  </si>
  <si>
    <t>2. Forecasted program costs by allocation bucket (Residential, Non-Residential, Income-Eligible, Common/General) - Source: Missouri West MEEIA Cycle 2 Forecast 2017-2020 102019 actuals 11222019 v2.xlsx</t>
  </si>
  <si>
    <t>7. Cycle 2 kWh Participation - Source: TD Model Missouri West 102019 11202019 v2.xlsx</t>
  </si>
  <si>
    <t>7. Cycle 2 kWh Participation</t>
  </si>
  <si>
    <t>2. Actual monthly kWh billed sales by Residential/Non-Residential (reduced for opt-out) - Source: Missouri West MEEIA 2019 Revenue Analysis v2.xlsx
    Forecasted monthly kWh billed sales by Residential/Non-Residential (reduced for opt-out) - Source: Billed kWh Budget Missouri West 2019-2020 v2.xlsx</t>
  </si>
  <si>
    <t>3. Actual monthly billed revenues by Residential/Non-Residential (program cost revenues only) - Missouri West MEEIA 2019 Revenue Analysis v2.xlsx
Forecasted monthly billed revenues by Residential/Non-Residential (program cost revenues only) - Source: calculated = Forecasted billed kWh sales X tariff rate</t>
  </si>
  <si>
    <t>5. Monthly Short-Term Borrowing Rate - Source: Missouri West Short-Term Borrowing Rate May 2019 - October 2019 v2.xlsx</t>
  </si>
  <si>
    <t>1. Actual monthly program costs by allocation bucket Residential, Non-Residential, Income-Eligible, Common/General) - Source: SI Projects 052019-102019 Missouri West v2.xlsx
    Forecasted monthly program costs by allocation bucket - Source: Missouri West MEEIA Cycle 2 Forecast 2017-2020 102019 actuals 11222019 v2.xlsx</t>
  </si>
  <si>
    <t>3. Actual monthly billed revenues by Residential/Non-Residential (program cost revenues only) - Missouri West MEEIA 2019 Revenue Analysis v2.xlsx
    Forecasted monthly billed revenues by Residential/Non-Residential (program cost revenues only) - Source: calculated = Forecasted billed kWh sales X tariff rate</t>
  </si>
  <si>
    <t>1. Forecasted Residential/Non-Residential kWh Sales Impact  - Source: Missouri West MEEIA Cycle 2 Forecast 2017-2020 102019 actuals 11222019 v2.xlsx</t>
  </si>
  <si>
    <t>2. Forecasted Throughput Disincentive  - Source: Missouri West MEEIA Cycle 2 Forecast 2017-2020 102019 actuals 11222019 v2.xlsx</t>
  </si>
  <si>
    <t>8. Cycle 2 kWh Participation</t>
  </si>
  <si>
    <t>8. Cycle 2 kWh Participation - Source: TD Model Missouri West 102019 11202019 v2.xlsx</t>
  </si>
  <si>
    <t>3. Actual monthly billed revenues by Residential/Non-Residential (TD-NSB only) - Missouri West MEEIA 2019 Revenue Analysis v2.xlsx
Forecasted monthly billed revenues by Residential/Non-Residential (TD-NSB revenues only) - Source: calculated = Forecasted billed kWh sales X tariff rate</t>
  </si>
  <si>
    <t>6. Monthly AFUDC Rate - Source: Missouri West AFUDC Rates January thru October 2019 v2.xlsx</t>
  </si>
  <si>
    <t>1. &amp; 4. Actual monthly TD - Source: TD Model Missouri West 102019 11202019 v2.xlsx
    Forecasted monthly TD - Source: Missouri West MEEIA Cycle 2 Forecast 2017-2020 102019 actuals 11222019 v2.xlsx</t>
  </si>
  <si>
    <t>1. Total Earnings Opportunity - Source: Missouri West EO Calculation PY1-PY3 v2.xlsx</t>
  </si>
  <si>
    <t>2. EO TD Ex Post Gross Adjustment -  Source: TD Model Missouri West 102019 11202019 v2.xlsx</t>
  </si>
  <si>
    <t>3. EO TD NTG Adjustment -  Source: TD Model Missouri West 102019 11202019 v2.xlsx</t>
  </si>
  <si>
    <t>4. Carrying Costs @ AFUDC Rate -  Source: TD Model Missouri West 102019 11202019 v2.xlsx</t>
  </si>
  <si>
    <t>6. Actual EO rate component of the tariff rate</t>
  </si>
  <si>
    <t>2. Actual monthly billed revenues by Residential/Non-Residential (program cost revenues only) - Missouri West MEEIA 2019 Revenue Analysis v2.xlsx
Forecasted monthly billed revenues by Residential/Non-Residential (program cost revenues only) - Source: calculated = Forecasted billed kWh sales X tariff rate</t>
  </si>
  <si>
    <t>6. Actual OA rate component of the tariff rate</t>
  </si>
  <si>
    <t>6. Amortization Over 24 Month Recovery Period - Source: Line 5 divided by 2 (12 month recovery periods)</t>
  </si>
  <si>
    <t>PPC-cycle 1</t>
  </si>
  <si>
    <t>PTD-cycle 1</t>
  </si>
  <si>
    <t>EO-cycle 1</t>
  </si>
  <si>
    <t>PPC-cycle 2</t>
  </si>
  <si>
    <t>PTD-cycle 2</t>
  </si>
  <si>
    <t>EO-cycle 2</t>
  </si>
  <si>
    <t>OA-cycle 2</t>
  </si>
  <si>
    <t>PPC-cycle 3</t>
  </si>
  <si>
    <t>PTD-cycle 3</t>
  </si>
  <si>
    <t>EO-cycle 3</t>
  </si>
  <si>
    <t>OA-cycle 3</t>
  </si>
  <si>
    <t>PCR-cycle 1</t>
  </si>
  <si>
    <t>TDR-cycle 1</t>
  </si>
  <si>
    <t>EOR-cycle 1</t>
  </si>
  <si>
    <t>PCR-cycle 2</t>
  </si>
  <si>
    <t>TDR-cycle 2</t>
  </si>
  <si>
    <t>EOR-cycle 2</t>
  </si>
  <si>
    <t>OAR-cycle 2</t>
  </si>
  <si>
    <t>PCR-cycle 3</t>
  </si>
  <si>
    <t>TDR-cycle 3</t>
  </si>
  <si>
    <t>EOR-cycle 3</t>
  </si>
  <si>
    <t>OAR-cycle 3</t>
  </si>
  <si>
    <t>Breakout of Rate by Cycle:</t>
  </si>
  <si>
    <t>Cycle 1</t>
  </si>
  <si>
    <t>Cycle 2</t>
  </si>
  <si>
    <t>Cycle 3</t>
  </si>
  <si>
    <t>Evergy Missouri West, Inc. - DSIM Rider Update MEEIA 3 Filed 1-10-2020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</si>
</sst>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?????_);_(@_)"/>
    <numFmt numFmtId="170" formatCode="0.000000%"/>
    <numFmt numFmtId="171" formatCode="mm/dd/yy;@"/>
    <numFmt numFmtId="172" formatCode="_(&quot;$&quot;* #,##0.0000000_);_(&quot;$&quot;* \(#,##0.0000000\);_(&quot;$&quot;* &quot;-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color rgb="FFFF00FF"/>
      <name val="Courier New"/>
      <family val="3"/>
    </font>
    <font>
      <sz val="10"/>
      <name val="Courier New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310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165" fontId="5" fillId="5" borderId="22" xfId="6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8" fontId="0" fillId="0" borderId="9" xfId="0" applyNumberFormat="1" applyBorder="1"/>
    <xf numFmtId="169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42" fontId="14" fillId="7" borderId="33" xfId="13" applyNumberFormat="1" applyBorder="1"/>
    <xf numFmtId="170" fontId="0" fillId="0" borderId="0" xfId="2" applyNumberFormat="1" applyFont="1" applyBorder="1"/>
    <xf numFmtId="170" fontId="0" fillId="0" borderId="0" xfId="0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44" fontId="7" fillId="0" borderId="0" xfId="8" applyNumberFormat="1" applyFill="1" applyBorder="1"/>
    <xf numFmtId="0" fontId="30" fillId="0" borderId="3" xfId="0" applyFont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0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0" fontId="0" fillId="0" borderId="9" xfId="0" applyNumberFormat="1" applyFill="1" applyBorder="1"/>
    <xf numFmtId="164" fontId="0" fillId="0" borderId="7" xfId="0" applyNumberFormat="1" applyFill="1" applyBorder="1"/>
    <xf numFmtId="170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1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2" fontId="30" fillId="0" borderId="4" xfId="0" applyNumberFormat="1" applyFont="1" applyBorder="1" applyAlignment="1">
      <alignment horizontal="center" wrapText="1"/>
    </xf>
    <xf numFmtId="41" fontId="10" fillId="0" borderId="6" xfId="0" applyNumberFormat="1" applyFont="1" applyBorder="1" applyAlignment="1">
      <alignment vertical="center"/>
    </xf>
    <xf numFmtId="169" fontId="10" fillId="0" borderId="6" xfId="0" applyNumberFormat="1" applyFont="1" applyFill="1" applyBorder="1" applyAlignment="1">
      <alignment vertical="center"/>
    </xf>
    <xf numFmtId="169" fontId="0" fillId="0" borderId="0" xfId="0" applyNumberFormat="1" applyFill="1" applyAlignment="1"/>
    <xf numFmtId="169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2" fontId="14" fillId="7" borderId="52" xfId="13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42" fontId="5" fillId="5" borderId="1" xfId="6" applyNumberFormat="1" applyBorder="1"/>
    <xf numFmtId="42" fontId="5" fillId="5" borderId="22" xfId="6" applyNumberFormat="1" applyBorder="1"/>
    <xf numFmtId="165" fontId="4" fillId="4" borderId="54" xfId="11" applyNumberFormat="1" applyFont="1" applyFill="1" applyBorder="1"/>
    <xf numFmtId="3" fontId="4" fillId="4" borderId="54" xfId="5" applyNumberFormat="1" applyBorder="1"/>
    <xf numFmtId="44" fontId="0" fillId="0" borderId="55" xfId="0" applyNumberFormat="1" applyBorder="1"/>
    <xf numFmtId="165" fontId="14" fillId="7" borderId="56" xfId="13" applyNumberFormat="1" applyBorder="1"/>
    <xf numFmtId="165" fontId="4" fillId="4" borderId="57" xfId="5" applyNumberFormat="1" applyBorder="1"/>
    <xf numFmtId="44" fontId="6" fillId="6" borderId="58" xfId="7" applyNumberFormat="1" applyBorder="1"/>
    <xf numFmtId="165" fontId="4" fillId="4" borderId="59" xfId="5" applyNumberFormat="1" applyBorder="1"/>
    <xf numFmtId="42" fontId="14" fillId="7" borderId="56" xfId="13" applyNumberFormat="1" applyBorder="1"/>
    <xf numFmtId="41" fontId="4" fillId="4" borderId="54" xfId="5" applyNumberFormat="1" applyBorder="1"/>
    <xf numFmtId="37" fontId="4" fillId="0" borderId="9" xfId="5" applyNumberFormat="1" applyFill="1" applyBorder="1"/>
    <xf numFmtId="165" fontId="4" fillId="4" borderId="54" xfId="5" applyNumberFormat="1" applyBorder="1"/>
    <xf numFmtId="165" fontId="4" fillId="4" borderId="57" xfId="11" applyNumberFormat="1" applyFont="1" applyFill="1" applyBorder="1"/>
    <xf numFmtId="165" fontId="4" fillId="0" borderId="9" xfId="11" applyNumberFormat="1" applyFont="1" applyFill="1" applyBorder="1"/>
    <xf numFmtId="44" fontId="6" fillId="6" borderId="60" xfId="7" applyNumberFormat="1" applyBorder="1"/>
    <xf numFmtId="165" fontId="5" fillId="0" borderId="11" xfId="6" applyNumberFormat="1" applyFill="1" applyBorder="1"/>
    <xf numFmtId="42" fontId="14" fillId="7" borderId="23" xfId="13" applyNumberFormat="1" applyBorder="1" applyAlignment="1">
      <alignment horizontal="right"/>
    </xf>
    <xf numFmtId="167" fontId="14" fillId="7" borderId="46" xfId="1" applyNumberFormat="1" applyFont="1" applyFill="1" applyBorder="1"/>
    <xf numFmtId="167" fontId="14" fillId="7" borderId="47" xfId="1" applyNumberFormat="1" applyFont="1" applyFill="1" applyBorder="1"/>
    <xf numFmtId="42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170" fontId="0" fillId="0" borderId="0" xfId="2" quotePrefix="1" applyNumberFormat="1" applyFont="1" applyFill="1" applyBorder="1" applyAlignment="1">
      <alignment horizontal="center" wrapText="1"/>
    </xf>
    <xf numFmtId="170" fontId="0" fillId="0" borderId="9" xfId="2" quotePrefix="1" applyNumberFormat="1" applyFont="1" applyBorder="1" applyAlignment="1">
      <alignment horizontal="center" wrapText="1"/>
    </xf>
    <xf numFmtId="43" fontId="5" fillId="0" borderId="0" xfId="1" applyFont="1" applyFill="1" applyBorder="1"/>
    <xf numFmtId="43" fontId="5" fillId="0" borderId="9" xfId="1" applyFont="1" applyFill="1" applyBorder="1"/>
    <xf numFmtId="0" fontId="8" fillId="0" borderId="0" xfId="0" applyFont="1" applyAlignment="1">
      <alignment horizontal="left" vertical="center" wrapText="1"/>
    </xf>
    <xf numFmtId="41" fontId="5" fillId="5" borderId="22" xfId="6" applyNumberFormat="1" applyBorder="1"/>
    <xf numFmtId="165" fontId="5" fillId="5" borderId="44" xfId="11" applyNumberFormat="1" applyFont="1" applyFill="1" applyBorder="1"/>
    <xf numFmtId="165" fontId="14" fillId="7" borderId="52" xfId="13" applyNumberFormat="1" applyBorder="1"/>
    <xf numFmtId="165" fontId="5" fillId="5" borderId="52" xfId="6" applyNumberFormat="1" applyBorder="1"/>
    <xf numFmtId="165" fontId="5" fillId="5" borderId="61" xfId="11" applyNumberFormat="1" applyFont="1" applyFill="1" applyBorder="1"/>
    <xf numFmtId="41" fontId="5" fillId="5" borderId="56" xfId="6" applyNumberFormat="1" applyBorder="1"/>
    <xf numFmtId="43" fontId="0" fillId="0" borderId="0" xfId="0" applyNumberFormat="1"/>
    <xf numFmtId="44" fontId="7" fillId="0" borderId="0" xfId="8" applyNumberFormat="1" applyBorder="1"/>
    <xf numFmtId="44" fontId="14" fillId="7" borderId="1" xfId="13" applyNumberFormat="1" applyBorder="1"/>
    <xf numFmtId="43" fontId="0" fillId="0" borderId="0" xfId="1" applyFont="1"/>
    <xf numFmtId="8" fontId="0" fillId="0" borderId="0" xfId="0" applyNumberFormat="1"/>
    <xf numFmtId="44" fontId="14" fillId="7" borderId="22" xfId="13" applyNumberFormat="1" applyBorder="1"/>
    <xf numFmtId="0" fontId="0" fillId="39" borderId="19" xfId="0" applyFill="1" applyBorder="1" applyAlignment="1">
      <alignment horizontal="center" wrapText="1"/>
    </xf>
    <xf numFmtId="42" fontId="5" fillId="5" borderId="13" xfId="6" applyNumberFormat="1" applyBorder="1"/>
    <xf numFmtId="41" fontId="5" fillId="5" borderId="62" xfId="6" applyNumberFormat="1" applyBorder="1"/>
    <xf numFmtId="42" fontId="5" fillId="37" borderId="22" xfId="6" applyNumberFormat="1" applyFill="1" applyBorder="1"/>
    <xf numFmtId="4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0" fillId="0" borderId="0" xfId="0" applyNumberFormat="1" applyBorder="1"/>
    <xf numFmtId="169" fontId="10" fillId="0" borderId="3" xfId="0" applyNumberFormat="1" applyFont="1" applyFill="1" applyBorder="1" applyAlignment="1">
      <alignment vertical="center"/>
    </xf>
    <xf numFmtId="169" fontId="10" fillId="0" borderId="5" xfId="0" applyNumberFormat="1" applyFont="1" applyFill="1" applyBorder="1" applyAlignment="1">
      <alignment vertical="center"/>
    </xf>
    <xf numFmtId="3" fontId="4" fillId="4" borderId="63" xfId="5" applyNumberFormat="1" applyBorder="1"/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165" fontId="13" fillId="0" borderId="0" xfId="12" applyNumberFormat="1" applyFill="1" applyBorder="1"/>
    <xf numFmtId="165" fontId="5" fillId="0" borderId="28" xfId="6" applyNumberFormat="1" applyFill="1" applyBorder="1"/>
    <xf numFmtId="0" fontId="0" fillId="39" borderId="64" xfId="0" applyFill="1" applyBorder="1" applyAlignment="1">
      <alignment horizontal="center" wrapText="1"/>
    </xf>
    <xf numFmtId="164" fontId="0" fillId="0" borderId="65" xfId="0" applyNumberFormat="1" applyFill="1" applyBorder="1"/>
    <xf numFmtId="165" fontId="5" fillId="0" borderId="66" xfId="6" applyNumberFormat="1" applyFill="1" applyBorder="1"/>
    <xf numFmtId="0" fontId="0" fillId="0" borderId="67" xfId="0" applyFill="1" applyBorder="1"/>
    <xf numFmtId="44" fontId="0" fillId="0" borderId="67" xfId="0" applyNumberFormat="1" applyFill="1" applyBorder="1"/>
    <xf numFmtId="41" fontId="5" fillId="0" borderId="66" xfId="6" applyNumberFormat="1" applyFill="1" applyBorder="1"/>
    <xf numFmtId="165" fontId="5" fillId="0" borderId="67" xfId="6" applyNumberFormat="1" applyFill="1" applyBorder="1"/>
    <xf numFmtId="165" fontId="5" fillId="0" borderId="68" xfId="11" applyNumberFormat="1" applyFont="1" applyFill="1" applyBorder="1"/>
    <xf numFmtId="165" fontId="5" fillId="0" borderId="69" xfId="11" applyNumberFormat="1" applyFont="1" applyFill="1" applyBorder="1"/>
    <xf numFmtId="10" fontId="5" fillId="0" borderId="67" xfId="2" applyNumberFormat="1" applyFont="1" applyFill="1" applyBorder="1"/>
    <xf numFmtId="165" fontId="14" fillId="0" borderId="66" xfId="13" applyNumberFormat="1" applyFill="1" applyBorder="1"/>
    <xf numFmtId="170" fontId="0" fillId="0" borderId="67" xfId="0" applyNumberFormat="1" applyFill="1" applyBorder="1"/>
    <xf numFmtId="170" fontId="0" fillId="0" borderId="67" xfId="2" applyNumberFormat="1" applyFont="1" applyFill="1" applyBorder="1"/>
    <xf numFmtId="44" fontId="6" fillId="0" borderId="70" xfId="7" applyNumberFormat="1" applyFill="1" applyBorder="1"/>
    <xf numFmtId="171" fontId="0" fillId="0" borderId="0" xfId="0" applyNumberFormat="1"/>
    <xf numFmtId="170" fontId="0" fillId="0" borderId="0" xfId="2" applyNumberFormat="1" applyFont="1"/>
    <xf numFmtId="170" fontId="0" fillId="0" borderId="0" xfId="0" applyNumberFormat="1"/>
    <xf numFmtId="43" fontId="34" fillId="0" borderId="0" xfId="1" applyFont="1"/>
    <xf numFmtId="10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44" fontId="14" fillId="7" borderId="13" xfId="13" applyNumberFormat="1" applyBorder="1"/>
    <xf numFmtId="44" fontId="7" fillId="0" borderId="9" xfId="8" applyNumberFormat="1" applyBorder="1"/>
    <xf numFmtId="165" fontId="7" fillId="0" borderId="9" xfId="8" applyNumberFormat="1" applyBorder="1"/>
    <xf numFmtId="165" fontId="13" fillId="7" borderId="71" xfId="12" applyNumberFormat="1" applyBorder="1"/>
    <xf numFmtId="42" fontId="14" fillId="7" borderId="72" xfId="13" applyNumberFormat="1" applyBorder="1"/>
    <xf numFmtId="0" fontId="7" fillId="0" borderId="0" xfId="8" applyFill="1" applyBorder="1" applyAlignment="1">
      <alignment horizontal="right"/>
    </xf>
    <xf numFmtId="43" fontId="6" fillId="0" borderId="0" xfId="1" applyFont="1" applyFill="1" applyBorder="1"/>
    <xf numFmtId="165" fontId="13" fillId="7" borderId="73" xfId="12" applyNumberFormat="1" applyBorder="1"/>
    <xf numFmtId="165" fontId="13" fillId="7" borderId="74" xfId="12" applyNumberFormat="1" applyBorder="1"/>
    <xf numFmtId="42" fontId="14" fillId="7" borderId="75" xfId="13" applyNumberFormat="1" applyBorder="1"/>
    <xf numFmtId="165" fontId="13" fillId="7" borderId="76" xfId="12" applyNumberFormat="1" applyBorder="1"/>
    <xf numFmtId="165" fontId="14" fillId="7" borderId="72" xfId="13" applyNumberFormat="1" applyBorder="1"/>
    <xf numFmtId="42" fontId="14" fillId="7" borderId="77" xfId="13" applyNumberFormat="1" applyBorder="1"/>
    <xf numFmtId="165" fontId="0" fillId="0" borderId="0" xfId="0" applyNumberFormat="1" applyFill="1"/>
    <xf numFmtId="43" fontId="0" fillId="0" borderId="0" xfId="0" applyNumberFormat="1" applyFill="1"/>
    <xf numFmtId="44" fontId="8" fillId="0" borderId="0" xfId="0" applyNumberFormat="1" applyFont="1" applyAlignment="1">
      <alignment wrapText="1"/>
    </xf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165" fontId="6" fillId="0" borderId="0" xfId="7" applyNumberFormat="1" applyFill="1" applyBorder="1"/>
    <xf numFmtId="41" fontId="6" fillId="0" borderId="0" xfId="7" applyNumberFormat="1" applyFill="1" applyBorder="1"/>
    <xf numFmtId="165" fontId="6" fillId="0" borderId="0" xfId="1" applyNumberFormat="1" applyFont="1" applyFill="1" applyBorder="1"/>
    <xf numFmtId="10" fontId="14" fillId="0" borderId="0" xfId="2" applyNumberFormat="1" applyFont="1" applyFill="1" applyBorder="1"/>
    <xf numFmtId="165" fontId="13" fillId="7" borderId="72" xfId="12" applyNumberFormat="1" applyBorder="1"/>
    <xf numFmtId="42" fontId="14" fillId="7" borderId="0" xfId="13" applyNumberFormat="1" applyBorder="1"/>
    <xf numFmtId="169" fontId="35" fillId="0" borderId="5" xfId="0" applyNumberFormat="1" applyFont="1" applyFill="1" applyBorder="1" applyAlignment="1">
      <alignment vertical="center"/>
    </xf>
    <xf numFmtId="169" fontId="35" fillId="0" borderId="6" xfId="0" applyNumberFormat="1" applyFont="1" applyFill="1" applyBorder="1" applyAlignment="1">
      <alignment vertical="center"/>
    </xf>
    <xf numFmtId="172" fontId="11" fillId="0" borderId="6" xfId="0" applyNumberFormat="1" applyFont="1" applyBorder="1" applyAlignment="1">
      <alignment horizontal="right"/>
    </xf>
    <xf numFmtId="172" fontId="11" fillId="0" borderId="6" xfId="0" quotePrefix="1" applyNumberFormat="1" applyFont="1" applyBorder="1" applyAlignment="1">
      <alignment horizontal="right"/>
    </xf>
    <xf numFmtId="172" fontId="0" fillId="0" borderId="0" xfId="0" applyNumberFormat="1"/>
    <xf numFmtId="172" fontId="11" fillId="0" borderId="6" xfId="0" applyNumberFormat="1" applyFont="1" applyFill="1" applyBorder="1" applyAlignment="1">
      <alignment horizontal="right"/>
    </xf>
    <xf numFmtId="172" fontId="35" fillId="0" borderId="6" xfId="0" applyNumberFormat="1" applyFont="1" applyFill="1" applyBorder="1" applyAlignment="1">
      <alignment horizontal="right"/>
    </xf>
    <xf numFmtId="172" fontId="30" fillId="0" borderId="4" xfId="0" applyNumberFormat="1" applyFont="1" applyBorder="1" applyAlignment="1">
      <alignment horizontal="center"/>
    </xf>
    <xf numFmtId="172" fontId="36" fillId="0" borderId="6" xfId="0" applyNumberFormat="1" applyFont="1" applyBorder="1" applyAlignment="1">
      <alignment horizontal="right"/>
    </xf>
    <xf numFmtId="172" fontId="35" fillId="0" borderId="6" xfId="0" applyNumberFormat="1" applyFont="1" applyBorder="1" applyAlignment="1">
      <alignment horizontal="right"/>
    </xf>
    <xf numFmtId="42" fontId="30" fillId="0" borderId="3" xfId="0" applyNumberFormat="1" applyFont="1" applyBorder="1" applyAlignment="1">
      <alignment horizontal="center"/>
    </xf>
    <xf numFmtId="172" fontId="11" fillId="0" borderId="5" xfId="0" applyNumberFormat="1" applyFont="1" applyBorder="1" applyAlignment="1">
      <alignment horizontal="right"/>
    </xf>
    <xf numFmtId="172" fontId="30" fillId="0" borderId="3" xfId="0" applyNumberFormat="1" applyFont="1" applyBorder="1" applyAlignment="1">
      <alignment horizontal="center"/>
    </xf>
    <xf numFmtId="172" fontId="36" fillId="0" borderId="5" xfId="0" applyNumberFormat="1" applyFont="1" applyBorder="1" applyAlignment="1">
      <alignment horizontal="right"/>
    </xf>
    <xf numFmtId="172" fontId="11" fillId="0" borderId="5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1" xfId="4" applyFont="1" applyBorder="1" applyAlignment="1">
      <alignment horizontal="center"/>
    </xf>
    <xf numFmtId="0" fontId="32" fillId="3" borderId="28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CorpAcctg/MEEIA/Missouri%20West%20MEEIA%20DSIM%20Rider/20191201%20Filing/Billed%20kWh%20Budget%20Missouri%20West%202019-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OA%20Adjustment%20Cycle%202%20Missouri%20Wes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Missouri%20West%20MEEIA%20Cycle%202%20Forecast%20Model%202017-2020%20102019%20actuals%2011222019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TD%20Model%20Missouri%20West%20102019%2011202019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MEEIA%202019%20Portfolio%20Analysis_RAP%20Modified_FILED_GMO_11292018_SURR%202%201213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Missouri%20West%20MEEIA%202019%20Revenue%20Analysis%20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Missouri%20West%20Short-Term%20Borrowing%20Rate%20May%202019%20-%20October%202019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SI%20Projects%20052019-102019%20Missouri%20West%20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Missouri%20West%20AFUDC%20Rates%20January%20%20thru%20October%202019%20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Missouri%20West%20EO%20Calculation%20PY1-PY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4">
          <cell r="G24">
            <v>207260261</v>
          </cell>
          <cell r="H24">
            <v>266633201</v>
          </cell>
          <cell r="I24">
            <v>362127632</v>
          </cell>
        </row>
        <row r="25">
          <cell r="G25">
            <v>71920701</v>
          </cell>
          <cell r="H25">
            <v>80547726</v>
          </cell>
          <cell r="I25">
            <v>88403062</v>
          </cell>
        </row>
        <row r="33">
          <cell r="E33">
            <v>1703177311</v>
          </cell>
          <cell r="F33">
            <v>1834242819</v>
          </cell>
        </row>
        <row r="34">
          <cell r="E34">
            <v>475462510</v>
          </cell>
          <cell r="F34">
            <v>490193386</v>
          </cell>
        </row>
        <row r="35">
          <cell r="E35">
            <v>718701213</v>
          </cell>
          <cell r="F35">
            <v>740968161</v>
          </cell>
        </row>
        <row r="36">
          <cell r="E36">
            <v>552877823</v>
          </cell>
          <cell r="F36">
            <v>570007197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"/>
    </sheetNames>
    <sheetDataSet>
      <sheetData sheetId="0">
        <row r="8">
          <cell r="D8">
            <v>-4342.5</v>
          </cell>
        </row>
        <row r="9">
          <cell r="D9">
            <v>-4342.51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Missouri West Monthly TD Calc"/>
      <sheetName val="Program Costs - Missouri West"/>
    </sheetNames>
    <sheetDataSet>
      <sheetData sheetId="0"/>
      <sheetData sheetId="1"/>
      <sheetData sheetId="2"/>
      <sheetData sheetId="3">
        <row r="322">
          <cell r="AT322">
            <v>111769.92</v>
          </cell>
          <cell r="AU322">
            <v>139193.04</v>
          </cell>
        </row>
        <row r="323">
          <cell r="AT323">
            <v>116497.19</v>
          </cell>
          <cell r="AU323">
            <v>126534.73</v>
          </cell>
        </row>
        <row r="326">
          <cell r="BG326">
            <v>2319169.4</v>
          </cell>
        </row>
        <row r="327">
          <cell r="BG327">
            <v>1985006.73</v>
          </cell>
        </row>
        <row r="336">
          <cell r="BG336">
            <v>957037.37999999989</v>
          </cell>
        </row>
        <row r="338">
          <cell r="BG338">
            <v>826182.21</v>
          </cell>
        </row>
        <row r="339">
          <cell r="BG339">
            <v>201787.13999999998</v>
          </cell>
        </row>
        <row r="352">
          <cell r="AT352">
            <v>2564623.1041083457</v>
          </cell>
          <cell r="AU352">
            <v>3440284.2581282724</v>
          </cell>
        </row>
        <row r="353">
          <cell r="AT353">
            <v>4029147.1139081805</v>
          </cell>
          <cell r="AU353">
            <v>4594960.8653744254</v>
          </cell>
        </row>
        <row r="357">
          <cell r="BG357">
            <v>43350123.934527777</v>
          </cell>
        </row>
        <row r="358">
          <cell r="BG358">
            <v>61764026.791700043</v>
          </cell>
        </row>
        <row r="361">
          <cell r="BG361">
            <v>19714107.74492605</v>
          </cell>
        </row>
        <row r="363">
          <cell r="BG363">
            <v>27919918.019444458</v>
          </cell>
        </row>
        <row r="364">
          <cell r="BG364">
            <v>14130001.027329529</v>
          </cell>
        </row>
      </sheetData>
      <sheetData sheetId="4">
        <row r="153">
          <cell r="BF153">
            <v>665080.43000000005</v>
          </cell>
          <cell r="BG153">
            <v>1462960.2820000001</v>
          </cell>
        </row>
        <row r="154">
          <cell r="BF154">
            <v>880550.85999999987</v>
          </cell>
          <cell r="BG154">
            <v>1239844.68</v>
          </cell>
        </row>
        <row r="155">
          <cell r="BF155">
            <v>108427.84</v>
          </cell>
          <cell r="BG155">
            <v>243899.39</v>
          </cell>
        </row>
        <row r="159">
          <cell r="BS159">
            <v>176253.38999999996</v>
          </cell>
        </row>
        <row r="160">
          <cell r="BS160">
            <v>197548.92</v>
          </cell>
        </row>
        <row r="161">
          <cell r="BS161">
            <v>37589.94</v>
          </cell>
        </row>
        <row r="162">
          <cell r="BS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  <sheetName val="TD EO Ex Post Gross Adj"/>
      <sheetName val="TD EO NTG Adj"/>
      <sheetName val="EO TD Carrying Costs"/>
      <sheetName val="EM&amp;V Inputs"/>
      <sheetName val="kW Actuals (Gross)"/>
    </sheetNames>
    <sheetDataSet>
      <sheetData sheetId="0"/>
      <sheetData sheetId="1">
        <row r="44">
          <cell r="CY44">
            <v>0.39423672897243034</v>
          </cell>
          <cell r="DA44">
            <v>0.45277339225375463</v>
          </cell>
          <cell r="DB44">
            <v>0.15298987877381515</v>
          </cell>
        </row>
        <row r="285">
          <cell r="AN285">
            <v>2292149.8453767812</v>
          </cell>
          <cell r="AO285">
            <v>3094646.2726273248</v>
          </cell>
          <cell r="AP285">
            <v>4109655.1399542545</v>
          </cell>
          <cell r="AQ285">
            <v>4115929.8321298803</v>
          </cell>
          <cell r="AR285">
            <v>3800218.3907751157</v>
          </cell>
          <cell r="AS285">
            <v>3953849.6123330332</v>
          </cell>
        </row>
        <row r="286">
          <cell r="AN286">
            <v>3662298.8116327953</v>
          </cell>
          <cell r="AO286">
            <v>3672482.183625096</v>
          </cell>
          <cell r="AP286">
            <v>3848580.0725345118</v>
          </cell>
          <cell r="AQ286">
            <v>4028371.8211139892</v>
          </cell>
          <cell r="AR286">
            <v>3786521.1280836337</v>
          </cell>
          <cell r="AS286">
            <v>4104068.9999347143</v>
          </cell>
        </row>
        <row r="318">
          <cell r="AN318">
            <v>109164.79</v>
          </cell>
          <cell r="AO318">
            <v>243316.56</v>
          </cell>
          <cell r="AP318">
            <v>327418.28000000003</v>
          </cell>
          <cell r="AQ318">
            <v>327918.19</v>
          </cell>
          <cell r="AR318">
            <v>299567.40999999997</v>
          </cell>
          <cell r="AS318">
            <v>180910.36</v>
          </cell>
        </row>
        <row r="319">
          <cell r="AN319">
            <v>103656.8</v>
          </cell>
          <cell r="AO319">
            <v>141579.54999999999</v>
          </cell>
          <cell r="AP319">
            <v>146720.06</v>
          </cell>
          <cell r="AQ319">
            <v>154415</v>
          </cell>
          <cell r="AR319">
            <v>146271.74</v>
          </cell>
          <cell r="AS319">
            <v>112183.05</v>
          </cell>
        </row>
      </sheetData>
      <sheetData sheetId="2">
        <row r="363">
          <cell r="DD363">
            <v>-722286.32999999984</v>
          </cell>
        </row>
        <row r="364">
          <cell r="DD364">
            <v>62654.269999999968</v>
          </cell>
        </row>
        <row r="365">
          <cell r="DD365">
            <v>0</v>
          </cell>
        </row>
        <row r="366">
          <cell r="DD366">
            <v>122990.04999999997</v>
          </cell>
        </row>
        <row r="367">
          <cell r="DD367">
            <v>8441.0300000000061</v>
          </cell>
        </row>
      </sheetData>
      <sheetData sheetId="3">
        <row r="370">
          <cell r="DD370">
            <v>574414.55000000005</v>
          </cell>
        </row>
        <row r="371">
          <cell r="DD371">
            <v>289519.26</v>
          </cell>
        </row>
        <row r="372">
          <cell r="DD372">
            <v>0</v>
          </cell>
        </row>
        <row r="373">
          <cell r="DD373">
            <v>233118.96</v>
          </cell>
        </row>
        <row r="374">
          <cell r="DD374">
            <v>39682.919999999984</v>
          </cell>
        </row>
      </sheetData>
      <sheetData sheetId="4">
        <row r="48">
          <cell r="AN48">
            <v>2229.4899999999998</v>
          </cell>
        </row>
        <row r="49">
          <cell r="AN49">
            <v>9487.8299999999981</v>
          </cell>
        </row>
        <row r="50">
          <cell r="AN50">
            <v>0</v>
          </cell>
        </row>
        <row r="51">
          <cell r="AN51">
            <v>9593.3099999999977</v>
          </cell>
        </row>
        <row r="52">
          <cell r="AN52">
            <v>1337.2200000000003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gram Descriptions"/>
      <sheetName val="DSMore Results"/>
      <sheetName val="Summary Fin Tables for Report"/>
      <sheetName val="DSIM (Rider)"/>
      <sheetName val="Credit Metrics (Rider Scenario)"/>
      <sheetName val="Exec Summary"/>
      <sheetName val="Program Totals"/>
      <sheetName val="Monthly kWh-kW"/>
      <sheetName val="Monthly Program Costs"/>
      <sheetName val="Monthly TD Calc"/>
      <sheetName val="Net Benefits"/>
      <sheetName val="Impact on kWh Sales"/>
      <sheetName val="Rate Proposal Comparisons"/>
      <sheetName val="Customer Rate-Bill Impacts"/>
      <sheetName val="Cycle 3 DSIM Rate - Proposed"/>
      <sheetName val="Cycle 3 DSIM Rate - Annual"/>
      <sheetName val="Cycle 3 DSIM Rate - Status Quo"/>
      <sheetName val="Cycle 2 DSIM Rate - Cust Class"/>
      <sheetName val="Max Cycle 3 Rate - by Class"/>
      <sheetName val="Billed kWh Sales"/>
      <sheetName val="EO"/>
      <sheetName val="EO Cap"/>
      <sheetName val="NTG-RR"/>
      <sheetName val="EO Matrix @Meter (2)"/>
      <sheetName val="EO Matrix @Meter"/>
      <sheetName val="EO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91">
          <cell r="H291">
            <v>4251241.3500000006</v>
          </cell>
          <cell r="I291">
            <v>4885303.7299999995</v>
          </cell>
        </row>
        <row r="292">
          <cell r="H292">
            <v>643847.42999999993</v>
          </cell>
          <cell r="I292">
            <v>893322.92000000016</v>
          </cell>
        </row>
        <row r="294">
          <cell r="H294">
            <v>904685.10000000009</v>
          </cell>
          <cell r="I294">
            <v>1522334.75</v>
          </cell>
        </row>
        <row r="295">
          <cell r="H295">
            <v>679131.71</v>
          </cell>
          <cell r="I295">
            <v>1072318.49</v>
          </cell>
        </row>
      </sheetData>
      <sheetData sheetId="10">
        <row r="492">
          <cell r="E492">
            <v>1791899.7909021175</v>
          </cell>
          <cell r="F492">
            <v>1955268.3129473722</v>
          </cell>
          <cell r="G492">
            <v>2134435.916351153</v>
          </cell>
          <cell r="H492">
            <v>2286178.1430472182</v>
          </cell>
          <cell r="I492">
            <v>2504259.4438512684</v>
          </cell>
          <cell r="J492">
            <v>2691824.7313675364</v>
          </cell>
          <cell r="K492">
            <v>3364684.2148203077</v>
          </cell>
          <cell r="L492">
            <v>3509526.8507026359</v>
          </cell>
          <cell r="M492">
            <v>3114637.5047179782</v>
          </cell>
          <cell r="N492">
            <v>3325959.0800820496</v>
          </cell>
          <cell r="O492">
            <v>3428370.2406238839</v>
          </cell>
          <cell r="P492">
            <v>3887505.4220565245</v>
          </cell>
        </row>
        <row r="493">
          <cell r="E493">
            <v>10076.437963796512</v>
          </cell>
          <cell r="F493">
            <v>27551.246698317027</v>
          </cell>
          <cell r="G493">
            <v>68088.857533255155</v>
          </cell>
          <cell r="H493">
            <v>100943.93168917109</v>
          </cell>
          <cell r="I493">
            <v>126164.80499593602</v>
          </cell>
          <cell r="J493">
            <v>158600.12661397405</v>
          </cell>
          <cell r="K493">
            <v>209257.76603967947</v>
          </cell>
          <cell r="L493">
            <v>235542.31442207764</v>
          </cell>
          <cell r="M493">
            <v>249967.10255938364</v>
          </cell>
          <cell r="N493">
            <v>306613.81890790543</v>
          </cell>
          <cell r="O493">
            <v>319340.56766883103</v>
          </cell>
          <cell r="P493">
            <v>379993.88913657528</v>
          </cell>
        </row>
        <row r="495">
          <cell r="E495">
            <v>15231.375844726281</v>
          </cell>
          <cell r="F495">
            <v>41646.005757249863</v>
          </cell>
          <cell r="G495">
            <v>102921.98330929704</v>
          </cell>
          <cell r="H495">
            <v>152585.16633816989</v>
          </cell>
          <cell r="I495">
            <v>190708.61847946851</v>
          </cell>
          <cell r="J495">
            <v>239737.31056132543</v>
          </cell>
          <cell r="K495">
            <v>303922.82696112682</v>
          </cell>
          <cell r="L495">
            <v>343534.99986773665</v>
          </cell>
          <cell r="M495">
            <v>377846.11006176588</v>
          </cell>
          <cell r="N495">
            <v>463472.3432777003</v>
          </cell>
          <cell r="O495">
            <v>482709.88479341537</v>
          </cell>
          <cell r="P495">
            <v>689683.16501278384</v>
          </cell>
        </row>
        <row r="496">
          <cell r="E496">
            <v>11717.094345528114</v>
          </cell>
          <cell r="F496">
            <v>32037.170085397029</v>
          </cell>
          <cell r="G496">
            <v>79175.157973759196</v>
          </cell>
          <cell r="H496">
            <v>117379.73036306267</v>
          </cell>
          <cell r="I496">
            <v>146707.0931745769</v>
          </cell>
          <cell r="J496">
            <v>184423.56846987145</v>
          </cell>
          <cell r="K496">
            <v>233799.78759411501</v>
          </cell>
          <cell r="L496">
            <v>264272.38389202749</v>
          </cell>
          <cell r="M496">
            <v>290667.0129354996</v>
          </cell>
          <cell r="N496">
            <v>356537.00808703259</v>
          </cell>
          <cell r="O496">
            <v>371335.93966179853</v>
          </cell>
          <cell r="P496">
            <v>491275.21226146031</v>
          </cell>
        </row>
        <row r="608">
          <cell r="G608">
            <v>761713.24</v>
          </cell>
          <cell r="H608">
            <v>1390545.03</v>
          </cell>
        </row>
        <row r="609">
          <cell r="G609">
            <v>25079.65</v>
          </cell>
          <cell r="H609">
            <v>89970.319999999992</v>
          </cell>
        </row>
        <row r="611">
          <cell r="G611">
            <v>22589.94</v>
          </cell>
          <cell r="H611">
            <v>80644.19</v>
          </cell>
        </row>
        <row r="612">
          <cell r="G612">
            <v>6903.4</v>
          </cell>
          <cell r="H612">
            <v>24499.969999999998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ouri West Revenue Adjmt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  <sheetName val="DSIM RP7"/>
      <sheetName val="DSIM RP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F8">
            <v>78.77</v>
          </cell>
        </row>
        <row r="9">
          <cell r="F9">
            <v>33.159999999999997</v>
          </cell>
        </row>
        <row r="13">
          <cell r="F13">
            <v>7709.53</v>
          </cell>
        </row>
        <row r="14">
          <cell r="F14">
            <v>-12120.33</v>
          </cell>
        </row>
        <row r="18">
          <cell r="F18">
            <v>1944.82</v>
          </cell>
        </row>
        <row r="19">
          <cell r="F19">
            <v>-1859.05</v>
          </cell>
        </row>
        <row r="23">
          <cell r="F23">
            <v>29032.6</v>
          </cell>
        </row>
        <row r="24">
          <cell r="F24">
            <v>59960.56</v>
          </cell>
        </row>
        <row r="28">
          <cell r="F28">
            <v>199369.28</v>
          </cell>
        </row>
        <row r="29">
          <cell r="F29">
            <v>502819.51999999996</v>
          </cell>
        </row>
        <row r="33">
          <cell r="F33">
            <v>-201211.47</v>
          </cell>
        </row>
        <row r="34">
          <cell r="F34">
            <v>58628.009999999995</v>
          </cell>
        </row>
        <row r="38">
          <cell r="F38">
            <v>19.780000000000005</v>
          </cell>
        </row>
        <row r="39">
          <cell r="F39">
            <v>105829.48</v>
          </cell>
        </row>
        <row r="49">
          <cell r="F49">
            <v>193515857.24129999</v>
          </cell>
        </row>
        <row r="50">
          <cell r="F50">
            <v>271075647.55299997</v>
          </cell>
        </row>
        <row r="55">
          <cell r="F55">
            <v>193515857.24129999</v>
          </cell>
        </row>
        <row r="56">
          <cell r="F56">
            <v>271075647.55299997</v>
          </cell>
        </row>
      </sheetData>
      <sheetData sheetId="6">
        <row r="8">
          <cell r="F8">
            <v>0</v>
          </cell>
        </row>
        <row r="9">
          <cell r="F9">
            <v>0</v>
          </cell>
        </row>
        <row r="13">
          <cell r="F13">
            <v>10378.19</v>
          </cell>
        </row>
        <row r="14">
          <cell r="F14">
            <v>-21022.280000000002</v>
          </cell>
        </row>
        <row r="18">
          <cell r="F18">
            <v>2594.52</v>
          </cell>
        </row>
        <row r="19">
          <cell r="F19">
            <v>-2623.41</v>
          </cell>
        </row>
        <row r="23">
          <cell r="F23">
            <v>38925.21</v>
          </cell>
        </row>
        <row r="24">
          <cell r="F24">
            <v>57667.45</v>
          </cell>
        </row>
        <row r="28">
          <cell r="F28">
            <v>267323.98</v>
          </cell>
        </row>
        <row r="29">
          <cell r="F29">
            <v>487956.47999999998</v>
          </cell>
        </row>
        <row r="33">
          <cell r="F33">
            <v>-269854.08999999997</v>
          </cell>
        </row>
        <row r="34">
          <cell r="F34">
            <v>52028.4</v>
          </cell>
        </row>
        <row r="38">
          <cell r="F38">
            <v>40.68</v>
          </cell>
        </row>
        <row r="39">
          <cell r="F39">
            <v>102437.12000000001</v>
          </cell>
        </row>
        <row r="49">
          <cell r="F49">
            <v>259451677.39160001</v>
          </cell>
        </row>
        <row r="50">
          <cell r="F50">
            <v>263023654.21219999</v>
          </cell>
        </row>
        <row r="55">
          <cell r="F55">
            <v>259451677.39160001</v>
          </cell>
        </row>
        <row r="56">
          <cell r="F56">
            <v>263023654.21219999</v>
          </cell>
        </row>
      </sheetData>
      <sheetData sheetId="7">
        <row r="8">
          <cell r="F8">
            <v>0</v>
          </cell>
        </row>
        <row r="9">
          <cell r="F9">
            <v>0</v>
          </cell>
        </row>
        <row r="13">
          <cell r="F13">
            <v>14544.34</v>
          </cell>
        </row>
        <row r="14">
          <cell r="F14">
            <v>-26927.919999999998</v>
          </cell>
        </row>
        <row r="18">
          <cell r="F18">
            <v>3635.81</v>
          </cell>
        </row>
        <row r="19">
          <cell r="F19">
            <v>-3366.05</v>
          </cell>
        </row>
        <row r="23">
          <cell r="F23">
            <v>54570.79</v>
          </cell>
        </row>
        <row r="24">
          <cell r="F24">
            <v>74206.52</v>
          </cell>
        </row>
        <row r="28">
          <cell r="F28">
            <v>374745.31999999995</v>
          </cell>
        </row>
        <row r="29">
          <cell r="F29">
            <v>627604.79</v>
          </cell>
        </row>
        <row r="33">
          <cell r="F33">
            <v>-378300.44</v>
          </cell>
        </row>
        <row r="34">
          <cell r="F34">
            <v>67230.080000000002</v>
          </cell>
        </row>
        <row r="38">
          <cell r="F38">
            <v>30.630000000000003</v>
          </cell>
        </row>
        <row r="39">
          <cell r="F39">
            <v>131709.12000000002</v>
          </cell>
        </row>
        <row r="49">
          <cell r="F49">
            <v>363761391.66229981</v>
          </cell>
        </row>
        <row r="50">
          <cell r="F50">
            <v>337656416.9716</v>
          </cell>
        </row>
        <row r="55">
          <cell r="F55">
            <v>363761391.66229981</v>
          </cell>
        </row>
        <row r="56">
          <cell r="F56">
            <v>337656416.9716</v>
          </cell>
        </row>
      </sheetData>
      <sheetData sheetId="8">
        <row r="8">
          <cell r="F8">
            <v>0</v>
          </cell>
        </row>
        <row r="9">
          <cell r="F9">
            <v>0</v>
          </cell>
        </row>
        <row r="13">
          <cell r="F13">
            <v>-10647.84</v>
          </cell>
        </row>
        <row r="14">
          <cell r="F14">
            <v>-2408.41</v>
          </cell>
        </row>
        <row r="18">
          <cell r="F18">
            <v>1758.7</v>
          </cell>
        </row>
        <row r="19">
          <cell r="F19">
            <v>12509.66</v>
          </cell>
        </row>
        <row r="23">
          <cell r="F23">
            <v>-3715.22</v>
          </cell>
        </row>
        <row r="24">
          <cell r="F24">
            <v>3722.1699999999996</v>
          </cell>
        </row>
        <row r="28">
          <cell r="F28">
            <v>892695.42999999993</v>
          </cell>
        </row>
        <row r="29">
          <cell r="F29">
            <v>1029095.51</v>
          </cell>
        </row>
        <row r="33">
          <cell r="F33">
            <v>316356.07</v>
          </cell>
        </row>
        <row r="34">
          <cell r="F34">
            <v>225967.71000000002</v>
          </cell>
        </row>
        <row r="38">
          <cell r="F38">
            <v>-4342.5</v>
          </cell>
        </row>
        <row r="39">
          <cell r="F39">
            <v>-4342.51</v>
          </cell>
        </row>
        <row r="43">
          <cell r="F43">
            <v>195497.72999999998</v>
          </cell>
        </row>
        <row r="44">
          <cell r="F44">
            <v>149581.99000000002</v>
          </cell>
        </row>
        <row r="54">
          <cell r="F54">
            <v>371866716.61979985</v>
          </cell>
        </row>
        <row r="55">
          <cell r="F55">
            <v>324847431.9508</v>
          </cell>
        </row>
        <row r="60">
          <cell r="F60">
            <v>371866716.61979985</v>
          </cell>
        </row>
        <row r="61">
          <cell r="F61">
            <v>324847431.9508</v>
          </cell>
        </row>
      </sheetData>
      <sheetData sheetId="9">
        <row r="8">
          <cell r="F8">
            <v>0</v>
          </cell>
        </row>
        <row r="9">
          <cell r="F9">
            <v>0</v>
          </cell>
        </row>
        <row r="13">
          <cell r="F13">
            <v>0</v>
          </cell>
        </row>
        <row r="14">
          <cell r="F14">
            <v>0</v>
          </cell>
        </row>
        <row r="18">
          <cell r="F18">
            <v>0</v>
          </cell>
        </row>
        <row r="19">
          <cell r="F19">
            <v>0</v>
          </cell>
        </row>
        <row r="23">
          <cell r="F23">
            <v>-3294.06</v>
          </cell>
        </row>
        <row r="24">
          <cell r="F24">
            <v>3067.62</v>
          </cell>
        </row>
        <row r="28">
          <cell r="F28">
            <v>790090.51</v>
          </cell>
        </row>
        <row r="29">
          <cell r="F29">
            <v>953678.27999999991</v>
          </cell>
        </row>
        <row r="33">
          <cell r="F33">
            <v>266688.07</v>
          </cell>
        </row>
        <row r="34">
          <cell r="F34">
            <v>203776.42</v>
          </cell>
        </row>
        <row r="38">
          <cell r="F38">
            <v>174501.11</v>
          </cell>
        </row>
        <row r="39">
          <cell r="F39">
            <v>149955.21</v>
          </cell>
        </row>
        <row r="49">
          <cell r="F49">
            <v>329178131.7610001</v>
          </cell>
        </row>
        <row r="50">
          <cell r="F50">
            <v>300248518.44930005</v>
          </cell>
        </row>
        <row r="55">
          <cell r="F55">
            <v>329178131.7610001</v>
          </cell>
        </row>
        <row r="56">
          <cell r="F56">
            <v>300248518.44930005</v>
          </cell>
        </row>
      </sheetData>
      <sheetData sheetId="10">
        <row r="8">
          <cell r="F8">
            <v>0</v>
          </cell>
        </row>
        <row r="9">
          <cell r="F9">
            <v>0</v>
          </cell>
        </row>
        <row r="13">
          <cell r="F13">
            <v>0</v>
          </cell>
        </row>
        <row r="14">
          <cell r="F14">
            <v>0</v>
          </cell>
        </row>
        <row r="18">
          <cell r="F18">
            <v>0</v>
          </cell>
        </row>
        <row r="19">
          <cell r="F19">
            <v>0</v>
          </cell>
        </row>
        <row r="23">
          <cell r="F23">
            <v>-2611.15</v>
          </cell>
        </row>
        <row r="24">
          <cell r="F24">
            <v>2026.7599999999998</v>
          </cell>
        </row>
        <row r="28">
          <cell r="F28">
            <v>622662.32999999996</v>
          </cell>
        </row>
        <row r="29">
          <cell r="F29">
            <v>954899.98</v>
          </cell>
        </row>
        <row r="33">
          <cell r="F33">
            <v>210144.63999999998</v>
          </cell>
        </row>
        <row r="34">
          <cell r="F34">
            <v>217021.59999999998</v>
          </cell>
        </row>
        <row r="38">
          <cell r="F38">
            <v>137464.4</v>
          </cell>
        </row>
        <row r="39">
          <cell r="F39">
            <v>148653.29</v>
          </cell>
        </row>
        <row r="49">
          <cell r="F49">
            <v>259475549.86699998</v>
          </cell>
        </row>
        <row r="50">
          <cell r="F50">
            <v>290047321.81709999</v>
          </cell>
        </row>
        <row r="55">
          <cell r="F55">
            <v>259475549.86699998</v>
          </cell>
        </row>
        <row r="56">
          <cell r="F56">
            <v>290047321.81709999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9"/>
      <sheetName val="June 2019"/>
      <sheetName val="July 2019"/>
      <sheetName val="Aug 2019"/>
      <sheetName val="Sept 2019"/>
      <sheetName val="Oct 2019"/>
    </sheetNames>
    <sheetDataSet>
      <sheetData sheetId="0">
        <row r="43">
          <cell r="F43">
            <v>3.0790499999999998E-3</v>
          </cell>
        </row>
      </sheetData>
      <sheetData sheetId="1">
        <row r="43">
          <cell r="F43">
            <v>3.0450199999999998E-3</v>
          </cell>
        </row>
      </sheetData>
      <sheetData sheetId="2">
        <row r="43">
          <cell r="F43">
            <v>2.9619300000000002E-3</v>
          </cell>
        </row>
      </sheetData>
      <sheetData sheetId="3">
        <row r="43">
          <cell r="F43">
            <v>2.8524499999999999E-3</v>
          </cell>
        </row>
      </sheetData>
      <sheetData sheetId="4">
        <row r="43">
          <cell r="F43">
            <v>2.7438599999999999E-3</v>
          </cell>
        </row>
      </sheetData>
      <sheetData sheetId="5">
        <row r="43">
          <cell r="F43">
            <v>2.60867E-3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9-102019"/>
    </sheetNames>
    <sheetDataSet>
      <sheetData sheetId="0">
        <row r="26">
          <cell r="C26">
            <v>330245.64</v>
          </cell>
          <cell r="D26">
            <v>528099.57000000007</v>
          </cell>
          <cell r="E26">
            <v>844538.47999999975</v>
          </cell>
          <cell r="F26">
            <v>455560.31999999983</v>
          </cell>
          <cell r="G26">
            <v>720487.26</v>
          </cell>
          <cell r="H26">
            <v>776217.95</v>
          </cell>
        </row>
        <row r="27">
          <cell r="C27">
            <v>761758.71999999986</v>
          </cell>
          <cell r="D27">
            <v>593552.93999999994</v>
          </cell>
          <cell r="E27">
            <v>614175.15000000014</v>
          </cell>
          <cell r="F27">
            <v>701760.42000000016</v>
          </cell>
          <cell r="G27">
            <v>646042.39999999991</v>
          </cell>
          <cell r="H27">
            <v>556731.78</v>
          </cell>
        </row>
        <row r="28">
          <cell r="C28">
            <v>94271.53</v>
          </cell>
          <cell r="D28">
            <v>69783.35000000002</v>
          </cell>
          <cell r="E28">
            <v>46074.080000000009</v>
          </cell>
          <cell r="F28">
            <v>58929.809999999954</v>
          </cell>
          <cell r="G28">
            <v>115134.19</v>
          </cell>
          <cell r="H28">
            <v>83114.020000000033</v>
          </cell>
        </row>
        <row r="29">
          <cell r="C29">
            <v>56575.74</v>
          </cell>
          <cell r="D29">
            <v>34511.849999999991</v>
          </cell>
          <cell r="E29">
            <v>92934.629999999976</v>
          </cell>
          <cell r="F29">
            <v>14865.329999999998</v>
          </cell>
          <cell r="G29">
            <v>39381.14</v>
          </cell>
          <cell r="H29">
            <v>56098.67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 West AFUDC Rate Jan Oct 2019"/>
    </sheetNames>
    <sheetDataSet>
      <sheetData sheetId="0">
        <row r="31">
          <cell r="I31">
            <v>3.0419833333333334E-3</v>
          </cell>
        </row>
        <row r="32">
          <cell r="I32">
            <v>3.0419833333333334E-3</v>
          </cell>
        </row>
        <row r="33">
          <cell r="I33">
            <v>3.0419833333333334E-3</v>
          </cell>
        </row>
        <row r="34">
          <cell r="I34">
            <v>3.0419833333333334E-3</v>
          </cell>
        </row>
        <row r="35">
          <cell r="I35">
            <v>3.0419833333333334E-3</v>
          </cell>
        </row>
        <row r="36">
          <cell r="I36">
            <v>3.0419833333333334E-3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Matrix @Meter"/>
      <sheetName val="PY1-PY3 Final EM&amp;V"/>
    </sheetNames>
    <sheetDataSet>
      <sheetData sheetId="0">
        <row r="18">
          <cell r="S18">
            <v>5181939.6500000004</v>
          </cell>
          <cell r="T18">
            <v>5060008.6900000004</v>
          </cell>
          <cell r="W18">
            <v>1943830.0499999998</v>
          </cell>
          <cell r="Y18">
            <v>2196160.9099999997</v>
          </cell>
          <cell r="Z18">
            <v>920017.71000000008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0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26" customWidth="1"/>
    <col min="3" max="3" width="16.5703125" customWidth="1"/>
    <col min="4" max="4" width="15.5703125" customWidth="1"/>
    <col min="5" max="5" width="14.85546875" bestFit="1" customWidth="1"/>
    <col min="6" max="6" width="17.28515625" bestFit="1" customWidth="1"/>
    <col min="7" max="7" width="17.85546875" customWidth="1"/>
    <col min="8" max="8" width="13.42578125" customWidth="1"/>
    <col min="9" max="9" width="3.5703125" customWidth="1"/>
    <col min="10" max="12" width="14.85546875" bestFit="1" customWidth="1"/>
    <col min="13" max="13" width="11.28515625" bestFit="1" customWidth="1"/>
    <col min="15" max="17" width="16" bestFit="1" customWidth="1"/>
    <col min="19" max="22" width="16" bestFit="1" customWidth="1"/>
    <col min="24" max="27" width="16" bestFit="1" customWidth="1"/>
  </cols>
  <sheetData>
    <row r="1" spans="1:27" x14ac:dyDescent="0.25">
      <c r="A1" s="3" t="str">
        <f>+'PPC Cycle 2'!A1</f>
        <v>Evergy Missouri West, Inc. - DSIM Rider Update MEEIA 3 Filed 1-10-2020</v>
      </c>
      <c r="M1" s="61"/>
      <c r="N1" s="61"/>
    </row>
    <row r="2" spans="1:27" ht="15.75" thickBot="1" x14ac:dyDescent="0.3">
      <c r="H2" s="61"/>
      <c r="I2" s="61"/>
      <c r="J2" s="63"/>
      <c r="K2" s="63"/>
      <c r="M2" s="61"/>
      <c r="N2" s="61"/>
    </row>
    <row r="3" spans="1:27" ht="27.75" thickBot="1" x14ac:dyDescent="0.3">
      <c r="B3" s="112" t="s">
        <v>8</v>
      </c>
      <c r="C3" s="159" t="s">
        <v>22</v>
      </c>
      <c r="D3" s="159" t="s">
        <v>23</v>
      </c>
      <c r="E3" s="159" t="s">
        <v>75</v>
      </c>
      <c r="F3" s="159" t="s">
        <v>24</v>
      </c>
      <c r="G3" s="159" t="s">
        <v>47</v>
      </c>
      <c r="H3" s="113" t="s">
        <v>33</v>
      </c>
      <c r="I3" s="52"/>
      <c r="J3" s="114" t="s">
        <v>15</v>
      </c>
      <c r="K3" s="115" t="s">
        <v>74</v>
      </c>
      <c r="L3" s="115" t="s">
        <v>99</v>
      </c>
      <c r="M3" s="115" t="s">
        <v>116</v>
      </c>
      <c r="N3" s="61"/>
    </row>
    <row r="4" spans="1:27" ht="15.75" thickBot="1" x14ac:dyDescent="0.3">
      <c r="B4" s="116" t="s">
        <v>29</v>
      </c>
      <c r="C4" s="157">
        <f t="shared" ref="C4:F5" si="0">C12+C20</f>
        <v>10139988.102319999</v>
      </c>
      <c r="D4" s="158">
        <f t="shared" si="0"/>
        <v>5148462.8111199997</v>
      </c>
      <c r="E4" s="158">
        <f t="shared" si="0"/>
        <v>2523307.1146200001</v>
      </c>
      <c r="F4" s="155">
        <f t="shared" si="0"/>
        <v>0</v>
      </c>
      <c r="G4" s="162">
        <f>'PPC Cycle 2'!B5</f>
        <v>3537420130</v>
      </c>
      <c r="H4" s="163">
        <f>ROUND(SUM(C4:F4)/G4,5)</f>
        <v>5.0400000000000002E-3</v>
      </c>
      <c r="I4" s="164"/>
      <c r="J4" s="224">
        <f>ROUND((C12+C20)/G4,5)</f>
        <v>2.8700000000000002E-3</v>
      </c>
      <c r="K4" s="165">
        <f>ROUND((D12+D20)/G4,5)</f>
        <v>1.4599999999999999E-3</v>
      </c>
      <c r="L4" s="165">
        <f>ROUND((E12+E20)/G4,5)</f>
        <v>7.1000000000000002E-4</v>
      </c>
      <c r="M4" s="165">
        <f>ROUND((F12+F20)/G4,5)</f>
        <v>0</v>
      </c>
      <c r="N4" s="61"/>
    </row>
    <row r="5" spans="1:27" ht="15.75" thickBot="1" x14ac:dyDescent="0.3">
      <c r="B5" s="116" t="s">
        <v>137</v>
      </c>
      <c r="C5" s="157">
        <f t="shared" si="0"/>
        <v>2055425.9000000001</v>
      </c>
      <c r="D5" s="158">
        <f t="shared" si="0"/>
        <v>1118476.73</v>
      </c>
      <c r="E5" s="158">
        <f t="shared" si="0"/>
        <v>1159205.8499999999</v>
      </c>
      <c r="F5" s="155">
        <f t="shared" si="0"/>
        <v>0</v>
      </c>
      <c r="G5" s="162">
        <f>+'PPC Cycle 2'!B10</f>
        <v>965655896</v>
      </c>
      <c r="H5" s="163">
        <f>ROUND(SUM(C5:F5)/G5,5)</f>
        <v>4.4900000000000001E-3</v>
      </c>
      <c r="I5" s="164"/>
      <c r="J5" s="225">
        <f>ROUND((C13+C21)/G5,5)</f>
        <v>2.1299999999999999E-3</v>
      </c>
      <c r="K5" s="225">
        <f>ROUND((D13+D21)/G5,5)</f>
        <v>1.16E-3</v>
      </c>
      <c r="L5" s="163">
        <f>ROUND((E13+E21)/G5,5)</f>
        <v>1.1999999999999999E-3</v>
      </c>
      <c r="M5" s="165">
        <f>ROUND((F13+F21)/G5,5)</f>
        <v>0</v>
      </c>
      <c r="N5" s="61"/>
    </row>
    <row r="6" spans="1:27" s="61" customFormat="1" ht="15.75" thickBot="1" x14ac:dyDescent="0.3">
      <c r="B6" s="116" t="s">
        <v>138</v>
      </c>
      <c r="C6" s="157">
        <f t="shared" ref="C6:F6" si="1">C14+C22</f>
        <v>3022226.5</v>
      </c>
      <c r="D6" s="158">
        <f t="shared" si="1"/>
        <v>982693.65999999992</v>
      </c>
      <c r="E6" s="158">
        <f t="shared" si="1"/>
        <v>1288350.9700000002</v>
      </c>
      <c r="F6" s="155">
        <f t="shared" si="1"/>
        <v>0</v>
      </c>
      <c r="G6" s="162">
        <f>+'PPC Cycle 2'!B11</f>
        <v>1459669374</v>
      </c>
      <c r="H6" s="163">
        <f t="shared" ref="H6:H7" si="2">ROUND(SUM(C6:F6)/G6,5)</f>
        <v>3.63E-3</v>
      </c>
      <c r="I6" s="164"/>
      <c r="J6" s="225">
        <f>ROUND((C14+C22)/G6,5)</f>
        <v>2.0699999999999998E-3</v>
      </c>
      <c r="K6" s="275">
        <f>ROUND((D14+D22)/G6,5)+0.00001</f>
        <v>6.8000000000000005E-4</v>
      </c>
      <c r="L6" s="163">
        <f>ROUND((E14+E22)/G6,5)</f>
        <v>8.8000000000000003E-4</v>
      </c>
      <c r="M6" s="165">
        <f t="shared" ref="M6:M7" si="3">ROUND((F14+F22)/G6,5)</f>
        <v>0</v>
      </c>
    </row>
    <row r="7" spans="1:27" s="61" customFormat="1" ht="15.75" thickBot="1" x14ac:dyDescent="0.3">
      <c r="B7" s="116" t="s">
        <v>139</v>
      </c>
      <c r="C7" s="157">
        <f t="shared" ref="C7:F7" si="4">C15+C23</f>
        <v>1952567.5699999998</v>
      </c>
      <c r="D7" s="158">
        <f t="shared" si="4"/>
        <v>251192.65000000002</v>
      </c>
      <c r="E7" s="158">
        <f t="shared" si="4"/>
        <v>487246.4</v>
      </c>
      <c r="F7" s="155">
        <f t="shared" si="4"/>
        <v>0</v>
      </c>
      <c r="G7" s="162">
        <f>+'PPC Cycle 2'!B12</f>
        <v>1122885020</v>
      </c>
      <c r="H7" s="163">
        <f t="shared" si="2"/>
        <v>2.3999999999999998E-3</v>
      </c>
      <c r="I7" s="164"/>
      <c r="J7" s="225">
        <f>ROUND((C15+C23)/G7,5)</f>
        <v>1.74E-3</v>
      </c>
      <c r="K7" s="225">
        <f>ROUND((D15+D23)/G7,5)</f>
        <v>2.2000000000000001E-4</v>
      </c>
      <c r="L7" s="276">
        <f>ROUND((E15+E23)/G7,5)+0.00001</f>
        <v>4.4000000000000002E-4</v>
      </c>
      <c r="M7" s="165">
        <f t="shared" si="3"/>
        <v>0</v>
      </c>
    </row>
    <row r="8" spans="1:27" x14ac:dyDescent="0.25">
      <c r="C8" s="154"/>
      <c r="D8" s="154"/>
      <c r="E8" s="154"/>
      <c r="F8" s="154"/>
      <c r="G8" s="153"/>
      <c r="M8" s="61"/>
      <c r="N8" s="61"/>
    </row>
    <row r="9" spans="1:27" x14ac:dyDescent="0.25">
      <c r="C9" s="154"/>
      <c r="D9" s="154"/>
      <c r="E9" s="154"/>
      <c r="F9" s="154"/>
      <c r="G9" s="153"/>
      <c r="M9" s="61"/>
      <c r="N9" s="61"/>
      <c r="O9" s="3" t="s">
        <v>197</v>
      </c>
      <c r="P9" s="3"/>
      <c r="Q9" s="3"/>
      <c r="R9" s="3"/>
      <c r="S9" s="3"/>
      <c r="T9" s="3"/>
      <c r="U9" s="3"/>
      <c r="V9" s="3"/>
      <c r="W9" s="3"/>
      <c r="X9" s="3"/>
    </row>
    <row r="10" spans="1:27" ht="15.75" thickBot="1" x14ac:dyDescent="0.3">
      <c r="C10" s="154"/>
      <c r="D10" s="154"/>
      <c r="E10" s="154"/>
      <c r="F10" s="154"/>
      <c r="G10" s="153"/>
      <c r="M10" s="61"/>
      <c r="N10" s="61"/>
      <c r="O10" s="3" t="s">
        <v>198</v>
      </c>
      <c r="P10" s="3"/>
      <c r="Q10" s="3"/>
      <c r="R10" s="3"/>
      <c r="S10" s="3" t="s">
        <v>199</v>
      </c>
      <c r="T10" s="3"/>
      <c r="U10" s="3"/>
      <c r="V10" s="3"/>
      <c r="W10" s="3"/>
      <c r="X10" s="3" t="s">
        <v>200</v>
      </c>
    </row>
    <row r="11" spans="1:27" ht="15.75" thickBot="1" x14ac:dyDescent="0.3">
      <c r="B11" s="112" t="s">
        <v>8</v>
      </c>
      <c r="C11" s="160" t="s">
        <v>7</v>
      </c>
      <c r="D11" s="160" t="s">
        <v>19</v>
      </c>
      <c r="E11" s="161" t="s">
        <v>76</v>
      </c>
      <c r="F11" s="161" t="s">
        <v>20</v>
      </c>
      <c r="G11" s="153"/>
      <c r="M11" s="61"/>
      <c r="N11" s="61"/>
      <c r="O11" s="285" t="s">
        <v>175</v>
      </c>
      <c r="P11" s="160" t="s">
        <v>176</v>
      </c>
      <c r="Q11" s="160" t="s">
        <v>177</v>
      </c>
      <c r="R11" s="61"/>
      <c r="S11" s="285" t="s">
        <v>178</v>
      </c>
      <c r="T11" s="160" t="s">
        <v>179</v>
      </c>
      <c r="U11" s="160" t="s">
        <v>180</v>
      </c>
      <c r="V11" s="160" t="s">
        <v>181</v>
      </c>
      <c r="W11" s="61"/>
      <c r="X11" s="285" t="s">
        <v>182</v>
      </c>
      <c r="Y11" s="160" t="s">
        <v>183</v>
      </c>
      <c r="Z11" s="160" t="s">
        <v>184</v>
      </c>
      <c r="AA11" s="160" t="s">
        <v>185</v>
      </c>
    </row>
    <row r="12" spans="1:27" ht="15.75" thickBot="1" x14ac:dyDescent="0.3">
      <c r="B12" s="116" t="s">
        <v>29</v>
      </c>
      <c r="C12" s="158">
        <f>'PPC Cycle 2'!C5+'PPC Cycle 3'!B5</f>
        <v>9331593.4399999995</v>
      </c>
      <c r="D12" s="158">
        <f>'PTD Cycle 2'!C6+'PTD Cycle 3'!C6</f>
        <v>4471427.67</v>
      </c>
      <c r="E12" s="155">
        <f>+'EO Cycle 2'!G8</f>
        <v>2518148.6800000002</v>
      </c>
      <c r="F12" s="156">
        <f>+'OA Cycle 2'!D8</f>
        <v>0</v>
      </c>
      <c r="G12" s="153"/>
      <c r="M12" s="61"/>
      <c r="N12" s="61"/>
      <c r="O12" s="286">
        <v>0</v>
      </c>
      <c r="P12" s="277">
        <v>0</v>
      </c>
      <c r="Q12" s="278">
        <v>0</v>
      </c>
      <c r="R12" s="279"/>
      <c r="S12" s="289">
        <f>ROUND('PPC Cycle 2'!C5/'tariff tables'!G4,5)</f>
        <v>6.0000000000000002E-5</v>
      </c>
      <c r="T12" s="280">
        <f>ROUND('PTD Cycle 2'!C6/'tariff tables'!G4,5)</f>
        <v>6.6E-4</v>
      </c>
      <c r="U12" s="280">
        <f>ROUND('EO Cycle 2'!G8/'tariff tables'!G4,5)+0</f>
        <v>7.1000000000000002E-4</v>
      </c>
      <c r="V12" s="280">
        <f>ROUND('OA Cycle 2'!D8/'tariff tables'!G4,5)</f>
        <v>0</v>
      </c>
      <c r="W12" s="61"/>
      <c r="X12" s="289">
        <f>ROUND('PPC Cycle 3'!B5/'tariff tables'!G4,5)</f>
        <v>2.5799999999999998E-3</v>
      </c>
      <c r="Y12" s="280">
        <f>ROUND('PTD Cycle 3'!C6/'tariff tables'!G4,5)</f>
        <v>6.0999999999999997E-4</v>
      </c>
      <c r="Z12" s="280">
        <f>ROUND(0/G4,5)+0</f>
        <v>0</v>
      </c>
      <c r="AA12" s="280">
        <f>ROUND(0/G4,5)</f>
        <v>0</v>
      </c>
    </row>
    <row r="13" spans="1:27" ht="15.75" thickBot="1" x14ac:dyDescent="0.3">
      <c r="B13" s="116" t="s">
        <v>137</v>
      </c>
      <c r="C13" s="158">
        <f>'PPC Cycle 2'!C10+'PPC Cycle 3'!B6</f>
        <v>1622461.06</v>
      </c>
      <c r="D13" s="158">
        <f>'PTD Cycle 2'!C10+'PTD Cycle 3'!C7</f>
        <v>1072087.3500000001</v>
      </c>
      <c r="E13" s="155">
        <f>+'EO Cycle 2'!G12</f>
        <v>1152745.71</v>
      </c>
      <c r="F13" s="156">
        <f>+'OA Cycle 2'!D13</f>
        <v>0</v>
      </c>
      <c r="G13" s="153"/>
      <c r="M13" s="61"/>
      <c r="N13" s="61"/>
      <c r="O13" s="286">
        <v>0</v>
      </c>
      <c r="P13" s="277">
        <v>0</v>
      </c>
      <c r="Q13" s="278">
        <v>0</v>
      </c>
      <c r="R13" s="279"/>
      <c r="S13" s="289">
        <f>ROUND('PPC Cycle 2'!C10/'tariff tables'!G5,5)</f>
        <v>9.0000000000000006E-5</v>
      </c>
      <c r="T13" s="280">
        <f>ROUND('PTD Cycle 2'!C10/'tariff tables'!G5,5)</f>
        <v>9.8999999999999999E-4</v>
      </c>
      <c r="U13" s="281">
        <f>ROUND('EO Cycle 2'!G12/'tariff tables'!G5,5)+0.00001</f>
        <v>1.2000000000000001E-3</v>
      </c>
      <c r="V13" s="280">
        <f>ROUND('OA Cycle 2'!D13/'tariff tables'!G5,5)</f>
        <v>0</v>
      </c>
      <c r="W13" s="61"/>
      <c r="X13" s="289">
        <f>ROUND('PPC Cycle 3'!B6/'tariff tables'!G5,5)</f>
        <v>1.5900000000000001E-3</v>
      </c>
      <c r="Y13" s="280">
        <f>ROUND('PTD Cycle 3'!C7/'tariff tables'!G5,5)</f>
        <v>1.2E-4</v>
      </c>
      <c r="Z13" s="280">
        <f t="shared" ref="Z13:Z15" si="5">ROUND(0/G5,5)+0</f>
        <v>0</v>
      </c>
      <c r="AA13" s="280">
        <f t="shared" ref="AA13:AA15" si="6">ROUND(0/G5,5)</f>
        <v>0</v>
      </c>
    </row>
    <row r="14" spans="1:27" s="61" customFormat="1" ht="15.75" thickBot="1" x14ac:dyDescent="0.3">
      <c r="B14" s="116" t="s">
        <v>138</v>
      </c>
      <c r="C14" s="158">
        <f>'PPC Cycle 2'!C11+'PPC Cycle 3'!B7</f>
        <v>2524974.61</v>
      </c>
      <c r="D14" s="158">
        <f>'PTD Cycle 2'!C11+'PTD Cycle 3'!C8</f>
        <v>929416.34</v>
      </c>
      <c r="E14" s="155">
        <f>+'EO Cycle 2'!G13</f>
        <v>1280931.6200000001</v>
      </c>
      <c r="F14" s="156">
        <f>+'OA Cycle 2'!D14</f>
        <v>0</v>
      </c>
      <c r="G14" s="153"/>
      <c r="O14" s="286">
        <v>0</v>
      </c>
      <c r="P14" s="277">
        <v>0</v>
      </c>
      <c r="Q14" s="278">
        <v>0</v>
      </c>
      <c r="R14" s="279"/>
      <c r="S14" s="289">
        <f>ROUND('PPC Cycle 2'!C11/'tariff tables'!G6,5)</f>
        <v>6.9999999999999994E-5</v>
      </c>
      <c r="T14" s="280">
        <f>ROUND('PTD Cycle 2'!C11/'tariff tables'!G6,5)</f>
        <v>5.6999999999999998E-4</v>
      </c>
      <c r="U14" s="280">
        <f>ROUND('EO Cycle 2'!G13/'tariff tables'!G6,5)</f>
        <v>8.8000000000000003E-4</v>
      </c>
      <c r="V14" s="280">
        <f>ROUND('OA Cycle 2'!D14/'tariff tables'!G6,5)</f>
        <v>0</v>
      </c>
      <c r="X14" s="289">
        <f>ROUND('PPC Cycle 3'!B7/'tariff tables'!G6,5)</f>
        <v>1.66E-3</v>
      </c>
      <c r="Y14" s="280">
        <f>ROUND('PTD Cycle 3'!C8/'tariff tables'!G6,5)</f>
        <v>6.9999999999999994E-5</v>
      </c>
      <c r="Z14" s="280">
        <f t="shared" si="5"/>
        <v>0</v>
      </c>
      <c r="AA14" s="280">
        <f t="shared" si="6"/>
        <v>0</v>
      </c>
    </row>
    <row r="15" spans="1:27" s="61" customFormat="1" ht="15.75" thickBot="1" x14ac:dyDescent="0.3">
      <c r="B15" s="116" t="s">
        <v>139</v>
      </c>
      <c r="C15" s="158">
        <f>'PPC Cycle 2'!C12+'PPC Cycle 3'!B8</f>
        <v>1784548.63</v>
      </c>
      <c r="D15" s="158">
        <f>'PTD Cycle 2'!C12+'PTD Cycle 3'!C9</f>
        <v>233190.51</v>
      </c>
      <c r="E15" s="155">
        <f>+'EO Cycle 2'!G14</f>
        <v>484739.44</v>
      </c>
      <c r="F15" s="156">
        <f>+'OA Cycle 2'!D15</f>
        <v>0</v>
      </c>
      <c r="G15" s="153"/>
      <c r="O15" s="286">
        <v>0</v>
      </c>
      <c r="P15" s="277">
        <v>0</v>
      </c>
      <c r="Q15" s="278">
        <v>0</v>
      </c>
      <c r="R15" s="279"/>
      <c r="S15" s="289">
        <f>ROUND('PPC Cycle 2'!C12/'tariff tables'!G7,5)</f>
        <v>3.0000000000000001E-5</v>
      </c>
      <c r="T15" s="280">
        <f>ROUND('PTD Cycle 2'!C12/'tariff tables'!G7,5)</f>
        <v>1.8000000000000001E-4</v>
      </c>
      <c r="U15" s="281">
        <f>ROUND('EO Cycle 2'!G14/'tariff tables'!G7,5)+0.00001</f>
        <v>4.4000000000000002E-4</v>
      </c>
      <c r="V15" s="280">
        <f>ROUND('OA Cycle 2'!D15/'tariff tables'!G7,5)</f>
        <v>0</v>
      </c>
      <c r="X15" s="289">
        <f>ROUND('PPC Cycle 3'!B8/'tariff tables'!G7,5)</f>
        <v>1.56E-3</v>
      </c>
      <c r="Y15" s="280">
        <f>ROUND('PTD Cycle 3'!C9/'tariff tables'!G7,5)</f>
        <v>3.0000000000000001E-5</v>
      </c>
      <c r="Z15" s="280">
        <f t="shared" si="5"/>
        <v>0</v>
      </c>
      <c r="AA15" s="280">
        <f t="shared" si="6"/>
        <v>0</v>
      </c>
    </row>
    <row r="16" spans="1:27" x14ac:dyDescent="0.25">
      <c r="C16" s="154"/>
      <c r="D16" s="154"/>
      <c r="E16" s="154"/>
      <c r="F16" s="154"/>
      <c r="G16" s="153"/>
      <c r="M16" s="61"/>
      <c r="N16" s="61"/>
      <c r="O16" s="279"/>
      <c r="P16" s="279"/>
      <c r="Q16" s="279"/>
      <c r="R16" s="279"/>
      <c r="S16" s="279"/>
      <c r="T16" s="279"/>
      <c r="U16" s="279"/>
      <c r="V16" s="279"/>
      <c r="W16" s="61"/>
      <c r="X16" s="279"/>
      <c r="Y16" s="279"/>
      <c r="Z16" s="279"/>
      <c r="AA16" s="279"/>
    </row>
    <row r="17" spans="2:27" x14ac:dyDescent="0.25">
      <c r="C17" s="154"/>
      <c r="D17" s="154"/>
      <c r="E17" s="154"/>
      <c r="F17" s="154"/>
      <c r="G17" s="153"/>
      <c r="M17" s="61"/>
      <c r="N17" s="61"/>
      <c r="O17" s="279"/>
      <c r="P17" s="279"/>
      <c r="Q17" s="279"/>
      <c r="R17" s="279"/>
      <c r="S17" s="279"/>
      <c r="T17" s="279"/>
      <c r="U17" s="279"/>
      <c r="V17" s="279"/>
      <c r="W17" s="61"/>
      <c r="X17" s="279"/>
      <c r="Y17" s="279"/>
      <c r="Z17" s="279"/>
      <c r="AA17" s="279"/>
    </row>
    <row r="18" spans="2:27" ht="15.75" thickBot="1" x14ac:dyDescent="0.3">
      <c r="C18" s="154"/>
      <c r="D18" s="154"/>
      <c r="E18" s="154"/>
      <c r="F18" s="154"/>
      <c r="G18" s="153"/>
      <c r="M18" s="61"/>
      <c r="N18" s="61"/>
      <c r="O18" s="279"/>
      <c r="P18" s="279"/>
      <c r="Q18" s="279"/>
      <c r="R18" s="279"/>
      <c r="S18" s="279"/>
      <c r="T18" s="279"/>
      <c r="U18" s="279"/>
      <c r="V18" s="279"/>
      <c r="W18" s="61"/>
      <c r="X18" s="279"/>
      <c r="Y18" s="279"/>
      <c r="Z18" s="279"/>
      <c r="AA18" s="279"/>
    </row>
    <row r="19" spans="2:27" ht="15.75" thickBot="1" x14ac:dyDescent="0.3">
      <c r="B19" s="112" t="s">
        <v>8</v>
      </c>
      <c r="C19" s="160" t="s">
        <v>4</v>
      </c>
      <c r="D19" s="160" t="s">
        <v>10</v>
      </c>
      <c r="E19" s="161" t="s">
        <v>77</v>
      </c>
      <c r="F19" s="161" t="s">
        <v>21</v>
      </c>
      <c r="G19" s="153"/>
      <c r="M19" s="61"/>
      <c r="N19" s="61"/>
      <c r="O19" s="287" t="s">
        <v>186</v>
      </c>
      <c r="P19" s="282" t="s">
        <v>187</v>
      </c>
      <c r="Q19" s="282" t="s">
        <v>188</v>
      </c>
      <c r="R19" s="279"/>
      <c r="S19" s="287" t="s">
        <v>189</v>
      </c>
      <c r="T19" s="282" t="s">
        <v>190</v>
      </c>
      <c r="U19" s="282" t="s">
        <v>191</v>
      </c>
      <c r="V19" s="282" t="s">
        <v>192</v>
      </c>
      <c r="W19" s="61"/>
      <c r="X19" s="287" t="s">
        <v>193</v>
      </c>
      <c r="Y19" s="282" t="s">
        <v>194</v>
      </c>
      <c r="Z19" s="282" t="s">
        <v>195</v>
      </c>
      <c r="AA19" s="282" t="s">
        <v>196</v>
      </c>
    </row>
    <row r="20" spans="2:27" ht="15.75" thickBot="1" x14ac:dyDescent="0.3">
      <c r="B20" s="116" t="s">
        <v>29</v>
      </c>
      <c r="C20" s="158">
        <f>+'PCR Cycle 1'!J4+'PCR Cycle 2'!J4</f>
        <v>808394.66231999954</v>
      </c>
      <c r="D20" s="158">
        <f>+'TDR Cycle 1'!J4+'TDR Cycle 2'!K4</f>
        <v>677035.14111999969</v>
      </c>
      <c r="E20" s="158">
        <f>+'EOR Cycle 1'!I4</f>
        <v>5158.4346199999327</v>
      </c>
      <c r="F20" s="156">
        <v>0</v>
      </c>
      <c r="G20" s="153"/>
      <c r="M20" s="61"/>
      <c r="N20" s="61"/>
      <c r="O20" s="288">
        <f>ROUND('PCR Cycle 1'!J4/G4,5)</f>
        <v>0</v>
      </c>
      <c r="P20" s="283">
        <f>ROUND('TDR Cycle 1'!J4/'tariff tables'!G4,5)</f>
        <v>0</v>
      </c>
      <c r="Q20" s="283">
        <f>ROUND('EOR Cycle 1'!I4/'tariff tables'!G4,5)</f>
        <v>0</v>
      </c>
      <c r="R20" s="279"/>
      <c r="S20" s="288">
        <f>ROUND('PCR Cycle 2'!J4/'tariff tables'!G4,5)</f>
        <v>2.3000000000000001E-4</v>
      </c>
      <c r="T20" s="280">
        <f>ROUND('TDR Cycle 2'!K4/'tariff tables'!G4,5)</f>
        <v>1.9000000000000001E-4</v>
      </c>
      <c r="U20" s="283">
        <f>ROUND(0/'tariff tables'!G4,5)</f>
        <v>0</v>
      </c>
      <c r="V20" s="283">
        <f>ROUND('OAR Cycle 2'!I4/'tariff tables'!G4,5)</f>
        <v>0</v>
      </c>
      <c r="W20" s="61"/>
      <c r="X20" s="288">
        <f>ROUND(0/G4,5)</f>
        <v>0</v>
      </c>
      <c r="Y20" s="280">
        <f>ROUND(0/G4,5)</f>
        <v>0</v>
      </c>
      <c r="Z20" s="280">
        <f>ROUND(0/G4,5)</f>
        <v>0</v>
      </c>
      <c r="AA20" s="283">
        <f>ROUND(0/G4,5)</f>
        <v>0</v>
      </c>
    </row>
    <row r="21" spans="2:27" ht="15.75" thickBot="1" x14ac:dyDescent="0.3">
      <c r="B21" s="116" t="s">
        <v>137</v>
      </c>
      <c r="C21" s="158">
        <f>+'PCR Cycle 1'!J8+'PCR Cycle 2'!J8</f>
        <v>432964.84</v>
      </c>
      <c r="D21" s="158">
        <f>+'TDR Cycle 1'!J8+'TDR Cycle 2'!K8</f>
        <v>46389.38</v>
      </c>
      <c r="E21" s="158">
        <f>+'EOR Cycle 1'!I8</f>
        <v>6460.14</v>
      </c>
      <c r="F21" s="156">
        <f>+'OAR Cycle 2'!I8</f>
        <v>0</v>
      </c>
      <c r="G21" s="153"/>
      <c r="M21" s="61"/>
      <c r="N21" s="61"/>
      <c r="O21" s="288">
        <f>ROUND('PCR Cycle 1'!J5/G5,5)</f>
        <v>0</v>
      </c>
      <c r="P21" s="283">
        <f>ROUND('TDR Cycle 1'!J5/'tariff tables'!G5,5)</f>
        <v>0</v>
      </c>
      <c r="Q21" s="284">
        <f>ROUND('EOR Cycle 1'!I8/'tariff tables'!G5,5)-0.00001</f>
        <v>0</v>
      </c>
      <c r="R21" s="279"/>
      <c r="S21" s="288">
        <f>ROUND('PCR Cycle 2'!J8/'tariff tables'!G5,5)</f>
        <v>4.4999999999999999E-4</v>
      </c>
      <c r="T21" s="283">
        <f>ROUND('TDR Cycle 2'!K8/'tariff tables'!G5,5)</f>
        <v>5.0000000000000002E-5</v>
      </c>
      <c r="U21" s="283">
        <f>ROUND(0/'tariff tables'!G5,5)</f>
        <v>0</v>
      </c>
      <c r="V21" s="283">
        <f>ROUND('OAR Cycle 2'!I5/'tariff tables'!G5,5)</f>
        <v>0</v>
      </c>
      <c r="W21" s="61"/>
      <c r="X21" s="288">
        <f t="shared" ref="X21:X23" si="7">ROUND(0/G5,5)</f>
        <v>0</v>
      </c>
      <c r="Y21" s="280">
        <f t="shared" ref="Y21:Y23" si="8">ROUND(0/G5,5)</f>
        <v>0</v>
      </c>
      <c r="Z21" s="280">
        <f t="shared" ref="Z21:Z23" si="9">ROUND(0/G5,5)</f>
        <v>0</v>
      </c>
      <c r="AA21" s="283">
        <f t="shared" ref="AA21:AA23" si="10">ROUND(0/G5,5)</f>
        <v>0</v>
      </c>
    </row>
    <row r="22" spans="2:27" s="61" customFormat="1" ht="15.75" thickBot="1" x14ac:dyDescent="0.3">
      <c r="B22" s="116" t="s">
        <v>138</v>
      </c>
      <c r="C22" s="158">
        <f>+'PCR Cycle 1'!J9+'PCR Cycle 2'!J9</f>
        <v>497251.89</v>
      </c>
      <c r="D22" s="158">
        <f>+'TDR Cycle 1'!J9+'TDR Cycle 2'!K9</f>
        <v>53277.32</v>
      </c>
      <c r="E22" s="158">
        <f>+'EOR Cycle 1'!I9</f>
        <v>7419.35</v>
      </c>
      <c r="F22" s="156">
        <f>+'OAR Cycle 2'!I9</f>
        <v>0</v>
      </c>
      <c r="G22" s="153"/>
      <c r="O22" s="288">
        <f>ROUND('PCR Cycle 1'!J6/G6,5)</f>
        <v>0</v>
      </c>
      <c r="P22" s="283">
        <f>ROUND('TDR Cycle 1'!J6/'tariff tables'!G6,5)</f>
        <v>0</v>
      </c>
      <c r="Q22" s="284">
        <f>ROUND('EOR Cycle 1'!I9/'tariff tables'!G6,5)-0.00001</f>
        <v>0</v>
      </c>
      <c r="R22" s="279"/>
      <c r="S22" s="288">
        <f>ROUND('PCR Cycle 2'!J9/'tariff tables'!G6,5)</f>
        <v>3.4000000000000002E-4</v>
      </c>
      <c r="T22" s="283">
        <f>ROUND('TDR Cycle 2'!K9/'tariff tables'!G6,5)</f>
        <v>4.0000000000000003E-5</v>
      </c>
      <c r="U22" s="283">
        <f>ROUND(0/'tariff tables'!G6,5)</f>
        <v>0</v>
      </c>
      <c r="V22" s="283">
        <f>ROUND('OAR Cycle 2'!I6/'tariff tables'!G6,5)</f>
        <v>0</v>
      </c>
      <c r="X22" s="288">
        <f t="shared" si="7"/>
        <v>0</v>
      </c>
      <c r="Y22" s="280">
        <f t="shared" si="8"/>
        <v>0</v>
      </c>
      <c r="Z22" s="280">
        <f t="shared" si="9"/>
        <v>0</v>
      </c>
      <c r="AA22" s="283">
        <f t="shared" si="10"/>
        <v>0</v>
      </c>
    </row>
    <row r="23" spans="2:27" s="61" customFormat="1" ht="15.75" thickBot="1" x14ac:dyDescent="0.3">
      <c r="B23" s="116" t="s">
        <v>139</v>
      </c>
      <c r="C23" s="158">
        <f>+'PCR Cycle 1'!J10+'PCR Cycle 2'!J10</f>
        <v>168018.94</v>
      </c>
      <c r="D23" s="158">
        <f>+'TDR Cycle 1'!J10+'TDR Cycle 2'!K10</f>
        <v>18002.14</v>
      </c>
      <c r="E23" s="158">
        <f>+'EOR Cycle 1'!I10</f>
        <v>2506.96</v>
      </c>
      <c r="F23" s="156">
        <f>+'OAR Cycle 2'!I10</f>
        <v>0</v>
      </c>
      <c r="G23" s="153"/>
      <c r="O23" s="288">
        <f>ROUND('PCR Cycle 1'!J7/G7,5)</f>
        <v>0</v>
      </c>
      <c r="P23" s="283">
        <f>ROUND('TDR Cycle 1'!J7/'tariff tables'!G7,5)</f>
        <v>0</v>
      </c>
      <c r="Q23" s="283">
        <f>ROUND('EOR Cycle 1'!I10/'tariff tables'!G7,5)</f>
        <v>0</v>
      </c>
      <c r="R23" s="279"/>
      <c r="S23" s="288">
        <f>ROUND('PCR Cycle 2'!J10/'tariff tables'!G7,5)</f>
        <v>1.4999999999999999E-4</v>
      </c>
      <c r="T23" s="284">
        <f>ROUND('TDR Cycle 2'!K10/'tariff tables'!G7,5)-0.00001</f>
        <v>1.0000000000000001E-5</v>
      </c>
      <c r="U23" s="283">
        <f>ROUND(0/'tariff tables'!G7,5)</f>
        <v>0</v>
      </c>
      <c r="V23" s="283">
        <f>ROUND('OAR Cycle 2'!I7/'tariff tables'!G7,5)</f>
        <v>0</v>
      </c>
      <c r="X23" s="288">
        <f t="shared" si="7"/>
        <v>0</v>
      </c>
      <c r="Y23" s="280">
        <f t="shared" si="8"/>
        <v>0</v>
      </c>
      <c r="Z23" s="280">
        <f t="shared" si="9"/>
        <v>0</v>
      </c>
      <c r="AA23" s="283">
        <f t="shared" si="10"/>
        <v>0</v>
      </c>
    </row>
    <row r="24" spans="2:27" x14ac:dyDescent="0.25">
      <c r="M24" s="61"/>
      <c r="N24" s="61"/>
    </row>
    <row r="25" spans="2:27" x14ac:dyDescent="0.25">
      <c r="B25" s="120" t="s">
        <v>48</v>
      </c>
      <c r="M25" s="61"/>
      <c r="N25" s="61"/>
    </row>
    <row r="26" spans="2:27" x14ac:dyDescent="0.25">
      <c r="B26" s="121" t="s">
        <v>49</v>
      </c>
      <c r="M26" s="61"/>
      <c r="N26" s="61"/>
    </row>
    <row r="27" spans="2:27" x14ac:dyDescent="0.25">
      <c r="B27" s="121" t="s">
        <v>59</v>
      </c>
      <c r="M27" s="61"/>
      <c r="N27" s="61"/>
    </row>
    <row r="28" spans="2:27" x14ac:dyDescent="0.25">
      <c r="B28" s="121" t="s">
        <v>50</v>
      </c>
      <c r="M28" s="61"/>
      <c r="N28" s="61"/>
    </row>
    <row r="29" spans="2:27" x14ac:dyDescent="0.25">
      <c r="B29" s="121" t="s">
        <v>51</v>
      </c>
      <c r="M29" s="61"/>
      <c r="N29" s="61"/>
    </row>
    <row r="30" spans="2:27" x14ac:dyDescent="0.25">
      <c r="B30" s="121" t="s">
        <v>52</v>
      </c>
      <c r="M30" s="61"/>
      <c r="N30" s="61"/>
    </row>
    <row r="31" spans="2:27" x14ac:dyDescent="0.25">
      <c r="B31" s="121" t="s">
        <v>53</v>
      </c>
      <c r="M31" s="61"/>
      <c r="N31" s="61"/>
    </row>
    <row r="32" spans="2:27" x14ac:dyDescent="0.25">
      <c r="B32" s="121" t="s">
        <v>64</v>
      </c>
      <c r="M32" s="61"/>
      <c r="N32" s="61"/>
    </row>
    <row r="33" spans="2:14" x14ac:dyDescent="0.25">
      <c r="B33" s="121" t="s">
        <v>54</v>
      </c>
      <c r="M33" s="61"/>
      <c r="N33" s="61"/>
    </row>
    <row r="34" spans="2:14" x14ac:dyDescent="0.25">
      <c r="B34" s="121" t="s">
        <v>71</v>
      </c>
      <c r="M34" s="61"/>
      <c r="N34" s="61"/>
    </row>
    <row r="35" spans="2:14" x14ac:dyDescent="0.25">
      <c r="B35" s="121" t="s">
        <v>73</v>
      </c>
      <c r="M35" s="61"/>
      <c r="N35" s="61"/>
    </row>
    <row r="36" spans="2:14" x14ac:dyDescent="0.25">
      <c r="B36" s="121" t="s">
        <v>72</v>
      </c>
      <c r="M36" s="61"/>
      <c r="N36" s="61"/>
    </row>
    <row r="37" spans="2:14" x14ac:dyDescent="0.25">
      <c r="B37" s="121" t="s">
        <v>55</v>
      </c>
      <c r="M37" s="61"/>
      <c r="N37" s="61"/>
    </row>
    <row r="38" spans="2:14" x14ac:dyDescent="0.25">
      <c r="B38" s="121" t="s">
        <v>56</v>
      </c>
      <c r="M38" s="61"/>
      <c r="N38" s="61"/>
    </row>
    <row r="39" spans="2:14" x14ac:dyDescent="0.25">
      <c r="B39" s="121" t="s">
        <v>57</v>
      </c>
      <c r="M39" s="61"/>
      <c r="N39" s="61"/>
    </row>
    <row r="40" spans="2:14" x14ac:dyDescent="0.25">
      <c r="B40" s="121" t="s">
        <v>58</v>
      </c>
      <c r="M40" s="61"/>
      <c r="N40" s="61"/>
    </row>
    <row r="41" spans="2:14" x14ac:dyDescent="0.25">
      <c r="M41" s="61"/>
      <c r="N41" s="61"/>
    </row>
    <row r="42" spans="2:14" x14ac:dyDescent="0.25">
      <c r="M42" s="61"/>
      <c r="N42" s="61"/>
    </row>
    <row r="43" spans="2:14" x14ac:dyDescent="0.25">
      <c r="M43" s="61"/>
      <c r="N43" s="61"/>
    </row>
    <row r="44" spans="2:14" x14ac:dyDescent="0.25">
      <c r="M44" s="61"/>
      <c r="N44" s="61"/>
    </row>
    <row r="45" spans="2:14" x14ac:dyDescent="0.25">
      <c r="M45" s="61"/>
      <c r="N45" s="61"/>
    </row>
    <row r="46" spans="2:14" x14ac:dyDescent="0.25">
      <c r="M46" s="61"/>
      <c r="N46" s="61"/>
    </row>
    <row r="47" spans="2:14" x14ac:dyDescent="0.25">
      <c r="M47" s="61"/>
      <c r="N47" s="61"/>
    </row>
    <row r="48" spans="2:14" x14ac:dyDescent="0.25">
      <c r="M48" s="61"/>
      <c r="N48" s="61"/>
    </row>
    <row r="49" spans="13:14" x14ac:dyDescent="0.25">
      <c r="M49" s="61"/>
      <c r="N49" s="61"/>
    </row>
    <row r="50" spans="13:14" x14ac:dyDescent="0.25">
      <c r="M50" s="61"/>
      <c r="N50" s="61"/>
    </row>
  </sheetData>
  <pageMargins left="0.2" right="0.2" top="0.75" bottom="0.25" header="0.3" footer="0.3"/>
  <pageSetup scale="42" orientation="landscape" r:id="rId1"/>
  <headerFooter>
    <oddHeader>&amp;C&amp;F &amp;A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3"/>
  <sheetViews>
    <sheetView workbookViewId="0"/>
  </sheetViews>
  <sheetFormatPr defaultRowHeight="15" x14ac:dyDescent="0.25"/>
  <cols>
    <col min="1" max="1" width="27.42578125" customWidth="1"/>
    <col min="2" max="2" width="14.28515625" bestFit="1" customWidth="1"/>
    <col min="3" max="3" width="12.28515625" bestFit="1" customWidth="1"/>
    <col min="4" max="4" width="11.5703125" bestFit="1" customWidth="1"/>
    <col min="5" max="5" width="11.85546875" customWidth="1"/>
    <col min="6" max="6" width="12.7109375" customWidth="1"/>
    <col min="7" max="7" width="14.42578125" customWidth="1"/>
    <col min="15" max="15" width="12" bestFit="1" customWidth="1"/>
  </cols>
  <sheetData>
    <row r="1" spans="1:7" x14ac:dyDescent="0.25">
      <c r="A1" s="79" t="str">
        <f>+'PPC Cycle 2'!A1</f>
        <v>Evergy Missouri West, Inc. - DSIM Rider Update MEEIA 3 Filed 1-10-2020</v>
      </c>
      <c r="B1" s="61"/>
      <c r="C1" s="61"/>
      <c r="D1" s="61"/>
    </row>
    <row r="2" spans="1:7" x14ac:dyDescent="0.25">
      <c r="A2" s="9" t="str">
        <f>+'PPC Cycle 2'!A2</f>
        <v>Projections for Cycle 2 January - December 2020 DSIM</v>
      </c>
      <c r="B2" s="61"/>
      <c r="C2" s="61"/>
      <c r="D2" s="61"/>
    </row>
    <row r="3" spans="1:7" x14ac:dyDescent="0.25">
      <c r="A3" s="61"/>
      <c r="B3" s="290" t="s">
        <v>127</v>
      </c>
      <c r="C3" s="290"/>
      <c r="D3" s="290"/>
    </row>
    <row r="4" spans="1:7" ht="75" x14ac:dyDescent="0.25">
      <c r="A4" s="61"/>
      <c r="B4" s="86" t="s">
        <v>119</v>
      </c>
      <c r="C4" s="86" t="s">
        <v>128</v>
      </c>
      <c r="D4" s="86" t="s">
        <v>131</v>
      </c>
      <c r="E4" s="86" t="s">
        <v>129</v>
      </c>
      <c r="F4" s="86" t="s">
        <v>120</v>
      </c>
      <c r="G4" s="86" t="s">
        <v>130</v>
      </c>
    </row>
    <row r="5" spans="1:7" x14ac:dyDescent="0.25">
      <c r="A5" s="22"/>
      <c r="B5" s="86"/>
      <c r="C5" s="86"/>
      <c r="D5" s="198"/>
      <c r="E5" s="61"/>
      <c r="F5" s="61"/>
      <c r="G5" s="61"/>
    </row>
    <row r="6" spans="1:7" x14ac:dyDescent="0.25">
      <c r="A6" s="22"/>
      <c r="B6" s="86"/>
      <c r="C6" s="86"/>
      <c r="D6" s="199"/>
      <c r="E6" s="61"/>
      <c r="F6" s="61"/>
      <c r="G6" s="61"/>
    </row>
    <row r="7" spans="1:7" x14ac:dyDescent="0.25">
      <c r="A7" s="22"/>
      <c r="B7" s="86"/>
      <c r="C7" s="86"/>
      <c r="D7" s="199"/>
      <c r="E7" s="61"/>
      <c r="F7" s="61"/>
      <c r="G7" s="61"/>
    </row>
    <row r="8" spans="1:7" x14ac:dyDescent="0.25">
      <c r="A8" s="22" t="s">
        <v>29</v>
      </c>
      <c r="B8" s="36">
        <f>+'[9]EO Matrix @Meter'!$S$18</f>
        <v>5181939.6500000004</v>
      </c>
      <c r="C8" s="36">
        <f>+'[3]TD EO Ex Post Gross Adj'!$DD$363</f>
        <v>-722286.32999999984</v>
      </c>
      <c r="D8" s="36">
        <f>+'[3]TD EO NTG Adj'!$DD$370</f>
        <v>574414.55000000005</v>
      </c>
      <c r="E8" s="258">
        <f>+'[3]EO TD Carrying Costs'!$AN$48</f>
        <v>2229.4899999999998</v>
      </c>
      <c r="F8" s="262">
        <f>SUM(B8:E8)</f>
        <v>5036297.3600000003</v>
      </c>
      <c r="G8" s="261">
        <f>ROUND(F8/4*2,2)</f>
        <v>2518148.6800000002</v>
      </c>
    </row>
    <row r="9" spans="1:7" x14ac:dyDescent="0.25">
      <c r="A9" s="22" t="s">
        <v>30</v>
      </c>
      <c r="B9" s="254">
        <f>+'[9]EO Matrix @Meter'!$T$18</f>
        <v>5060008.6900000004</v>
      </c>
      <c r="C9" s="254">
        <f>SUM('[3]TD EO Ex Post Gross Adj'!$DD$364:$DD$367)</f>
        <v>194085.34999999995</v>
      </c>
      <c r="D9" s="254">
        <f>SUM('[3]TD EO NTG Adj'!$DD$371:$DD$374)</f>
        <v>562321.1399999999</v>
      </c>
      <c r="E9" s="259">
        <f>SUM('[3]EO TD Carrying Costs'!$AN$49:$AN$52)</f>
        <v>20418.359999999997</v>
      </c>
      <c r="F9" s="262">
        <f>SUM(B9:E9)</f>
        <v>5836833.54</v>
      </c>
      <c r="G9" s="261">
        <f>ROUND(F9/4*2,2)</f>
        <v>2918416.77</v>
      </c>
    </row>
    <row r="10" spans="1:7" x14ac:dyDescent="0.25">
      <c r="A10" s="22" t="s">
        <v>6</v>
      </c>
      <c r="B10" s="255">
        <f t="shared" ref="B10:G10" si="0">SUM(B8:B9)</f>
        <v>10241948.34</v>
      </c>
      <c r="C10" s="255">
        <f t="shared" si="0"/>
        <v>-528200.97999999986</v>
      </c>
      <c r="D10" s="255">
        <f t="shared" si="0"/>
        <v>1136735.69</v>
      </c>
      <c r="E10" s="260">
        <f t="shared" si="0"/>
        <v>22647.85</v>
      </c>
      <c r="F10" s="255">
        <f t="shared" si="0"/>
        <v>10873130.9</v>
      </c>
      <c r="G10" s="263">
        <f t="shared" si="0"/>
        <v>5436565.4500000002</v>
      </c>
    </row>
    <row r="11" spans="1:7" x14ac:dyDescent="0.25">
      <c r="A11" s="61"/>
      <c r="B11" s="256"/>
      <c r="C11" s="256"/>
      <c r="D11" s="257"/>
    </row>
    <row r="12" spans="1:7" x14ac:dyDescent="0.25">
      <c r="A12" s="22" t="s">
        <v>137</v>
      </c>
      <c r="B12" s="36">
        <f>+'[9]EO Matrix @Meter'!$W$18</f>
        <v>1943830.0499999998</v>
      </c>
      <c r="C12" s="36">
        <f>+'[3]TD EO Ex Post Gross Adj'!$DD$364</f>
        <v>62654.269999999968</v>
      </c>
      <c r="D12" s="36">
        <f>+'[3]TD EO NTG Adj'!DD371</f>
        <v>289519.26</v>
      </c>
      <c r="E12" s="254">
        <f>+'[3]EO TD Carrying Costs'!AN49</f>
        <v>9487.8299999999981</v>
      </c>
      <c r="F12" s="255">
        <f t="shared" ref="F12:F14" si="1">SUM(B12:E12)</f>
        <v>2305491.41</v>
      </c>
      <c r="G12" s="255">
        <f t="shared" ref="G12:G14" si="2">ROUND(F12/4*2,2)</f>
        <v>1152745.71</v>
      </c>
    </row>
    <row r="13" spans="1:7" x14ac:dyDescent="0.25">
      <c r="A13" s="22" t="s">
        <v>138</v>
      </c>
      <c r="B13" s="36">
        <f>+'[9]EO Matrix @Meter'!$Y$18</f>
        <v>2196160.9099999997</v>
      </c>
      <c r="C13" s="36">
        <f>+'[3]TD EO Ex Post Gross Adj'!$DD$366</f>
        <v>122990.04999999997</v>
      </c>
      <c r="D13" s="36">
        <f>+'[3]TD EO NTG Adj'!DD373</f>
        <v>233118.96</v>
      </c>
      <c r="E13" s="36">
        <f>+'[3]EO TD Carrying Costs'!AN51</f>
        <v>9593.3099999999977</v>
      </c>
      <c r="F13" s="255">
        <f t="shared" si="1"/>
        <v>2561863.2299999995</v>
      </c>
      <c r="G13" s="255">
        <f t="shared" si="2"/>
        <v>1280931.6200000001</v>
      </c>
    </row>
    <row r="14" spans="1:7" x14ac:dyDescent="0.25">
      <c r="A14" s="22" t="s">
        <v>139</v>
      </c>
      <c r="B14" s="254">
        <f>+'[9]EO Matrix @Meter'!$Z$18</f>
        <v>920017.71000000008</v>
      </c>
      <c r="C14" s="254">
        <f>+'[3]TD EO Ex Post Gross Adj'!$DD$367</f>
        <v>8441.0300000000061</v>
      </c>
      <c r="D14" s="254">
        <f>+'[3]TD EO NTG Adj'!DD374</f>
        <v>39682.919999999984</v>
      </c>
      <c r="E14" s="254">
        <f>+'[3]EO TD Carrying Costs'!AN52</f>
        <v>1337.2200000000003</v>
      </c>
      <c r="F14" s="255">
        <f t="shared" si="1"/>
        <v>969478.88000000012</v>
      </c>
      <c r="G14" s="255">
        <f t="shared" si="2"/>
        <v>484739.44</v>
      </c>
    </row>
    <row r="15" spans="1:7" x14ac:dyDescent="0.25">
      <c r="A15" s="43" t="s">
        <v>140</v>
      </c>
      <c r="B15" s="255">
        <f>SUM(B12:B14)</f>
        <v>5060008.67</v>
      </c>
      <c r="C15" s="255">
        <f>SUM(C12:C14)</f>
        <v>194085.34999999995</v>
      </c>
      <c r="D15" s="255">
        <f t="shared" ref="D15:G15" si="3">SUM(D12:D14)</f>
        <v>562321.1399999999</v>
      </c>
      <c r="E15" s="255">
        <f t="shared" si="3"/>
        <v>20418.359999999997</v>
      </c>
      <c r="F15" s="255">
        <f t="shared" si="3"/>
        <v>5836833.5199999996</v>
      </c>
      <c r="G15" s="255">
        <f t="shared" si="3"/>
        <v>2918416.77</v>
      </c>
    </row>
    <row r="16" spans="1:7" s="61" customFormat="1" x14ac:dyDescent="0.25">
      <c r="A16" s="43"/>
      <c r="B16" s="274"/>
      <c r="C16" s="274"/>
      <c r="D16" s="274"/>
      <c r="E16" s="274"/>
      <c r="F16" s="274"/>
      <c r="G16" s="274"/>
    </row>
    <row r="17" spans="1:4" x14ac:dyDescent="0.25">
      <c r="A17" s="68" t="s">
        <v>13</v>
      </c>
      <c r="B17" s="61"/>
      <c r="C17" s="61"/>
      <c r="D17" s="61"/>
    </row>
    <row r="18" spans="1:4" x14ac:dyDescent="0.25">
      <c r="A18" s="3" t="s">
        <v>167</v>
      </c>
      <c r="B18" s="61"/>
      <c r="C18" s="61"/>
      <c r="D18" s="61"/>
    </row>
    <row r="19" spans="1:4" x14ac:dyDescent="0.25">
      <c r="A19" s="3" t="s">
        <v>168</v>
      </c>
      <c r="B19" s="61"/>
      <c r="C19" s="61"/>
      <c r="D19" s="61"/>
    </row>
    <row r="20" spans="1:4" x14ac:dyDescent="0.25">
      <c r="A20" s="3" t="s">
        <v>169</v>
      </c>
    </row>
    <row r="21" spans="1:4" x14ac:dyDescent="0.25">
      <c r="A21" s="3" t="s">
        <v>170</v>
      </c>
    </row>
    <row r="22" spans="1:4" x14ac:dyDescent="0.25">
      <c r="A22" s="3" t="s">
        <v>132</v>
      </c>
    </row>
    <row r="23" spans="1:4" x14ac:dyDescent="0.25">
      <c r="A23" s="3" t="s">
        <v>174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59"/>
  <sheetViews>
    <sheetView workbookViewId="0"/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+'PPC Cycle 2'!A1</f>
        <v>Evergy Missouri West, Inc. - DSIM Rider Update MEEIA 3 Filed 1-10-2020</v>
      </c>
      <c r="B1" s="3"/>
      <c r="C1" s="3"/>
    </row>
    <row r="2" spans="1:34" x14ac:dyDescent="0.25">
      <c r="D2" s="3" t="s">
        <v>100</v>
      </c>
    </row>
    <row r="3" spans="1:34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77</v>
      </c>
      <c r="K3" s="227"/>
      <c r="L3" s="227"/>
      <c r="M3" s="227"/>
      <c r="N3" s="228"/>
    </row>
    <row r="4" spans="1:34" x14ac:dyDescent="0.25">
      <c r="A4" s="22" t="s">
        <v>29</v>
      </c>
      <c r="D4" s="24">
        <f>SUM(C21:L21)</f>
        <v>-17233.928719999989</v>
      </c>
      <c r="E4" s="24">
        <f>SUM(C17:K17)</f>
        <v>0</v>
      </c>
      <c r="F4" s="24">
        <f>E4-D4</f>
        <v>17233.928719999989</v>
      </c>
      <c r="G4" s="24">
        <f>+B31</f>
        <v>-12113.234100000056</v>
      </c>
      <c r="H4" s="24">
        <f>SUM(C36:K36)</f>
        <v>37.740000000000009</v>
      </c>
      <c r="I4" s="36">
        <f>SUM(F4:H4)</f>
        <v>5158.4346199999327</v>
      </c>
      <c r="J4" s="62">
        <f>+I4-L31</f>
        <v>1.0913936421275139E-11</v>
      </c>
      <c r="K4" s="229"/>
      <c r="L4" s="229"/>
      <c r="M4" s="229"/>
      <c r="N4" s="228"/>
    </row>
    <row r="5" spans="1:34" ht="15.75" thickBot="1" x14ac:dyDescent="0.3">
      <c r="A5" s="22" t="s">
        <v>30</v>
      </c>
      <c r="D5" s="24">
        <f>SUM(C22:L22)</f>
        <v>6421.4598099999857</v>
      </c>
      <c r="E5" s="24">
        <f>SUM(C18:K18)</f>
        <v>0</v>
      </c>
      <c r="F5" s="24">
        <f>E5-D5</f>
        <v>-6421.4598099999857</v>
      </c>
      <c r="G5" s="24">
        <f>+B32</f>
        <v>22361.915540000013</v>
      </c>
      <c r="H5" s="24">
        <f>SUM(C37:K37)</f>
        <v>446.00000000000006</v>
      </c>
      <c r="I5" s="36">
        <f>SUM(F5:H5)</f>
        <v>16386.455730000027</v>
      </c>
      <c r="J5" s="62">
        <f>+I5-L32</f>
        <v>0</v>
      </c>
      <c r="K5" s="229"/>
      <c r="L5" s="229"/>
      <c r="M5" s="229"/>
      <c r="N5" s="228"/>
    </row>
    <row r="6" spans="1:34" ht="16.5" thickTop="1" thickBot="1" x14ac:dyDescent="0.3">
      <c r="D6" s="40">
        <f t="shared" ref="D6" si="0">SUM(D4:D5)</f>
        <v>-10812.468910000003</v>
      </c>
      <c r="E6" s="40">
        <f>SUM(E4:E5)</f>
        <v>0</v>
      </c>
      <c r="F6" s="40">
        <f>SUM(F4:F5)</f>
        <v>10812.468910000003</v>
      </c>
      <c r="G6" s="40">
        <f>SUM(G4:G5)</f>
        <v>10248.681439999957</v>
      </c>
      <c r="H6" s="94">
        <f>SUM(H4:H5)</f>
        <v>483.74000000000007</v>
      </c>
      <c r="I6" s="40">
        <f>SUM(I4:I5)</f>
        <v>21544.890349999958</v>
      </c>
      <c r="K6" s="228"/>
      <c r="L6" s="228"/>
      <c r="M6" s="228"/>
      <c r="N6" s="228"/>
    </row>
    <row r="7" spans="1:34" ht="30.75" thickTop="1" x14ac:dyDescent="0.25">
      <c r="I7" s="271"/>
      <c r="J7" s="266" t="s">
        <v>154</v>
      </c>
    </row>
    <row r="8" spans="1:34" ht="17.25" customHeight="1" x14ac:dyDescent="0.25">
      <c r="A8" s="22" t="s">
        <v>137</v>
      </c>
      <c r="I8" s="36">
        <f>ROUND($I$5*J8,2)</f>
        <v>6460.14</v>
      </c>
      <c r="J8" s="267">
        <f>+'PPC Cycle 2'!D10</f>
        <v>0.39423672897243034</v>
      </c>
    </row>
    <row r="9" spans="1:34" ht="17.25" customHeight="1" x14ac:dyDescent="0.25">
      <c r="A9" s="22" t="s">
        <v>138</v>
      </c>
      <c r="I9" s="36">
        <f t="shared" ref="I9:I10" si="1">ROUND($I$5*J9,2)</f>
        <v>7419.35</v>
      </c>
      <c r="J9" s="267">
        <f>+'PPC Cycle 2'!D11</f>
        <v>0.45277339225375463</v>
      </c>
    </row>
    <row r="10" spans="1:34" ht="17.25" customHeight="1" thickBot="1" x14ac:dyDescent="0.3">
      <c r="A10" s="22" t="s">
        <v>139</v>
      </c>
      <c r="I10" s="36">
        <f t="shared" si="1"/>
        <v>2506.96</v>
      </c>
      <c r="J10" s="267">
        <f>+'PPC Cycle 2'!D12</f>
        <v>0.15298987877381515</v>
      </c>
    </row>
    <row r="11" spans="1:34" ht="17.25" customHeight="1" thickTop="1" thickBot="1" x14ac:dyDescent="0.3">
      <c r="A11" s="22" t="s">
        <v>140</v>
      </c>
      <c r="I11" s="40">
        <f>SUM(I8:I10)</f>
        <v>16386.45</v>
      </c>
      <c r="J11" s="268">
        <f>SUM(J8:J10)</f>
        <v>1</v>
      </c>
    </row>
    <row r="12" spans="1:34" ht="16.5" thickTop="1" thickBot="1" x14ac:dyDescent="0.3"/>
    <row r="13" spans="1:34" ht="75.75" thickBot="1" x14ac:dyDescent="0.3">
      <c r="B13" s="145" t="str">
        <f>+'PCR Cycle 1'!B13</f>
        <v>Cumulative Over/Under Carryover From 06/01/2019 Filing</v>
      </c>
      <c r="C13" s="217" t="str">
        <f>+'PCR Cycle 1'!C13</f>
        <v>Reverse May-19 - October-19  Forecast From 06/01/2019 Filing</v>
      </c>
      <c r="D13" s="300" t="s">
        <v>39</v>
      </c>
      <c r="E13" s="300"/>
      <c r="F13" s="301"/>
      <c r="G13" s="291" t="s">
        <v>39</v>
      </c>
      <c r="H13" s="292"/>
      <c r="I13" s="293"/>
      <c r="J13" s="305" t="s">
        <v>9</v>
      </c>
      <c r="K13" s="306"/>
      <c r="L13" s="304"/>
    </row>
    <row r="14" spans="1:34" x14ac:dyDescent="0.25">
      <c r="C14" s="14"/>
      <c r="D14" s="20">
        <f>+'PCR Cycle 1'!D14</f>
        <v>43616</v>
      </c>
      <c r="E14" s="20">
        <f t="shared" ref="E14:L14" si="2">EOMONTH(D14,1)</f>
        <v>43646</v>
      </c>
      <c r="F14" s="20">
        <f t="shared" si="2"/>
        <v>43677</v>
      </c>
      <c r="G14" s="14">
        <f t="shared" si="2"/>
        <v>43708</v>
      </c>
      <c r="H14" s="20">
        <f t="shared" si="2"/>
        <v>43738</v>
      </c>
      <c r="I14" s="20">
        <f t="shared" si="2"/>
        <v>43769</v>
      </c>
      <c r="J14" s="14">
        <f t="shared" si="2"/>
        <v>43799</v>
      </c>
      <c r="K14" s="20">
        <f t="shared" si="2"/>
        <v>43830</v>
      </c>
      <c r="L14" s="122">
        <f t="shared" si="2"/>
        <v>43861</v>
      </c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s="61" t="s">
        <v>103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v>0</v>
      </c>
      <c r="D17" s="54">
        <v>0</v>
      </c>
      <c r="E17" s="54">
        <v>0</v>
      </c>
      <c r="F17" s="135">
        <v>0</v>
      </c>
      <c r="G17" s="53">
        <v>0</v>
      </c>
      <c r="H17" s="54">
        <v>0</v>
      </c>
      <c r="I17" s="135">
        <v>0</v>
      </c>
      <c r="J17" s="53">
        <v>0</v>
      </c>
      <c r="K17" s="54">
        <v>0</v>
      </c>
      <c r="L17" s="54">
        <v>0</v>
      </c>
    </row>
    <row r="18" spans="1:14" x14ac:dyDescent="0.25">
      <c r="A18" s="61" t="s">
        <v>30</v>
      </c>
      <c r="C18" s="53">
        <v>0</v>
      </c>
      <c r="D18" s="54">
        <v>0</v>
      </c>
      <c r="E18" s="54">
        <v>0</v>
      </c>
      <c r="F18" s="135">
        <v>0</v>
      </c>
      <c r="G18" s="53">
        <v>0</v>
      </c>
      <c r="H18" s="54">
        <v>0</v>
      </c>
      <c r="I18" s="135">
        <v>0</v>
      </c>
      <c r="J18" s="53">
        <v>0</v>
      </c>
      <c r="K18" s="54">
        <v>0</v>
      </c>
      <c r="L18" s="54"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61" t="s">
        <v>105</v>
      </c>
      <c r="C20" s="126"/>
      <c r="D20" s="18"/>
      <c r="E20" s="18"/>
      <c r="F20" s="18"/>
      <c r="G20" s="118"/>
      <c r="H20" s="18"/>
      <c r="J20" s="182"/>
      <c r="K20" s="73"/>
      <c r="L20" s="74"/>
      <c r="M20" s="79" t="s">
        <v>66</v>
      </c>
      <c r="N20" s="52"/>
    </row>
    <row r="21" spans="1:14" x14ac:dyDescent="0.25">
      <c r="A21" s="61" t="s">
        <v>29</v>
      </c>
      <c r="C21" s="124">
        <v>-125403.16409999998</v>
      </c>
      <c r="D21" s="136">
        <f>ROUND('[5]May 2019 Combined'!$F$23,2)</f>
        <v>29032.6</v>
      </c>
      <c r="E21" s="136">
        <f>ROUND('[5]June 2019 Combined'!$F$23,2)</f>
        <v>38925.21</v>
      </c>
      <c r="F21" s="137">
        <f>ROUND('[5]July 2019 Combined'!$F$23,2)</f>
        <v>54570.79</v>
      </c>
      <c r="G21" s="218">
        <f>ROUND('[5]August 2019 Combined'!$F$23,2)</f>
        <v>-3715.22</v>
      </c>
      <c r="H21" s="178">
        <f>ROUND('[5]September 2019 Combined'!$F$23,2)</f>
        <v>-3294.06</v>
      </c>
      <c r="I21" s="179">
        <f>ROUND('[5]October 2019 Combined'!$F$23,2)</f>
        <v>-2611.15</v>
      </c>
      <c r="J21" s="53">
        <f>+$M21*'PCR Cycle 1'!J26</f>
        <v>-2072.6026100000004</v>
      </c>
      <c r="K21" s="54">
        <f>+$M21*'PCR Cycle 1'!K26</f>
        <v>-2666.3320100000001</v>
      </c>
      <c r="L21" s="54">
        <f>+$M21*'PCR Cycle 1'!L26*0</f>
        <v>0</v>
      </c>
      <c r="M21" s="88">
        <v>-1.0000000000000001E-5</v>
      </c>
    </row>
    <row r="22" spans="1:14" x14ac:dyDescent="0.25">
      <c r="A22" s="61" t="s">
        <v>30</v>
      </c>
      <c r="C22" s="124">
        <v>-195754.30446000001</v>
      </c>
      <c r="D22" s="136">
        <f>ROUND('[5]May 2019 Combined'!$F$24,2)</f>
        <v>59960.56</v>
      </c>
      <c r="E22" s="136">
        <f>ROUND('[5]June 2019 Combined'!$F$24,2)</f>
        <v>57667.45</v>
      </c>
      <c r="F22" s="137">
        <f>ROUND('[5]July 2019 Combined'!$F$24,2)</f>
        <v>74206.52</v>
      </c>
      <c r="G22" s="218">
        <f>ROUND('[5]August 2019 Combined'!$F$24,2)</f>
        <v>3722.17</v>
      </c>
      <c r="H22" s="178">
        <f>ROUND('[5]September 2019 Combined'!$F$24,2)</f>
        <v>3067.62</v>
      </c>
      <c r="I22" s="179">
        <f>ROUND('[5]October 2019 Combined'!$F$24,2)</f>
        <v>2026.76</v>
      </c>
      <c r="J22" s="53">
        <f>+$M22*'PCR Cycle 1'!J27</f>
        <v>719.20701000000008</v>
      </c>
      <c r="K22" s="54">
        <f>+$M22*'PCR Cycle 1'!K27</f>
        <v>805.47726000000011</v>
      </c>
      <c r="L22" s="54">
        <f>+$M22*'PCR Cycle 1'!L27*0</f>
        <v>0</v>
      </c>
      <c r="M22" s="88">
        <v>1.0000000000000001E-5</v>
      </c>
    </row>
    <row r="23" spans="1:14" x14ac:dyDescent="0.25">
      <c r="C23" s="83"/>
      <c r="D23" s="18"/>
      <c r="E23" s="18"/>
      <c r="F23" s="18"/>
      <c r="G23" s="118"/>
      <c r="H23" s="18"/>
      <c r="J23" s="12"/>
      <c r="K23" s="71"/>
      <c r="L23" s="13"/>
      <c r="M23" s="4"/>
    </row>
    <row r="24" spans="1:14" ht="15.75" thickBot="1" x14ac:dyDescent="0.3">
      <c r="A24" s="61" t="s">
        <v>106</v>
      </c>
      <c r="C24" s="130">
        <v>-1472.34</v>
      </c>
      <c r="D24" s="139">
        <v>878.87</v>
      </c>
      <c r="E24" s="139">
        <v>589.29</v>
      </c>
      <c r="F24" s="140">
        <v>241.17000000000002</v>
      </c>
      <c r="G24" s="39">
        <v>49.28</v>
      </c>
      <c r="H24" s="149">
        <v>47.839999999999996</v>
      </c>
      <c r="I24" s="206">
        <v>46.67</v>
      </c>
      <c r="J24" s="184">
        <v>46.75</v>
      </c>
      <c r="K24" s="173">
        <v>45.64</v>
      </c>
      <c r="L24" s="100"/>
    </row>
    <row r="25" spans="1:14" x14ac:dyDescent="0.25">
      <c r="C25" s="126"/>
      <c r="D25" s="44"/>
      <c r="E25" s="44"/>
      <c r="F25" s="44"/>
      <c r="G25" s="41"/>
      <c r="H25" s="44"/>
      <c r="I25" s="17"/>
      <c r="J25" s="10"/>
      <c r="K25" s="17"/>
      <c r="L25" s="11"/>
    </row>
    <row r="26" spans="1:14" x14ac:dyDescent="0.25">
      <c r="A26" s="61" t="s">
        <v>68</v>
      </c>
      <c r="C26" s="126"/>
      <c r="D26" s="44"/>
      <c r="E26" s="44"/>
      <c r="F26" s="44"/>
      <c r="G26" s="41"/>
      <c r="H26" s="44"/>
      <c r="I26" s="17"/>
      <c r="J26" s="10"/>
      <c r="K26" s="17"/>
      <c r="L26" s="11"/>
    </row>
    <row r="27" spans="1:14" x14ac:dyDescent="0.25">
      <c r="A27" s="61" t="s">
        <v>29</v>
      </c>
      <c r="C27" s="53">
        <f t="shared" ref="C27" si="3">C17-C21</f>
        <v>125403.16409999998</v>
      </c>
      <c r="D27" s="54">
        <f t="shared" ref="D27:L27" si="4">D17-D21</f>
        <v>-29032.6</v>
      </c>
      <c r="E27" s="54">
        <f t="shared" si="4"/>
        <v>-38925.21</v>
      </c>
      <c r="F27" s="135">
        <f t="shared" si="4"/>
        <v>-54570.79</v>
      </c>
      <c r="G27" s="53">
        <f t="shared" si="4"/>
        <v>3715.22</v>
      </c>
      <c r="H27" s="54">
        <f t="shared" si="4"/>
        <v>3294.06</v>
      </c>
      <c r="I27" s="135">
        <f t="shared" si="4"/>
        <v>2611.15</v>
      </c>
      <c r="J27" s="53">
        <f t="shared" si="4"/>
        <v>2072.6026100000004</v>
      </c>
      <c r="K27" s="54">
        <f t="shared" si="4"/>
        <v>2666.3320100000001</v>
      </c>
      <c r="L27" s="64">
        <f t="shared" si="4"/>
        <v>0</v>
      </c>
    </row>
    <row r="28" spans="1:14" x14ac:dyDescent="0.25">
      <c r="A28" s="61" t="s">
        <v>30</v>
      </c>
      <c r="C28" s="53">
        <f t="shared" ref="C28" si="5">C18-C22</f>
        <v>195754.30446000001</v>
      </c>
      <c r="D28" s="54">
        <f t="shared" ref="D28:L28" si="6">D18-D22</f>
        <v>-59960.56</v>
      </c>
      <c r="E28" s="54">
        <f t="shared" si="6"/>
        <v>-57667.45</v>
      </c>
      <c r="F28" s="135">
        <f t="shared" si="6"/>
        <v>-74206.52</v>
      </c>
      <c r="G28" s="53">
        <f t="shared" si="6"/>
        <v>-3722.17</v>
      </c>
      <c r="H28" s="54">
        <f t="shared" si="6"/>
        <v>-3067.62</v>
      </c>
      <c r="I28" s="135">
        <f t="shared" si="6"/>
        <v>-2026.76</v>
      </c>
      <c r="J28" s="53">
        <f t="shared" si="6"/>
        <v>-719.20701000000008</v>
      </c>
      <c r="K28" s="54">
        <f t="shared" si="6"/>
        <v>-805.47726000000011</v>
      </c>
      <c r="L28" s="64">
        <f t="shared" si="6"/>
        <v>0</v>
      </c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ht="15.75" thickBot="1" x14ac:dyDescent="0.3">
      <c r="A30" s="61" t="s">
        <v>69</v>
      </c>
      <c r="C30" s="131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B31" s="143">
        <v>-12113.234100000056</v>
      </c>
      <c r="C31" s="54">
        <f>B31+C27+B36</f>
        <v>113289.92999999992</v>
      </c>
      <c r="D31" s="54">
        <f t="shared" ref="D31:L32" si="7">C31+D27+C36</f>
        <v>83762.339999999924</v>
      </c>
      <c r="E31" s="54">
        <f t="shared" si="7"/>
        <v>45139.729999999923</v>
      </c>
      <c r="F31" s="135">
        <f t="shared" si="7"/>
        <v>-9234.3400000000784</v>
      </c>
      <c r="G31" s="53">
        <f t="shared" si="7"/>
        <v>-5465.6500000000788</v>
      </c>
      <c r="H31" s="54">
        <f t="shared" si="7"/>
        <v>-2192.4800000000787</v>
      </c>
      <c r="I31" s="135">
        <f t="shared" si="7"/>
        <v>408.12999999992138</v>
      </c>
      <c r="J31" s="53">
        <f t="shared" si="7"/>
        <v>2478.3926099999217</v>
      </c>
      <c r="K31" s="54">
        <f t="shared" si="7"/>
        <v>5148.484619999922</v>
      </c>
      <c r="L31" s="64">
        <f t="shared" si="7"/>
        <v>5158.4346199999218</v>
      </c>
    </row>
    <row r="32" spans="1:14" ht="15.75" thickBot="1" x14ac:dyDescent="0.3">
      <c r="A32" s="61" t="s">
        <v>30</v>
      </c>
      <c r="B32" s="144">
        <v>22361.915540000013</v>
      </c>
      <c r="C32" s="54">
        <f>B32+C28+B37</f>
        <v>218116.22000000003</v>
      </c>
      <c r="D32" s="54">
        <f t="shared" si="7"/>
        <v>157178.31000000003</v>
      </c>
      <c r="E32" s="54">
        <f t="shared" si="7"/>
        <v>100087.13000000003</v>
      </c>
      <c r="F32" s="135">
        <f t="shared" si="7"/>
        <v>26273.180000000029</v>
      </c>
      <c r="G32" s="53">
        <f t="shared" si="7"/>
        <v>22738.730000000032</v>
      </c>
      <c r="H32" s="54">
        <f t="shared" si="7"/>
        <v>19741.280000000032</v>
      </c>
      <c r="I32" s="135">
        <f t="shared" si="7"/>
        <v>17772.900000000034</v>
      </c>
      <c r="J32" s="53">
        <f t="shared" si="7"/>
        <v>17102.702990000031</v>
      </c>
      <c r="K32" s="54">
        <f t="shared" si="7"/>
        <v>16342.77573000003</v>
      </c>
      <c r="L32" s="64">
        <f t="shared" si="7"/>
        <v>16386.455730000031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x14ac:dyDescent="0.25">
      <c r="A34" s="52" t="s">
        <v>107</v>
      </c>
      <c r="B34" s="52"/>
      <c r="C34" s="131"/>
      <c r="D34" s="103">
        <f>+'PCR Cycle 1'!D43</f>
        <v>3.0790499999999998E-3</v>
      </c>
      <c r="E34" s="103">
        <f>+'PCR Cycle 1'!E43</f>
        <v>3.0450199999999998E-3</v>
      </c>
      <c r="F34" s="103">
        <f>+'PCR Cycle 1'!F43</f>
        <v>2.9619300000000002E-3</v>
      </c>
      <c r="G34" s="105">
        <f>+'PCR Cycle 1'!G43</f>
        <v>2.8524499999999999E-3</v>
      </c>
      <c r="H34" s="103">
        <f>+'PCR Cycle 1'!H43</f>
        <v>2.7438599999999999E-3</v>
      </c>
      <c r="I34" s="104">
        <f>+'PCR Cycle 1'!I43</f>
        <v>2.60867E-3</v>
      </c>
      <c r="J34" s="105">
        <f>+I34</f>
        <v>2.60867E-3</v>
      </c>
      <c r="K34" s="103">
        <f>+J34</f>
        <v>2.60867E-3</v>
      </c>
      <c r="L34" s="119"/>
    </row>
    <row r="35" spans="1:13" x14ac:dyDescent="0.25">
      <c r="A35" s="52" t="s">
        <v>44</v>
      </c>
      <c r="B35" s="52"/>
      <c r="C35" s="126"/>
      <c r="D35" s="44"/>
      <c r="E35" s="44"/>
      <c r="F35" s="44"/>
      <c r="G35" s="41"/>
      <c r="H35" s="44"/>
      <c r="I35" s="17"/>
      <c r="J35" s="10"/>
      <c r="K35" s="17"/>
      <c r="L35" s="11"/>
      <c r="M35" s="87"/>
    </row>
    <row r="36" spans="1:13" x14ac:dyDescent="0.25">
      <c r="A36" s="61" t="s">
        <v>29</v>
      </c>
      <c r="C36" s="53">
        <v>-494.99</v>
      </c>
      <c r="D36" s="54">
        <f>ROUND((C31+C36+D27/2)*D$34,2)</f>
        <v>302.60000000000002</v>
      </c>
      <c r="E36" s="54">
        <f t="shared" ref="E36:K37" si="8">ROUND((D31+D36+E27/2)*E$34,2)</f>
        <v>196.72</v>
      </c>
      <c r="F36" s="135">
        <f t="shared" si="8"/>
        <v>53.47</v>
      </c>
      <c r="G36" s="53">
        <f t="shared" si="8"/>
        <v>-20.89</v>
      </c>
      <c r="H36" s="150">
        <f t="shared" si="8"/>
        <v>-10.54</v>
      </c>
      <c r="I36" s="207">
        <f t="shared" si="8"/>
        <v>-2.34</v>
      </c>
      <c r="J36" s="53">
        <f t="shared" si="8"/>
        <v>3.76</v>
      </c>
      <c r="K36" s="150">
        <f t="shared" si="8"/>
        <v>9.9499999999999993</v>
      </c>
      <c r="L36" s="64"/>
    </row>
    <row r="37" spans="1:13" ht="15.75" thickBot="1" x14ac:dyDescent="0.3">
      <c r="A37" s="61" t="s">
        <v>30</v>
      </c>
      <c r="C37" s="141">
        <v>-977.34999999999991</v>
      </c>
      <c r="D37" s="54">
        <f>ROUND((C32+C37+D28/2)*D$34,2)</f>
        <v>576.27</v>
      </c>
      <c r="E37" s="54">
        <f t="shared" si="8"/>
        <v>392.57</v>
      </c>
      <c r="F37" s="135">
        <f t="shared" si="8"/>
        <v>187.72</v>
      </c>
      <c r="G37" s="53">
        <f t="shared" si="8"/>
        <v>70.17</v>
      </c>
      <c r="H37" s="150">
        <f t="shared" si="8"/>
        <v>58.38</v>
      </c>
      <c r="I37" s="207">
        <f t="shared" si="8"/>
        <v>49.01</v>
      </c>
      <c r="J37" s="53">
        <f t="shared" si="8"/>
        <v>45.55</v>
      </c>
      <c r="K37" s="150">
        <f t="shared" si="8"/>
        <v>43.68</v>
      </c>
      <c r="L37" s="64"/>
    </row>
    <row r="38" spans="1:13" ht="16.5" thickTop="1" thickBot="1" x14ac:dyDescent="0.3">
      <c r="A38" s="69" t="s">
        <v>25</v>
      </c>
      <c r="B38" s="69"/>
      <c r="C38" s="142">
        <v>0</v>
      </c>
      <c r="D38" s="45">
        <f t="shared" ref="D38:I38" si="9">SUM(D36:D37)+SUM(D31:D32)-D41</f>
        <v>0</v>
      </c>
      <c r="E38" s="45">
        <f t="shared" si="9"/>
        <v>0</v>
      </c>
      <c r="F38" s="65">
        <f t="shared" ref="F38:H38" si="10">SUM(F36:F37)+SUM(F31:F32)-F41</f>
        <v>4.0017766878008842E-11</v>
      </c>
      <c r="G38" s="151">
        <f t="shared" si="10"/>
        <v>4.3655745685100555E-11</v>
      </c>
      <c r="H38" s="45">
        <f t="shared" si="10"/>
        <v>4.3655745685100555E-11</v>
      </c>
      <c r="I38" s="65">
        <f t="shared" si="9"/>
        <v>4.3655745685100555E-11</v>
      </c>
      <c r="J38" s="66">
        <f t="shared" ref="J38:L38" si="11">SUM(J36:J37)+SUM(J31:J32)-J41</f>
        <v>4.3655745685100555E-11</v>
      </c>
      <c r="K38" s="45">
        <f t="shared" si="11"/>
        <v>4.3655745685100555E-11</v>
      </c>
      <c r="L38" s="123">
        <f t="shared" si="11"/>
        <v>4.0017766878008842E-11</v>
      </c>
    </row>
    <row r="39" spans="1:13" ht="16.5" thickTop="1" thickBot="1" x14ac:dyDescent="0.3">
      <c r="A39" s="69" t="s">
        <v>26</v>
      </c>
      <c r="B39" s="69"/>
      <c r="C39" s="134">
        <v>0</v>
      </c>
      <c r="D39" s="45">
        <f>SUM(D36:D37)-D24</f>
        <v>0</v>
      </c>
      <c r="E39" s="45">
        <f t="shared" ref="E39:I39" si="12">SUM(E36:E37)-E24</f>
        <v>0</v>
      </c>
      <c r="F39" s="65">
        <f t="shared" ref="F39:H39" si="13">SUM(F36:F37)-F24</f>
        <v>1.999999999998181E-2</v>
      </c>
      <c r="G39" s="66">
        <f t="shared" si="13"/>
        <v>0</v>
      </c>
      <c r="H39" s="45">
        <f t="shared" si="13"/>
        <v>0</v>
      </c>
      <c r="I39" s="65">
        <f t="shared" si="12"/>
        <v>0</v>
      </c>
      <c r="J39" s="66">
        <f t="shared" ref="J39:L39" si="14">SUM(J36:J37)-J24</f>
        <v>2.5599999999999952</v>
      </c>
      <c r="K39" s="45">
        <f t="shared" si="14"/>
        <v>7.9899999999999949</v>
      </c>
      <c r="L39" s="123">
        <f t="shared" si="14"/>
        <v>0</v>
      </c>
    </row>
    <row r="40" spans="1:13" ht="16.5" thickTop="1" thickBot="1" x14ac:dyDescent="0.3">
      <c r="C40" s="126"/>
      <c r="D40" s="17"/>
      <c r="E40" s="17"/>
      <c r="F40" s="17"/>
      <c r="G40" s="10"/>
      <c r="H40" s="17"/>
      <c r="I40" s="17"/>
      <c r="J40" s="10"/>
      <c r="K40" s="17"/>
      <c r="L40" s="11"/>
    </row>
    <row r="41" spans="1:13" ht="15.75" thickBot="1" x14ac:dyDescent="0.3">
      <c r="A41" s="61" t="s">
        <v>42</v>
      </c>
      <c r="B41" s="146">
        <f>+B31+B32</f>
        <v>10248.681439999957</v>
      </c>
      <c r="C41" s="53">
        <f>(SUM(C17:C18)-SUM(C21:C22))+SUM(C36:C37)+B41</f>
        <v>329933.80999999994</v>
      </c>
      <c r="D41" s="54">
        <f t="shared" ref="D41:L41" si="15">(SUM(D17:D18)-SUM(D21:D22))+SUM(D36:D37)+C41</f>
        <v>241819.51999999993</v>
      </c>
      <c r="E41" s="54">
        <f t="shared" si="15"/>
        <v>145816.14999999991</v>
      </c>
      <c r="F41" s="135">
        <f t="shared" si="15"/>
        <v>17280.029999999912</v>
      </c>
      <c r="G41" s="53">
        <f t="shared" si="15"/>
        <v>17322.35999999991</v>
      </c>
      <c r="H41" s="54">
        <f t="shared" si="15"/>
        <v>17596.639999999908</v>
      </c>
      <c r="I41" s="135">
        <f t="shared" si="15"/>
        <v>18227.69999999991</v>
      </c>
      <c r="J41" s="53">
        <f t="shared" si="15"/>
        <v>19630.405599999911</v>
      </c>
      <c r="K41" s="54">
        <f t="shared" si="15"/>
        <v>21544.890349999911</v>
      </c>
      <c r="L41" s="77">
        <f t="shared" si="15"/>
        <v>21544.890349999911</v>
      </c>
    </row>
    <row r="42" spans="1:13" x14ac:dyDescent="0.25">
      <c r="C42" s="147"/>
      <c r="D42" s="71"/>
      <c r="E42" s="71"/>
      <c r="F42" s="71"/>
      <c r="G42" s="12"/>
      <c r="H42" s="71"/>
      <c r="I42" s="17"/>
      <c r="J42" s="10"/>
      <c r="K42" s="17"/>
      <c r="L42" s="11"/>
    </row>
    <row r="43" spans="1:13" ht="15.75" thickBot="1" x14ac:dyDescent="0.3">
      <c r="B43" s="17"/>
      <c r="C43" s="56"/>
      <c r="D43" s="57"/>
      <c r="E43" s="57"/>
      <c r="F43" s="57"/>
      <c r="G43" s="56"/>
      <c r="H43" s="57"/>
      <c r="I43" s="57"/>
      <c r="J43" s="56"/>
      <c r="K43" s="57"/>
      <c r="L43" s="58"/>
    </row>
    <row r="45" spans="1:13" x14ac:dyDescent="0.25">
      <c r="A45" s="85" t="s">
        <v>13</v>
      </c>
      <c r="B45" s="85"/>
      <c r="C45" s="85"/>
    </row>
    <row r="46" spans="1:13" ht="30.75" customHeight="1" x14ac:dyDescent="0.25">
      <c r="A46" s="298" t="s">
        <v>104</v>
      </c>
      <c r="B46" s="298"/>
      <c r="C46" s="298"/>
      <c r="D46" s="298"/>
      <c r="E46" s="298"/>
      <c r="F46" s="298"/>
      <c r="G46" s="298"/>
      <c r="H46" s="298"/>
      <c r="I46" s="298"/>
      <c r="J46" s="204"/>
      <c r="K46" s="204"/>
      <c r="L46" s="204"/>
    </row>
    <row r="47" spans="1:13" ht="30.75" customHeight="1" x14ac:dyDescent="0.25">
      <c r="A47" s="298" t="s">
        <v>172</v>
      </c>
      <c r="B47" s="298"/>
      <c r="C47" s="298"/>
      <c r="D47" s="298"/>
      <c r="E47" s="298"/>
      <c r="F47" s="298"/>
      <c r="G47" s="298"/>
      <c r="H47" s="298"/>
      <c r="I47" s="298"/>
      <c r="J47" s="204"/>
      <c r="K47" s="204"/>
      <c r="L47" s="204"/>
    </row>
    <row r="48" spans="1:13" x14ac:dyDescent="0.25">
      <c r="A48" s="3" t="s">
        <v>108</v>
      </c>
      <c r="B48" s="3"/>
      <c r="C48" s="3"/>
      <c r="I48" s="4"/>
    </row>
    <row r="49" spans="1:13" x14ac:dyDescent="0.25">
      <c r="A49" s="3" t="s">
        <v>157</v>
      </c>
      <c r="B49" s="3"/>
      <c r="C49" s="3"/>
      <c r="I49" s="4"/>
    </row>
    <row r="50" spans="1:13" x14ac:dyDescent="0.25">
      <c r="A50" s="3" t="s">
        <v>171</v>
      </c>
      <c r="B50" s="3"/>
      <c r="C50" s="3"/>
      <c r="I50" s="4"/>
    </row>
    <row r="51" spans="1:13" x14ac:dyDescent="0.25">
      <c r="A51" s="3" t="s">
        <v>153</v>
      </c>
      <c r="C51" s="62"/>
    </row>
    <row r="52" spans="1:13" x14ac:dyDescent="0.25">
      <c r="C52" s="62"/>
    </row>
    <row r="59" spans="1:13" x14ac:dyDescent="0.25">
      <c r="M59" s="8"/>
    </row>
  </sheetData>
  <mergeCells count="5">
    <mergeCell ref="D13:F13"/>
    <mergeCell ref="A47:I47"/>
    <mergeCell ref="A46:I46"/>
    <mergeCell ref="G13:I13"/>
    <mergeCell ref="J13:L13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3"/>
  <sheetViews>
    <sheetView workbookViewId="0"/>
  </sheetViews>
  <sheetFormatPr defaultRowHeight="15" x14ac:dyDescent="0.25"/>
  <cols>
    <col min="1" max="1" width="43.7109375" style="61" customWidth="1"/>
    <col min="2" max="2" width="14.28515625" style="61" bestFit="1" customWidth="1"/>
    <col min="3" max="3" width="14.28515625" style="61" customWidth="1"/>
    <col min="4" max="4" width="13.28515625" style="61" bestFit="1" customWidth="1"/>
    <col min="5" max="5" width="13.5703125" style="61" customWidth="1"/>
    <col min="6" max="16384" width="9.140625" style="61"/>
  </cols>
  <sheetData>
    <row r="1" spans="1:5" x14ac:dyDescent="0.25">
      <c r="A1" s="79" t="str">
        <f>+'PPC Cycle 2'!A1</f>
        <v>Evergy Missouri West, Inc. - DSIM Rider Update MEEIA 3 Filed 1-10-2020</v>
      </c>
    </row>
    <row r="2" spans="1:5" x14ac:dyDescent="0.25">
      <c r="A2" s="9" t="str">
        <f>+'PPC Cycle 2'!A2</f>
        <v>Projections for Cycle 2 January - December 2020 DSIM</v>
      </c>
    </row>
    <row r="3" spans="1:5" ht="45.75" customHeight="1" x14ac:dyDescent="0.25">
      <c r="B3" s="290" t="s">
        <v>134</v>
      </c>
      <c r="C3" s="290"/>
      <c r="D3" s="290"/>
    </row>
    <row r="4" spans="1:5" x14ac:dyDescent="0.25">
      <c r="B4" s="86"/>
      <c r="C4" s="86"/>
      <c r="D4" s="63" t="s">
        <v>20</v>
      </c>
    </row>
    <row r="5" spans="1:5" x14ac:dyDescent="0.25">
      <c r="A5" s="22" t="s">
        <v>109</v>
      </c>
      <c r="B5" s="86"/>
      <c r="C5" s="86"/>
      <c r="D5" s="221">
        <v>0</v>
      </c>
    </row>
    <row r="6" spans="1:5" x14ac:dyDescent="0.25">
      <c r="A6" s="22" t="s">
        <v>110</v>
      </c>
      <c r="B6" s="86"/>
      <c r="C6" s="86"/>
      <c r="D6" s="221">
        <v>0</v>
      </c>
    </row>
    <row r="7" spans="1:5" ht="30" x14ac:dyDescent="0.25">
      <c r="A7" s="22"/>
      <c r="B7" s="86"/>
      <c r="C7" s="86" t="s">
        <v>113</v>
      </c>
      <c r="D7" s="199"/>
    </row>
    <row r="8" spans="1:5" x14ac:dyDescent="0.25">
      <c r="A8" s="22" t="s">
        <v>29</v>
      </c>
      <c r="B8" s="86"/>
      <c r="C8" s="249">
        <v>0.5</v>
      </c>
      <c r="D8" s="36">
        <f>ROUND(SUM(D5:D6)*C8,2)</f>
        <v>0</v>
      </c>
      <c r="E8" s="4"/>
    </row>
    <row r="9" spans="1:5" x14ac:dyDescent="0.25">
      <c r="A9" s="22" t="s">
        <v>30</v>
      </c>
      <c r="B9" s="86"/>
      <c r="C9" s="249">
        <v>0.5</v>
      </c>
      <c r="D9" s="36">
        <f>ROUND(SUM(D5:D6)*C9,2)</f>
        <v>0</v>
      </c>
      <c r="E9" s="4"/>
    </row>
    <row r="10" spans="1:5" ht="15.75" thickBot="1" x14ac:dyDescent="0.3">
      <c r="A10" s="22" t="s">
        <v>6</v>
      </c>
      <c r="B10" s="86"/>
      <c r="C10" s="249">
        <f>SUM(C8:C9)</f>
        <v>1</v>
      </c>
      <c r="D10" s="24">
        <f>SUM(D8:D9)</f>
        <v>0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30.75" thickTop="1" x14ac:dyDescent="0.25">
      <c r="D12" s="271"/>
      <c r="E12" s="266" t="s">
        <v>136</v>
      </c>
    </row>
    <row r="13" spans="1:5" x14ac:dyDescent="0.25">
      <c r="A13" s="22" t="s">
        <v>137</v>
      </c>
      <c r="D13" s="36">
        <f>ROUND($D$9*E13,2)</f>
        <v>0</v>
      </c>
      <c r="E13" s="267">
        <f>+'PPC Cycle 2'!D10</f>
        <v>0.39423672897243034</v>
      </c>
    </row>
    <row r="14" spans="1:5" x14ac:dyDescent="0.25">
      <c r="A14" s="22" t="s">
        <v>138</v>
      </c>
      <c r="D14" s="36">
        <f t="shared" ref="D14:D15" si="0">ROUND($D$9*E14,2)</f>
        <v>0</v>
      </c>
      <c r="E14" s="267">
        <f>+'PPC Cycle 2'!D11</f>
        <v>0.45277339225375463</v>
      </c>
    </row>
    <row r="15" spans="1:5" ht="15.75" thickBot="1" x14ac:dyDescent="0.3">
      <c r="A15" s="22" t="s">
        <v>139</v>
      </c>
      <c r="D15" s="36">
        <f t="shared" si="0"/>
        <v>0</v>
      </c>
      <c r="E15" s="267">
        <f>+'PPC Cycle 2'!D12</f>
        <v>0.15298987877381515</v>
      </c>
    </row>
    <row r="16" spans="1:5" ht="16.5" thickTop="1" thickBot="1" x14ac:dyDescent="0.3">
      <c r="A16" s="22" t="s">
        <v>140</v>
      </c>
      <c r="D16" s="40">
        <f>SUM(D13:D15)</f>
        <v>0</v>
      </c>
      <c r="E16" s="268">
        <f>SUM(E13:E15)</f>
        <v>1</v>
      </c>
    </row>
    <row r="17" spans="1:5" ht="15.75" thickTop="1" x14ac:dyDescent="0.25">
      <c r="E17" s="4"/>
    </row>
    <row r="18" spans="1:5" x14ac:dyDescent="0.25">
      <c r="A18" s="68" t="s">
        <v>13</v>
      </c>
    </row>
    <row r="19" spans="1:5" x14ac:dyDescent="0.25">
      <c r="A19" s="3" t="s">
        <v>125</v>
      </c>
    </row>
    <row r="20" spans="1:5" x14ac:dyDescent="0.25">
      <c r="A20" s="3" t="s">
        <v>114</v>
      </c>
    </row>
    <row r="21" spans="1:5" x14ac:dyDescent="0.25">
      <c r="A21" s="3" t="s">
        <v>126</v>
      </c>
    </row>
    <row r="22" spans="1:5" x14ac:dyDescent="0.25">
      <c r="A22" s="3"/>
    </row>
    <row r="23" spans="1:5" x14ac:dyDescent="0.25">
      <c r="A23" s="3" t="s">
        <v>124</v>
      </c>
      <c r="D23" s="214">
        <v>0</v>
      </c>
    </row>
    <row r="24" spans="1:5" x14ac:dyDescent="0.25">
      <c r="D24" s="214"/>
    </row>
    <row r="25" spans="1:5" ht="45" x14ac:dyDescent="0.25">
      <c r="B25" s="86" t="s">
        <v>115</v>
      </c>
      <c r="D25" s="214"/>
    </row>
    <row r="26" spans="1:5" x14ac:dyDescent="0.25">
      <c r="A26" s="245"/>
      <c r="B26" s="246"/>
      <c r="D26" s="214">
        <f>ROUND(SUM(D$23:D25)*B26,2)</f>
        <v>0</v>
      </c>
    </row>
    <row r="27" spans="1:5" x14ac:dyDescent="0.25">
      <c r="A27" s="245"/>
      <c r="B27" s="246"/>
      <c r="D27" s="214">
        <f>ROUND(SUM(D$23:D26)*B27,2)</f>
        <v>0</v>
      </c>
    </row>
    <row r="28" spans="1:5" x14ac:dyDescent="0.25">
      <c r="A28" s="245"/>
      <c r="B28" s="246"/>
      <c r="D28" s="214">
        <f>ROUND(SUM(D$23:D27)*B28,2)</f>
        <v>0</v>
      </c>
    </row>
    <row r="29" spans="1:5" x14ac:dyDescent="0.25">
      <c r="A29" s="245"/>
      <c r="B29" s="246"/>
      <c r="D29" s="214">
        <f>ROUND(SUM(D$23:D28)*B29,2)</f>
        <v>0</v>
      </c>
    </row>
    <row r="30" spans="1:5" x14ac:dyDescent="0.25">
      <c r="A30" s="245"/>
      <c r="B30" s="247"/>
      <c r="D30" s="214">
        <f>ROUND(SUM(D$23:D29)*B30,2)</f>
        <v>0</v>
      </c>
    </row>
    <row r="31" spans="1:5" x14ac:dyDescent="0.25">
      <c r="A31" s="245"/>
      <c r="B31" s="247"/>
      <c r="D31" s="214">
        <f>ROUND(SUM(D$23:D30)*B31,2)</f>
        <v>0</v>
      </c>
    </row>
    <row r="32" spans="1:5" ht="17.25" x14ac:dyDescent="0.4">
      <c r="A32" s="245"/>
      <c r="B32" s="247"/>
      <c r="D32" s="248">
        <f>ROUND(SUM(D$23:D31)*B32,2)</f>
        <v>0</v>
      </c>
    </row>
    <row r="33" spans="1:4" x14ac:dyDescent="0.25">
      <c r="A33" s="245"/>
      <c r="D33" s="214">
        <f>SUM(D26:D32)</f>
        <v>0</v>
      </c>
    </row>
  </sheetData>
  <mergeCells count="1">
    <mergeCell ref="B3:D3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59"/>
  <sheetViews>
    <sheetView workbookViewId="0"/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+'PPC Cycle 2'!A1</f>
        <v>Evergy Missouri West, Inc. - DSIM Rider Update MEEIA 3 Filed 1-10-2020</v>
      </c>
      <c r="B1" s="3"/>
      <c r="C1" s="3"/>
    </row>
    <row r="2" spans="1:34" x14ac:dyDescent="0.25">
      <c r="D2" s="3" t="s">
        <v>121</v>
      </c>
    </row>
    <row r="3" spans="1:34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21</v>
      </c>
      <c r="K3" s="227"/>
      <c r="L3" s="227"/>
      <c r="M3" s="227"/>
      <c r="N3" s="228"/>
    </row>
    <row r="4" spans="1:34" x14ac:dyDescent="0.25">
      <c r="A4" s="22" t="s">
        <v>29</v>
      </c>
      <c r="D4" s="24">
        <f>SUM(C21:L21)</f>
        <v>-4342.5</v>
      </c>
      <c r="E4" s="24">
        <f>SUM(C17:K17)</f>
        <v>-4342.5</v>
      </c>
      <c r="F4" s="24">
        <f>E4-D4</f>
        <v>0</v>
      </c>
      <c r="G4" s="24">
        <f>+B31</f>
        <v>0</v>
      </c>
      <c r="H4" s="24">
        <f>SUM(C36:K36)</f>
        <v>0</v>
      </c>
      <c r="I4" s="36">
        <f>SUM(F4:H4)</f>
        <v>0</v>
      </c>
      <c r="J4" s="62">
        <f>+I4-L31</f>
        <v>0</v>
      </c>
      <c r="K4" s="229"/>
      <c r="L4" s="229"/>
      <c r="M4" s="229"/>
      <c r="N4" s="228"/>
    </row>
    <row r="5" spans="1:34" ht="15.75" thickBot="1" x14ac:dyDescent="0.3">
      <c r="A5" s="22" t="s">
        <v>30</v>
      </c>
      <c r="D5" s="24">
        <f>SUM(C22:L22)</f>
        <v>-4342.51</v>
      </c>
      <c r="E5" s="24">
        <f>SUM(C18:K18)</f>
        <v>-4342.51</v>
      </c>
      <c r="F5" s="24">
        <f>E5-D5</f>
        <v>0</v>
      </c>
      <c r="G5" s="24">
        <f>+B32</f>
        <v>0</v>
      </c>
      <c r="H5" s="24">
        <f>SUM(C37:K37)</f>
        <v>0</v>
      </c>
      <c r="I5" s="36">
        <f>SUM(F5:H5)</f>
        <v>0</v>
      </c>
      <c r="J5" s="62">
        <f>+I5-L32</f>
        <v>0</v>
      </c>
      <c r="K5" s="229"/>
      <c r="L5" s="229"/>
      <c r="M5" s="229"/>
      <c r="N5" s="228"/>
    </row>
    <row r="6" spans="1:34" ht="16.5" thickTop="1" thickBot="1" x14ac:dyDescent="0.3">
      <c r="D6" s="40">
        <f t="shared" ref="D6" si="0">SUM(D4:D5)</f>
        <v>-8685.01</v>
      </c>
      <c r="E6" s="40">
        <f>SUM(E4:E5)</f>
        <v>-8685.01</v>
      </c>
      <c r="F6" s="40">
        <f>SUM(F4:F5)</f>
        <v>0</v>
      </c>
      <c r="G6" s="40">
        <f>SUM(G4:G5)</f>
        <v>0</v>
      </c>
      <c r="H6" s="94">
        <f>SUM(H4:H5)</f>
        <v>0</v>
      </c>
      <c r="I6" s="40">
        <f>SUM(I4:I5)</f>
        <v>0</v>
      </c>
      <c r="K6" s="228"/>
      <c r="L6" s="228"/>
      <c r="M6" s="228"/>
      <c r="N6" s="228"/>
    </row>
    <row r="7" spans="1:34" ht="30.75" thickTop="1" x14ac:dyDescent="0.25">
      <c r="I7" s="271"/>
      <c r="J7" s="266" t="s">
        <v>154</v>
      </c>
    </row>
    <row r="8" spans="1:34" x14ac:dyDescent="0.25">
      <c r="A8" s="22" t="s">
        <v>137</v>
      </c>
      <c r="I8" s="36">
        <f>ROUND($I$5*J8,2)</f>
        <v>0</v>
      </c>
      <c r="J8" s="267">
        <f>+'PPC Cycle 2'!D10</f>
        <v>0.39423672897243034</v>
      </c>
    </row>
    <row r="9" spans="1:34" x14ac:dyDescent="0.25">
      <c r="A9" s="22" t="s">
        <v>138</v>
      </c>
      <c r="I9" s="36">
        <f t="shared" ref="I9:I10" si="1">ROUND($I$5*J9,2)</f>
        <v>0</v>
      </c>
      <c r="J9" s="267">
        <f>+'PPC Cycle 2'!D11</f>
        <v>0.45277339225375463</v>
      </c>
    </row>
    <row r="10" spans="1:34" ht="15.75" thickBot="1" x14ac:dyDescent="0.3">
      <c r="A10" s="22" t="s">
        <v>139</v>
      </c>
      <c r="I10" s="36">
        <f t="shared" si="1"/>
        <v>0</v>
      </c>
      <c r="J10" s="267">
        <f>+'PPC Cycle 2'!D12</f>
        <v>0.15298987877381515</v>
      </c>
    </row>
    <row r="11" spans="1:34" ht="16.5" thickTop="1" thickBot="1" x14ac:dyDescent="0.3">
      <c r="A11" s="22" t="s">
        <v>140</v>
      </c>
      <c r="I11" s="40">
        <f>SUM(I8:I10)</f>
        <v>0</v>
      </c>
      <c r="J11" s="268">
        <f>SUM(J8:J10)</f>
        <v>1</v>
      </c>
      <c r="U11" s="4"/>
    </row>
    <row r="12" spans="1:34" ht="16.5" thickTop="1" thickBot="1" x14ac:dyDescent="0.3"/>
    <row r="13" spans="1:34" ht="75.75" thickBot="1" x14ac:dyDescent="0.3">
      <c r="B13" s="145" t="str">
        <f>+'PCR Cycle 1'!B13</f>
        <v>Cumulative Over/Under Carryover From 06/01/2019 Filing</v>
      </c>
      <c r="C13" s="217" t="str">
        <f>+'PCR Cycle 1'!C13</f>
        <v>Reverse May-19 - October-19  Forecast From 06/01/2019 Filing</v>
      </c>
      <c r="D13" s="300" t="s">
        <v>39</v>
      </c>
      <c r="E13" s="300"/>
      <c r="F13" s="301"/>
      <c r="G13" s="291" t="s">
        <v>39</v>
      </c>
      <c r="H13" s="292"/>
      <c r="I13" s="293"/>
      <c r="J13" s="305" t="s">
        <v>9</v>
      </c>
      <c r="K13" s="306"/>
      <c r="L13" s="304"/>
    </row>
    <row r="14" spans="1:34" x14ac:dyDescent="0.25">
      <c r="C14" s="14"/>
      <c r="D14" s="20">
        <f>+'PCR Cycle 1'!D14</f>
        <v>43616</v>
      </c>
      <c r="E14" s="20">
        <f t="shared" ref="E14:L14" si="2">EOMONTH(D14,1)</f>
        <v>43646</v>
      </c>
      <c r="F14" s="20">
        <f t="shared" si="2"/>
        <v>43677</v>
      </c>
      <c r="G14" s="14">
        <f t="shared" si="2"/>
        <v>43708</v>
      </c>
      <c r="H14" s="20">
        <f t="shared" si="2"/>
        <v>43738</v>
      </c>
      <c r="I14" s="20">
        <f t="shared" si="2"/>
        <v>43769</v>
      </c>
      <c r="J14" s="14">
        <f t="shared" si="2"/>
        <v>43799</v>
      </c>
      <c r="K14" s="20">
        <f t="shared" si="2"/>
        <v>43830</v>
      </c>
      <c r="L14" s="122">
        <f t="shared" si="2"/>
        <v>43861</v>
      </c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s="61" t="s">
        <v>122</v>
      </c>
      <c r="C16" s="126"/>
      <c r="D16" s="44"/>
      <c r="E16" s="44"/>
      <c r="F16" s="44"/>
      <c r="G16" s="12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v>0</v>
      </c>
      <c r="D17" s="54">
        <v>0</v>
      </c>
      <c r="E17" s="54">
        <v>0</v>
      </c>
      <c r="F17" s="135">
        <v>0</v>
      </c>
      <c r="G17" s="53">
        <f>+[10]OA!D8</f>
        <v>-4342.5</v>
      </c>
      <c r="H17" s="54">
        <v>0</v>
      </c>
      <c r="I17" s="135">
        <v>0</v>
      </c>
      <c r="J17" s="53">
        <v>0</v>
      </c>
      <c r="K17" s="54">
        <v>0</v>
      </c>
      <c r="L17" s="54">
        <v>0</v>
      </c>
    </row>
    <row r="18" spans="1:14" x14ac:dyDescent="0.25">
      <c r="A18" s="61" t="s">
        <v>30</v>
      </c>
      <c r="C18" s="53">
        <v>0</v>
      </c>
      <c r="D18" s="54">
        <v>0</v>
      </c>
      <c r="E18" s="54">
        <v>0</v>
      </c>
      <c r="F18" s="135">
        <v>0</v>
      </c>
      <c r="G18" s="53">
        <f>+[10]OA!D9</f>
        <v>-4342.51</v>
      </c>
      <c r="H18" s="54">
        <v>0</v>
      </c>
      <c r="I18" s="135">
        <v>0</v>
      </c>
      <c r="J18" s="53">
        <v>0</v>
      </c>
      <c r="K18" s="54">
        <v>0</v>
      </c>
      <c r="L18" s="54"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61" t="s">
        <v>123</v>
      </c>
      <c r="C20" s="126"/>
      <c r="D20" s="18"/>
      <c r="E20" s="18"/>
      <c r="F20" s="18"/>
      <c r="G20" s="253"/>
      <c r="H20" s="18"/>
      <c r="J20" s="182"/>
      <c r="K20" s="73"/>
      <c r="L20" s="74"/>
      <c r="M20" s="79" t="s">
        <v>66</v>
      </c>
      <c r="N20" s="52"/>
    </row>
    <row r="21" spans="1:14" x14ac:dyDescent="0.25">
      <c r="A21" s="61" t="s">
        <v>29</v>
      </c>
      <c r="C21" s="124">
        <v>0</v>
      </c>
      <c r="D21" s="136">
        <v>0</v>
      </c>
      <c r="E21" s="136">
        <v>0</v>
      </c>
      <c r="F21" s="137">
        <v>0</v>
      </c>
      <c r="G21" s="16">
        <f>ROUND('[5]August 2019 Combined'!$F$38,2)</f>
        <v>-4342.5</v>
      </c>
      <c r="H21" s="178">
        <v>0</v>
      </c>
      <c r="I21" s="179">
        <v>0</v>
      </c>
      <c r="J21" s="53">
        <f>+$M21*'PCR Cycle 1'!J26</f>
        <v>0</v>
      </c>
      <c r="K21" s="54">
        <f>+$M21*'PCR Cycle 1'!K26</f>
        <v>0</v>
      </c>
      <c r="L21" s="54">
        <f>+$M21*'PCR Cycle 1'!L26</f>
        <v>0</v>
      </c>
      <c r="M21" s="88">
        <v>0</v>
      </c>
    </row>
    <row r="22" spans="1:14" x14ac:dyDescent="0.25">
      <c r="A22" s="61" t="s">
        <v>30</v>
      </c>
      <c r="C22" s="124">
        <v>0</v>
      </c>
      <c r="D22" s="136">
        <v>0</v>
      </c>
      <c r="E22" s="136">
        <v>0</v>
      </c>
      <c r="F22" s="137">
        <v>0</v>
      </c>
      <c r="G22" s="16">
        <f>ROUND('[5]August 2019 Combined'!$F$39,2)</f>
        <v>-4342.51</v>
      </c>
      <c r="H22" s="178">
        <v>0</v>
      </c>
      <c r="I22" s="179">
        <v>0</v>
      </c>
      <c r="J22" s="53">
        <f>+$M22*'PCR Cycle 1'!J27</f>
        <v>0</v>
      </c>
      <c r="K22" s="54">
        <f>+$M22*'PCR Cycle 1'!K27</f>
        <v>0</v>
      </c>
      <c r="L22" s="54">
        <f>+$M22*'PCR Cycle 1'!L27</f>
        <v>0</v>
      </c>
      <c r="M22" s="88">
        <v>0</v>
      </c>
    </row>
    <row r="23" spans="1:14" x14ac:dyDescent="0.25">
      <c r="C23" s="83"/>
      <c r="D23" s="18"/>
      <c r="E23" s="18"/>
      <c r="F23" s="18"/>
      <c r="G23" s="252"/>
      <c r="H23" s="18"/>
      <c r="J23" s="12"/>
      <c r="K23" s="71"/>
      <c r="L23" s="13"/>
      <c r="M23" s="4"/>
    </row>
    <row r="24" spans="1:14" ht="15.75" thickBot="1" x14ac:dyDescent="0.3">
      <c r="A24" s="61" t="s">
        <v>106</v>
      </c>
      <c r="C24" s="130">
        <v>0</v>
      </c>
      <c r="D24" s="139">
        <v>0</v>
      </c>
      <c r="E24" s="139">
        <v>0</v>
      </c>
      <c r="F24" s="140">
        <v>0</v>
      </c>
      <c r="G24" s="39">
        <v>0</v>
      </c>
      <c r="H24" s="149">
        <v>0</v>
      </c>
      <c r="I24" s="206">
        <v>0</v>
      </c>
      <c r="J24" s="184">
        <v>0</v>
      </c>
      <c r="K24" s="173">
        <v>0</v>
      </c>
      <c r="L24" s="100"/>
    </row>
    <row r="25" spans="1:14" x14ac:dyDescent="0.25">
      <c r="C25" s="126"/>
      <c r="D25" s="44"/>
      <c r="E25" s="44"/>
      <c r="F25" s="44"/>
      <c r="G25" s="41"/>
      <c r="H25" s="44"/>
      <c r="I25" s="17"/>
      <c r="J25" s="10"/>
      <c r="K25" s="17"/>
      <c r="L25" s="11"/>
    </row>
    <row r="26" spans="1:14" x14ac:dyDescent="0.25">
      <c r="A26" s="61" t="s">
        <v>68</v>
      </c>
      <c r="C26" s="126"/>
      <c r="D26" s="44"/>
      <c r="E26" s="44"/>
      <c r="F26" s="44"/>
      <c r="G26" s="41"/>
      <c r="H26" s="44"/>
      <c r="I26" s="17"/>
      <c r="J26" s="10"/>
      <c r="K26" s="17"/>
      <c r="L26" s="11"/>
    </row>
    <row r="27" spans="1:14" x14ac:dyDescent="0.25">
      <c r="A27" s="61" t="s">
        <v>29</v>
      </c>
      <c r="C27" s="53">
        <f t="shared" ref="C27:L28" si="3">C17-C21</f>
        <v>0</v>
      </c>
      <c r="D27" s="54">
        <f t="shared" si="3"/>
        <v>0</v>
      </c>
      <c r="E27" s="54">
        <f t="shared" si="3"/>
        <v>0</v>
      </c>
      <c r="F27" s="135">
        <f t="shared" si="3"/>
        <v>0</v>
      </c>
      <c r="G27" s="53">
        <f t="shared" si="3"/>
        <v>0</v>
      </c>
      <c r="H27" s="54">
        <f t="shared" si="3"/>
        <v>0</v>
      </c>
      <c r="I27" s="135">
        <f t="shared" si="3"/>
        <v>0</v>
      </c>
      <c r="J27" s="53">
        <f t="shared" si="3"/>
        <v>0</v>
      </c>
      <c r="K27" s="54">
        <f t="shared" si="3"/>
        <v>0</v>
      </c>
      <c r="L27" s="64">
        <f t="shared" si="3"/>
        <v>0</v>
      </c>
    </row>
    <row r="28" spans="1:14" x14ac:dyDescent="0.25">
      <c r="A28" s="61" t="s">
        <v>30</v>
      </c>
      <c r="C28" s="53">
        <f t="shared" si="3"/>
        <v>0</v>
      </c>
      <c r="D28" s="54">
        <f t="shared" si="3"/>
        <v>0</v>
      </c>
      <c r="E28" s="54">
        <f t="shared" si="3"/>
        <v>0</v>
      </c>
      <c r="F28" s="135">
        <f t="shared" si="3"/>
        <v>0</v>
      </c>
      <c r="G28" s="53">
        <f t="shared" si="3"/>
        <v>0</v>
      </c>
      <c r="H28" s="54">
        <f t="shared" si="3"/>
        <v>0</v>
      </c>
      <c r="I28" s="135">
        <f t="shared" si="3"/>
        <v>0</v>
      </c>
      <c r="J28" s="53">
        <f t="shared" si="3"/>
        <v>0</v>
      </c>
      <c r="K28" s="54">
        <f t="shared" si="3"/>
        <v>0</v>
      </c>
      <c r="L28" s="64">
        <f t="shared" si="3"/>
        <v>0</v>
      </c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ht="15.75" thickBot="1" x14ac:dyDescent="0.3">
      <c r="A30" s="61" t="s">
        <v>69</v>
      </c>
      <c r="C30" s="131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B31" s="143">
        <v>0</v>
      </c>
      <c r="C31" s="54">
        <f>B31+C27+B36</f>
        <v>0</v>
      </c>
      <c r="D31" s="54">
        <f t="shared" ref="D31:L32" si="4">C31+D27+C36</f>
        <v>0</v>
      </c>
      <c r="E31" s="54">
        <f t="shared" si="4"/>
        <v>0</v>
      </c>
      <c r="F31" s="135">
        <f t="shared" si="4"/>
        <v>0</v>
      </c>
      <c r="G31" s="53">
        <f t="shared" si="4"/>
        <v>0</v>
      </c>
      <c r="H31" s="54">
        <f t="shared" si="4"/>
        <v>0</v>
      </c>
      <c r="I31" s="135">
        <f t="shared" si="4"/>
        <v>0</v>
      </c>
      <c r="J31" s="53">
        <f t="shared" si="4"/>
        <v>0</v>
      </c>
      <c r="K31" s="54">
        <f t="shared" si="4"/>
        <v>0</v>
      </c>
      <c r="L31" s="64">
        <f t="shared" si="4"/>
        <v>0</v>
      </c>
    </row>
    <row r="32" spans="1:14" ht="15.75" thickBot="1" x14ac:dyDescent="0.3">
      <c r="A32" s="61" t="s">
        <v>30</v>
      </c>
      <c r="B32" s="144">
        <v>0</v>
      </c>
      <c r="C32" s="54">
        <f>B32+C28+B37</f>
        <v>0</v>
      </c>
      <c r="D32" s="54">
        <f t="shared" si="4"/>
        <v>0</v>
      </c>
      <c r="E32" s="54">
        <f t="shared" si="4"/>
        <v>0</v>
      </c>
      <c r="F32" s="135">
        <f t="shared" si="4"/>
        <v>0</v>
      </c>
      <c r="G32" s="53">
        <f t="shared" si="4"/>
        <v>0</v>
      </c>
      <c r="H32" s="54">
        <f t="shared" si="4"/>
        <v>0</v>
      </c>
      <c r="I32" s="135">
        <f t="shared" si="4"/>
        <v>0</v>
      </c>
      <c r="J32" s="53">
        <f t="shared" si="4"/>
        <v>0</v>
      </c>
      <c r="K32" s="54">
        <f t="shared" si="4"/>
        <v>0</v>
      </c>
      <c r="L32" s="64">
        <f t="shared" si="4"/>
        <v>0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x14ac:dyDescent="0.25">
      <c r="A34" s="52" t="s">
        <v>107</v>
      </c>
      <c r="B34" s="52"/>
      <c r="C34" s="131"/>
      <c r="D34" s="103">
        <f>+'PCR Cycle 1'!D43</f>
        <v>3.0790499999999998E-3</v>
      </c>
      <c r="E34" s="103">
        <f>+'PCR Cycle 1'!E43</f>
        <v>3.0450199999999998E-3</v>
      </c>
      <c r="F34" s="103">
        <f>+'PCR Cycle 1'!F43</f>
        <v>2.9619300000000002E-3</v>
      </c>
      <c r="G34" s="105">
        <f>+'PCR Cycle 1'!G43</f>
        <v>2.8524499999999999E-3</v>
      </c>
      <c r="H34" s="103">
        <f>+'PCR Cycle 1'!H43</f>
        <v>2.7438599999999999E-3</v>
      </c>
      <c r="I34" s="104">
        <f>+'PCR Cycle 1'!I43</f>
        <v>2.60867E-3</v>
      </c>
      <c r="J34" s="105">
        <f>+I34</f>
        <v>2.60867E-3</v>
      </c>
      <c r="K34" s="103">
        <f>+J34</f>
        <v>2.60867E-3</v>
      </c>
      <c r="L34" s="119"/>
    </row>
    <row r="35" spans="1:13" x14ac:dyDescent="0.25">
      <c r="A35" s="52" t="s">
        <v>44</v>
      </c>
      <c r="B35" s="52"/>
      <c r="C35" s="126"/>
      <c r="D35" s="44"/>
      <c r="E35" s="44"/>
      <c r="F35" s="44"/>
      <c r="G35" s="41"/>
      <c r="H35" s="44"/>
      <c r="I35" s="17"/>
      <c r="J35" s="10"/>
      <c r="K35" s="17"/>
      <c r="L35" s="11"/>
      <c r="M35" s="87"/>
    </row>
    <row r="36" spans="1:13" x14ac:dyDescent="0.25">
      <c r="A36" s="61" t="s">
        <v>29</v>
      </c>
      <c r="C36" s="53">
        <v>0</v>
      </c>
      <c r="D36" s="54">
        <f>ROUND((C31+C36+D27/2)*D$34,2)</f>
        <v>0</v>
      </c>
      <c r="E36" s="54">
        <f t="shared" ref="E36:K37" si="5">ROUND((D31+D36+E27/2)*E$34,2)</f>
        <v>0</v>
      </c>
      <c r="F36" s="135">
        <f t="shared" si="5"/>
        <v>0</v>
      </c>
      <c r="G36" s="53">
        <f t="shared" si="5"/>
        <v>0</v>
      </c>
      <c r="H36" s="150">
        <f t="shared" si="5"/>
        <v>0</v>
      </c>
      <c r="I36" s="207">
        <f t="shared" si="5"/>
        <v>0</v>
      </c>
      <c r="J36" s="53">
        <f t="shared" si="5"/>
        <v>0</v>
      </c>
      <c r="K36" s="150">
        <f t="shared" si="5"/>
        <v>0</v>
      </c>
      <c r="L36" s="64"/>
    </row>
    <row r="37" spans="1:13" ht="15.75" thickBot="1" x14ac:dyDescent="0.3">
      <c r="A37" s="61" t="s">
        <v>30</v>
      </c>
      <c r="C37" s="141">
        <v>0</v>
      </c>
      <c r="D37" s="54">
        <f>ROUND((C32+C37+D28/2)*D$34,2)</f>
        <v>0</v>
      </c>
      <c r="E37" s="54">
        <f t="shared" si="5"/>
        <v>0</v>
      </c>
      <c r="F37" s="135">
        <f t="shared" si="5"/>
        <v>0</v>
      </c>
      <c r="G37" s="53">
        <f t="shared" si="5"/>
        <v>0</v>
      </c>
      <c r="H37" s="150">
        <f t="shared" si="5"/>
        <v>0</v>
      </c>
      <c r="I37" s="207">
        <f t="shared" si="5"/>
        <v>0</v>
      </c>
      <c r="J37" s="53">
        <f t="shared" si="5"/>
        <v>0</v>
      </c>
      <c r="K37" s="150">
        <f t="shared" si="5"/>
        <v>0</v>
      </c>
      <c r="L37" s="64"/>
    </row>
    <row r="38" spans="1:13" ht="16.5" thickTop="1" thickBot="1" x14ac:dyDescent="0.3">
      <c r="A38" s="69" t="s">
        <v>25</v>
      </c>
      <c r="B38" s="69"/>
      <c r="C38" s="142">
        <v>0</v>
      </c>
      <c r="D38" s="45">
        <f t="shared" ref="D38:I38" si="6">SUM(D36:D37)+SUM(D31:D32)-D41</f>
        <v>0</v>
      </c>
      <c r="E38" s="45">
        <f t="shared" si="6"/>
        <v>0</v>
      </c>
      <c r="F38" s="65">
        <f t="shared" ref="F38:H38" si="7">SUM(F36:F37)+SUM(F31:F32)-F41</f>
        <v>0</v>
      </c>
      <c r="G38" s="151">
        <f t="shared" si="7"/>
        <v>0</v>
      </c>
      <c r="H38" s="45">
        <f t="shared" si="7"/>
        <v>0</v>
      </c>
      <c r="I38" s="65">
        <f t="shared" si="6"/>
        <v>0</v>
      </c>
      <c r="J38" s="66">
        <f t="shared" ref="J38:L38" si="8">SUM(J36:J37)+SUM(J31:J32)-J41</f>
        <v>0</v>
      </c>
      <c r="K38" s="45">
        <f t="shared" si="8"/>
        <v>0</v>
      </c>
      <c r="L38" s="123">
        <f t="shared" si="8"/>
        <v>0</v>
      </c>
    </row>
    <row r="39" spans="1:13" ht="16.5" thickTop="1" thickBot="1" x14ac:dyDescent="0.3">
      <c r="A39" s="69" t="s">
        <v>26</v>
      </c>
      <c r="B39" s="69"/>
      <c r="C39" s="134">
        <v>0</v>
      </c>
      <c r="D39" s="45">
        <f>SUM(D36:D37)-D24</f>
        <v>0</v>
      </c>
      <c r="E39" s="45">
        <f t="shared" ref="E39:I39" si="9">SUM(E36:E37)-E24</f>
        <v>0</v>
      </c>
      <c r="F39" s="65">
        <f t="shared" ref="F39:H39" si="10">SUM(F36:F37)-F24</f>
        <v>0</v>
      </c>
      <c r="G39" s="66">
        <f t="shared" si="10"/>
        <v>0</v>
      </c>
      <c r="H39" s="45">
        <f t="shared" si="10"/>
        <v>0</v>
      </c>
      <c r="I39" s="65">
        <f t="shared" si="9"/>
        <v>0</v>
      </c>
      <c r="J39" s="66">
        <f t="shared" ref="J39:L39" si="11">SUM(J36:J37)-J24</f>
        <v>0</v>
      </c>
      <c r="K39" s="45">
        <f t="shared" si="11"/>
        <v>0</v>
      </c>
      <c r="L39" s="123">
        <f t="shared" si="11"/>
        <v>0</v>
      </c>
    </row>
    <row r="40" spans="1:13" ht="16.5" thickTop="1" thickBot="1" x14ac:dyDescent="0.3">
      <c r="C40" s="126"/>
      <c r="D40" s="17"/>
      <c r="E40" s="17"/>
      <c r="F40" s="17"/>
      <c r="G40" s="10"/>
      <c r="H40" s="17"/>
      <c r="I40" s="17"/>
      <c r="J40" s="10"/>
      <c r="K40" s="17"/>
      <c r="L40" s="11"/>
    </row>
    <row r="41" spans="1:13" ht="15.75" thickBot="1" x14ac:dyDescent="0.3">
      <c r="A41" s="61" t="s">
        <v>42</v>
      </c>
      <c r="B41" s="146">
        <f>+B31+B32</f>
        <v>0</v>
      </c>
      <c r="C41" s="53">
        <f>(SUM(C17:C18)-SUM(C21:C22))+SUM(C36:C37)+B41</f>
        <v>0</v>
      </c>
      <c r="D41" s="54">
        <f t="shared" ref="D41:L41" si="12">(SUM(D17:D18)-SUM(D21:D22))+SUM(D36:D37)+C41</f>
        <v>0</v>
      </c>
      <c r="E41" s="54">
        <f t="shared" si="12"/>
        <v>0</v>
      </c>
      <c r="F41" s="135">
        <f t="shared" si="12"/>
        <v>0</v>
      </c>
      <c r="G41" s="53">
        <f t="shared" si="12"/>
        <v>0</v>
      </c>
      <c r="H41" s="54">
        <f t="shared" si="12"/>
        <v>0</v>
      </c>
      <c r="I41" s="135">
        <f t="shared" si="12"/>
        <v>0</v>
      </c>
      <c r="J41" s="53">
        <f t="shared" si="12"/>
        <v>0</v>
      </c>
      <c r="K41" s="54">
        <f t="shared" si="12"/>
        <v>0</v>
      </c>
      <c r="L41" s="77">
        <f t="shared" si="12"/>
        <v>0</v>
      </c>
    </row>
    <row r="42" spans="1:13" x14ac:dyDescent="0.25">
      <c r="C42" s="147"/>
      <c r="D42" s="71"/>
      <c r="E42" s="71"/>
      <c r="F42" s="71"/>
      <c r="G42" s="12"/>
      <c r="H42" s="71"/>
      <c r="I42" s="17"/>
      <c r="J42" s="10"/>
      <c r="K42" s="17"/>
      <c r="L42" s="11"/>
    </row>
    <row r="43" spans="1:13" ht="15.75" thickBot="1" x14ac:dyDescent="0.3">
      <c r="B43" s="17"/>
      <c r="C43" s="56"/>
      <c r="D43" s="57"/>
      <c r="E43" s="57"/>
      <c r="F43" s="57"/>
      <c r="G43" s="56"/>
      <c r="H43" s="57"/>
      <c r="I43" s="57"/>
      <c r="J43" s="56"/>
      <c r="K43" s="57"/>
      <c r="L43" s="58"/>
    </row>
    <row r="45" spans="1:13" x14ac:dyDescent="0.25">
      <c r="A45" s="85" t="s">
        <v>13</v>
      </c>
      <c r="B45" s="85"/>
      <c r="C45" s="85"/>
    </row>
    <row r="46" spans="1:13" x14ac:dyDescent="0.25">
      <c r="A46" s="298" t="s">
        <v>133</v>
      </c>
      <c r="B46" s="298"/>
      <c r="C46" s="298"/>
      <c r="D46" s="298"/>
      <c r="E46" s="298"/>
      <c r="F46" s="298"/>
      <c r="G46" s="298"/>
      <c r="H46" s="298"/>
      <c r="I46" s="298"/>
      <c r="J46" s="250"/>
      <c r="K46" s="250"/>
      <c r="L46" s="250"/>
    </row>
    <row r="47" spans="1:13" ht="30.75" customHeight="1" x14ac:dyDescent="0.25">
      <c r="A47" s="298" t="s">
        <v>172</v>
      </c>
      <c r="B47" s="298"/>
      <c r="C47" s="298"/>
      <c r="D47" s="298"/>
      <c r="E47" s="298"/>
      <c r="F47" s="298"/>
      <c r="G47" s="298"/>
      <c r="H47" s="298"/>
      <c r="I47" s="298"/>
      <c r="J47" s="250"/>
      <c r="K47" s="250"/>
      <c r="L47" s="250"/>
    </row>
    <row r="48" spans="1:13" x14ac:dyDescent="0.25">
      <c r="A48" s="3" t="s">
        <v>108</v>
      </c>
      <c r="B48" s="3"/>
      <c r="C48" s="3"/>
      <c r="I48" s="4"/>
    </row>
    <row r="49" spans="1:13" x14ac:dyDescent="0.25">
      <c r="A49" s="3" t="s">
        <v>157</v>
      </c>
      <c r="B49" s="3"/>
      <c r="C49" s="3"/>
      <c r="I49" s="4"/>
    </row>
    <row r="50" spans="1:13" x14ac:dyDescent="0.25">
      <c r="A50" s="3" t="s">
        <v>173</v>
      </c>
      <c r="B50" s="3"/>
      <c r="C50" s="3"/>
      <c r="I50" s="4"/>
    </row>
    <row r="51" spans="1:13" x14ac:dyDescent="0.25">
      <c r="A51" s="3" t="s">
        <v>153</v>
      </c>
      <c r="C51" s="62"/>
    </row>
    <row r="52" spans="1:13" x14ac:dyDescent="0.25">
      <c r="C52" s="62"/>
    </row>
    <row r="59" spans="1:13" x14ac:dyDescent="0.25">
      <c r="M59" s="8"/>
    </row>
  </sheetData>
  <mergeCells count="5">
    <mergeCell ref="D13:F13"/>
    <mergeCell ref="G13:I13"/>
    <mergeCell ref="J13:L13"/>
    <mergeCell ref="A46:I46"/>
    <mergeCell ref="A47:I47"/>
  </mergeCells>
  <pageMargins left="0.2" right="0.2" top="0.25" bottom="0.25" header="0.3" footer="0.3"/>
  <pageSetup scale="61" orientation="landscape" r:id="rId1"/>
  <headerFoot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3"/>
  <sheetViews>
    <sheetView workbookViewId="0">
      <selection activeCell="A2" sqref="A2"/>
    </sheetView>
  </sheetViews>
  <sheetFormatPr defaultRowHeight="15" x14ac:dyDescent="0.25"/>
  <cols>
    <col min="1" max="2" width="22" customWidth="1"/>
    <col min="3" max="3" width="17.28515625" customWidth="1"/>
    <col min="4" max="4" width="24.85546875" bestFit="1" customWidth="1"/>
    <col min="5" max="5" width="15.5703125" bestFit="1" customWidth="1"/>
    <col min="6" max="8" width="17.7109375" customWidth="1"/>
    <col min="9" max="9" width="21.42578125" customWidth="1"/>
  </cols>
  <sheetData>
    <row r="1" spans="1:32" s="61" customFormat="1" x14ac:dyDescent="0.25">
      <c r="A1" s="79" t="s">
        <v>201</v>
      </c>
    </row>
    <row r="2" spans="1:32" ht="15.75" thickBot="1" x14ac:dyDescent="0.3">
      <c r="A2" s="9" t="s">
        <v>143</v>
      </c>
    </row>
    <row r="3" spans="1:32" ht="35.25" customHeight="1" thickBot="1" x14ac:dyDescent="0.3">
      <c r="B3" s="290" t="s">
        <v>85</v>
      </c>
      <c r="C3" s="290"/>
      <c r="E3" s="291" t="s">
        <v>5</v>
      </c>
      <c r="F3" s="292"/>
      <c r="G3" s="292"/>
      <c r="H3" s="292"/>
      <c r="I3" s="293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79</v>
      </c>
      <c r="I4" s="91" t="s">
        <v>1</v>
      </c>
    </row>
    <row r="5" spans="1:32" x14ac:dyDescent="0.25">
      <c r="A5" s="22" t="s">
        <v>29</v>
      </c>
      <c r="B5" s="93">
        <f>SUM('[1]Billed kWh Sales'!E33:F33)</f>
        <v>3537420130</v>
      </c>
      <c r="C5" s="36">
        <f>SUM(F9:I9)</f>
        <v>195048.36000000002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SUM('[1]Billed kWh Sales'!$E$34:$F$36)</f>
        <v>3548210290</v>
      </c>
      <c r="C6" s="36">
        <f>SUM(F10:I10)</f>
        <v>216343.89</v>
      </c>
      <c r="D6" s="4"/>
      <c r="E6" s="25"/>
      <c r="F6" s="27">
        <v>0</v>
      </c>
      <c r="G6" s="27">
        <f>B6/SUM($B$6:$B$6)</f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7085630420</v>
      </c>
      <c r="C7" s="24">
        <f>SUM(C5:C6)</f>
        <v>411392.25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Missouri West'!$BS$159,2)</f>
        <v>176253.39</v>
      </c>
      <c r="G8" s="37">
        <f>ROUND('[2]Program Costs - Missouri West'!$BS$160,2)</f>
        <v>197548.92</v>
      </c>
      <c r="H8" s="37">
        <f>ROUND('[2]Program Costs - Missouri West'!$BS$161,2)</f>
        <v>37589.94</v>
      </c>
      <c r="I8" s="38">
        <f>ROUND('[2]Program Costs - Missouri West'!$BS$162,2)</f>
        <v>0</v>
      </c>
    </row>
    <row r="9" spans="1:32" ht="30.75" thickTop="1" x14ac:dyDescent="0.25">
      <c r="A9" s="61"/>
      <c r="B9" s="61"/>
      <c r="C9" s="61"/>
      <c r="D9" s="266" t="s">
        <v>142</v>
      </c>
      <c r="E9" s="108" t="s">
        <v>29</v>
      </c>
      <c r="F9" s="109">
        <f t="shared" ref="F9:I10" si="0">F5*F$8</f>
        <v>176253.39</v>
      </c>
      <c r="G9" s="109">
        <f t="shared" si="0"/>
        <v>0</v>
      </c>
      <c r="H9" s="109">
        <f t="shared" si="0"/>
        <v>18794.97</v>
      </c>
      <c r="I9" s="110">
        <f t="shared" si="0"/>
        <v>0</v>
      </c>
    </row>
    <row r="10" spans="1:32" ht="15.75" thickBot="1" x14ac:dyDescent="0.3">
      <c r="A10" s="22" t="s">
        <v>137</v>
      </c>
      <c r="B10" s="93">
        <f>SUM('[1]Billed kWh Sales'!E34:F34)</f>
        <v>965655896</v>
      </c>
      <c r="C10" s="36">
        <f>ROUND($C$6*D10,2)</f>
        <v>85290.71</v>
      </c>
      <c r="D10" s="267">
        <f>+'[3]Monthly TD Calc'!$CY$44</f>
        <v>0.39423672897243034</v>
      </c>
      <c r="E10" s="26" t="s">
        <v>30</v>
      </c>
      <c r="F10" s="29">
        <f t="shared" si="0"/>
        <v>0</v>
      </c>
      <c r="G10" s="29">
        <f t="shared" si="0"/>
        <v>197548.92</v>
      </c>
      <c r="H10" s="29">
        <f t="shared" si="0"/>
        <v>18794.97</v>
      </c>
      <c r="I10" s="30">
        <f t="shared" si="0"/>
        <v>0</v>
      </c>
    </row>
    <row r="11" spans="1:32" s="61" customFormat="1" x14ac:dyDescent="0.25">
      <c r="A11" s="22" t="s">
        <v>138</v>
      </c>
      <c r="B11" s="93">
        <f>SUM('[1]Billed kWh Sales'!E35:F35)</f>
        <v>1459669374</v>
      </c>
      <c r="C11" s="36">
        <f>ROUND($C$6*D11,2)</f>
        <v>97954.76</v>
      </c>
      <c r="D11" s="267">
        <f>+'[3]Monthly TD Calc'!$DA$44</f>
        <v>0.45277339225375463</v>
      </c>
    </row>
    <row r="12" spans="1:32" s="61" customFormat="1" x14ac:dyDescent="0.25">
      <c r="A12" s="22" t="s">
        <v>139</v>
      </c>
      <c r="B12" s="93">
        <f>SUM('[1]Billed kWh Sales'!E36:F36)</f>
        <v>1122885020</v>
      </c>
      <c r="C12" s="36">
        <f>ROUND($C$6*D12,2)</f>
        <v>33098.43</v>
      </c>
      <c r="D12" s="267">
        <f>+'[3]Monthly TD Calc'!$DB$44</f>
        <v>0.15298987877381515</v>
      </c>
    </row>
    <row r="13" spans="1:32" x14ac:dyDescent="0.25">
      <c r="A13" s="43" t="s">
        <v>140</v>
      </c>
      <c r="B13" s="35">
        <f>SUM(B10:B12)</f>
        <v>3548210290</v>
      </c>
      <c r="C13" s="24">
        <f>SUM(C10:C12)</f>
        <v>216343.9</v>
      </c>
      <c r="D13" s="268">
        <f>SUM(D10:D12)</f>
        <v>1</v>
      </c>
    </row>
    <row r="14" spans="1:32" x14ac:dyDescent="0.25"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68" t="s">
        <v>13</v>
      </c>
      <c r="F15" s="60"/>
      <c r="G15" s="60"/>
      <c r="H15" s="60"/>
      <c r="I15" s="60"/>
      <c r="J15" s="60"/>
    </row>
    <row r="16" spans="1:32" x14ac:dyDescent="0.25">
      <c r="A16" s="294" t="s">
        <v>151</v>
      </c>
      <c r="B16" s="294"/>
      <c r="C16" s="294"/>
      <c r="D16" s="294"/>
      <c r="E16" s="294"/>
      <c r="F16" s="294"/>
      <c r="G16" s="294"/>
      <c r="H16" s="294"/>
      <c r="I16" s="294"/>
    </row>
    <row r="17" spans="1:10" x14ac:dyDescent="0.25">
      <c r="A17" s="295" t="s">
        <v>152</v>
      </c>
      <c r="B17" s="295"/>
      <c r="C17" s="295"/>
      <c r="D17" s="295"/>
      <c r="E17" s="295"/>
      <c r="F17" s="295"/>
      <c r="G17" s="295"/>
      <c r="H17" s="295"/>
      <c r="I17" s="295"/>
    </row>
    <row r="18" spans="1:10" x14ac:dyDescent="0.25">
      <c r="A18" s="3" t="s">
        <v>141</v>
      </c>
    </row>
    <row r="27" spans="1:10" x14ac:dyDescent="0.25">
      <c r="C27" s="2"/>
    </row>
    <row r="29" spans="1:10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</row>
    <row r="30" spans="1:10" x14ac:dyDescent="0.25">
      <c r="A30" s="61"/>
      <c r="B30" s="61"/>
      <c r="C30" s="61"/>
      <c r="E30" s="61"/>
      <c r="F30" s="61"/>
      <c r="G30" s="61"/>
      <c r="H30" s="61"/>
      <c r="I30" s="61"/>
      <c r="J30" s="61"/>
    </row>
    <row r="31" spans="1:10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</row>
    <row r="49" spans="2:4" x14ac:dyDescent="0.25">
      <c r="B49" s="8"/>
      <c r="C49" s="8"/>
      <c r="D49" s="8"/>
    </row>
    <row r="53" spans="2:4" x14ac:dyDescent="0.25">
      <c r="B53" s="8"/>
      <c r="C53" s="8"/>
      <c r="D53" s="8"/>
    </row>
  </sheetData>
  <mergeCells count="4">
    <mergeCell ref="B3:C3"/>
    <mergeCell ref="E3:I3"/>
    <mergeCell ref="A16:I16"/>
    <mergeCell ref="A17:I17"/>
  </mergeCells>
  <pageMargins left="0.2" right="0.2" top="0.75" bottom="0.25" header="0.3" footer="0.3"/>
  <pageSetup scale="78" orientation="landscape" r:id="rId1"/>
  <headerFooter>
    <oddHeader>&amp;C&amp;F &amp;A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AAF4-AC69-427B-977D-FA5285A4153B}">
  <sheetPr>
    <pageSetUpPr fitToPage="1"/>
  </sheetPr>
  <dimension ref="A1:Z48"/>
  <sheetViews>
    <sheetView workbookViewId="0"/>
  </sheetViews>
  <sheetFormatPr defaultRowHeight="15" x14ac:dyDescent="0.25"/>
  <cols>
    <col min="1" max="1" width="23.42578125" style="61" customWidth="1"/>
    <col min="2" max="2" width="22" style="61" customWidth="1"/>
    <col min="3" max="3" width="17.28515625" style="61" customWidth="1"/>
    <col min="4" max="16384" width="9.140625" style="61"/>
  </cols>
  <sheetData>
    <row r="1" spans="1:26" x14ac:dyDescent="0.25">
      <c r="A1" s="79" t="str">
        <f>+'PPC Cycle 2'!A1</f>
        <v>Evergy Missouri West, Inc. - DSIM Rider Update MEEIA 3 Filed 1-10-2020</v>
      </c>
    </row>
    <row r="2" spans="1:26" x14ac:dyDescent="0.25">
      <c r="A2" s="9" t="s">
        <v>145</v>
      </c>
    </row>
    <row r="3" spans="1:26" ht="35.25" customHeight="1" x14ac:dyDescent="0.25">
      <c r="B3" s="290" t="s">
        <v>144</v>
      </c>
      <c r="C3" s="290"/>
    </row>
    <row r="4" spans="1:26" x14ac:dyDescent="0.25">
      <c r="B4" s="63" t="s">
        <v>146</v>
      </c>
    </row>
    <row r="5" spans="1:26" x14ac:dyDescent="0.25">
      <c r="A5" s="22" t="s">
        <v>29</v>
      </c>
      <c r="B5" s="273">
        <f>SUM('[4]Monthly Program Costs'!H291:I291)</f>
        <v>9136545.0800000001</v>
      </c>
    </row>
    <row r="6" spans="1:26" x14ac:dyDescent="0.25">
      <c r="A6" s="22" t="s">
        <v>137</v>
      </c>
      <c r="B6" s="273">
        <f>SUM('[4]Monthly Program Costs'!H292:I292)</f>
        <v>1537170.35</v>
      </c>
    </row>
    <row r="7" spans="1:26" x14ac:dyDescent="0.25">
      <c r="A7" s="22" t="s">
        <v>138</v>
      </c>
      <c r="B7" s="273">
        <f>SUM('[4]Monthly Program Costs'!H294:I294)</f>
        <v>2427019.85</v>
      </c>
    </row>
    <row r="8" spans="1:26" x14ac:dyDescent="0.25">
      <c r="A8" s="22" t="s">
        <v>139</v>
      </c>
      <c r="B8" s="273">
        <f>SUM('[4]Monthly Program Costs'!H295:I295)</f>
        <v>1751450.2</v>
      </c>
    </row>
    <row r="9" spans="1:26" x14ac:dyDescent="0.25">
      <c r="A9" s="43" t="s">
        <v>140</v>
      </c>
      <c r="B9" s="262">
        <f>SUM(B5:B8)</f>
        <v>14852185.479999999</v>
      </c>
    </row>
    <row r="10" spans="1:26" x14ac:dyDescent="0.25"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68" t="s">
        <v>13</v>
      </c>
    </row>
    <row r="12" spans="1:26" ht="47.25" customHeight="1" x14ac:dyDescent="0.25">
      <c r="A12" s="296" t="s">
        <v>148</v>
      </c>
      <c r="B12" s="296"/>
      <c r="C12" s="296"/>
    </row>
    <row r="13" spans="1:26" x14ac:dyDescent="0.25">
      <c r="A13" s="3"/>
    </row>
    <row r="22" spans="3:3" x14ac:dyDescent="0.25">
      <c r="C22" s="2"/>
    </row>
    <row r="44" spans="2:3" x14ac:dyDescent="0.25">
      <c r="B44" s="8"/>
      <c r="C44" s="8"/>
    </row>
    <row r="48" spans="2:3" x14ac:dyDescent="0.25">
      <c r="B48" s="8"/>
      <c r="C48" s="8"/>
    </row>
  </sheetData>
  <mergeCells count="2">
    <mergeCell ref="B3:C3"/>
    <mergeCell ref="A12:C12"/>
  </mergeCells>
  <pageMargins left="0.2" right="0.2" top="0.75" bottom="0.25" header="0.3" footer="0.3"/>
  <pageSetup scale="78" orientation="landscape" r:id="rId1"/>
  <headerFooter>
    <oddHeader>&amp;C&amp;F &amp;A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70"/>
  <sheetViews>
    <sheetView workbookViewId="0"/>
  </sheetViews>
  <sheetFormatPr defaultRowHeight="15" x14ac:dyDescent="0.25"/>
  <cols>
    <col min="1" max="1" width="54.5703125" customWidth="1"/>
    <col min="2" max="2" width="14.7109375" style="61" bestFit="1" customWidth="1"/>
    <col min="3" max="3" width="15" style="61" customWidth="1"/>
    <col min="4" max="4" width="13.85546875" customWidth="1"/>
    <col min="5" max="5" width="15.85546875" customWidth="1"/>
    <col min="6" max="6" width="17.5703125" style="61" customWidth="1"/>
    <col min="7" max="8" width="13.28515625" style="61" customWidth="1"/>
    <col min="9" max="9" width="16" customWidth="1"/>
    <col min="10" max="10" width="15.85546875" style="61" bestFit="1" customWidth="1"/>
    <col min="11" max="11" width="13.85546875" style="61" customWidth="1"/>
    <col min="12" max="12" width="16" style="61" customWidth="1"/>
    <col min="13" max="13" width="15" bestFit="1" customWidth="1"/>
    <col min="14" max="14" width="16.28515625" bestFit="1" customWidth="1"/>
    <col min="15" max="15" width="15.5703125" customWidth="1"/>
    <col min="16" max="16" width="13" customWidth="1"/>
    <col min="18" max="18" width="14.28515625" bestFit="1" customWidth="1"/>
  </cols>
  <sheetData>
    <row r="1" spans="1:31" x14ac:dyDescent="0.25">
      <c r="A1" s="3" t="str">
        <f>+'PPC Cycle 2'!A1</f>
        <v>Evergy Missouri West, Inc. - DSIM Rider Update MEEIA 3 Filed 1-10-2020</v>
      </c>
      <c r="B1" s="3"/>
      <c r="C1" s="3"/>
    </row>
    <row r="2" spans="1:31" x14ac:dyDescent="0.25">
      <c r="D2" s="3" t="s">
        <v>78</v>
      </c>
    </row>
    <row r="3" spans="1:31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70</v>
      </c>
      <c r="I3" s="6" t="s">
        <v>11</v>
      </c>
      <c r="J3" s="6" t="s">
        <v>4</v>
      </c>
    </row>
    <row r="4" spans="1:31" x14ac:dyDescent="0.25">
      <c r="A4" s="22" t="s">
        <v>29</v>
      </c>
      <c r="D4" s="24">
        <f>SUM(C30:L30)</f>
        <v>1639.3862399999962</v>
      </c>
      <c r="E4" s="168">
        <f>SUM(C26:L26)</f>
        <v>1777249324.5429997</v>
      </c>
      <c r="F4" s="24">
        <f>SUM(C22:K22)</f>
        <v>0</v>
      </c>
      <c r="G4" s="24">
        <f>F4-D4</f>
        <v>-1639.3862399999962</v>
      </c>
      <c r="H4" s="24">
        <f>+B40</f>
        <v>1610.4062399999482</v>
      </c>
      <c r="I4" s="24">
        <f>SUM(C45:K45)</f>
        <v>28.980000000000004</v>
      </c>
      <c r="J4" s="36">
        <f>SUM(G4:I4)</f>
        <v>-4.7990056373237167E-11</v>
      </c>
      <c r="K4" s="62">
        <f>+J4-L40</f>
        <v>4.1069370126933791E-12</v>
      </c>
    </row>
    <row r="5" spans="1:31" ht="15.75" thickBot="1" x14ac:dyDescent="0.3">
      <c r="A5" s="22" t="s">
        <v>30</v>
      </c>
      <c r="D5" s="24">
        <f>SUM(C31:L31)</f>
        <v>-4276.5265599999893</v>
      </c>
      <c r="E5" s="168">
        <f>SUM(C27:L27)</f>
        <v>1137978186.954</v>
      </c>
      <c r="F5" s="24">
        <f>SUM(C23:K23)</f>
        <v>0</v>
      </c>
      <c r="G5" s="24">
        <f>F5-D5</f>
        <v>4276.5265599999893</v>
      </c>
      <c r="H5" s="24">
        <f>+B41</f>
        <v>-4149.4250599996813</v>
      </c>
      <c r="I5" s="24">
        <f>SUM(C46:K46)</f>
        <v>-127.10000000000002</v>
      </c>
      <c r="J5" s="36">
        <f>SUM(G5:I5)</f>
        <v>1.5000003080558599E-3</v>
      </c>
      <c r="K5" s="62">
        <f>+J5-L41</f>
        <v>6.3096194935496897E-12</v>
      </c>
    </row>
    <row r="6" spans="1:31" ht="16.5" thickTop="1" thickBot="1" x14ac:dyDescent="0.3">
      <c r="D6" s="40">
        <f t="shared" ref="D6" si="0">SUM(D4:D5)</f>
        <v>-2637.1403199999932</v>
      </c>
      <c r="E6" s="169">
        <f t="shared" ref="E6:H6" si="1">SUM(E4:E5)</f>
        <v>2915227511.4969997</v>
      </c>
      <c r="F6" s="40">
        <f t="shared" si="1"/>
        <v>0</v>
      </c>
      <c r="G6" s="40">
        <f t="shared" si="1"/>
        <v>2637.1403199999932</v>
      </c>
      <c r="H6" s="40">
        <f t="shared" si="1"/>
        <v>-2539.0188199997328</v>
      </c>
      <c r="I6" s="94">
        <f>SUM(I4:I5)</f>
        <v>-98.120000000000019</v>
      </c>
      <c r="J6" s="40">
        <f>SUM(J4:J5)</f>
        <v>1.5000002600658036E-3</v>
      </c>
    </row>
    <row r="7" spans="1:31" s="61" customFormat="1" ht="45.75" thickTop="1" x14ac:dyDescent="0.25">
      <c r="D7" s="269"/>
      <c r="E7" s="270"/>
      <c r="F7" s="269"/>
      <c r="G7" s="269"/>
      <c r="H7" s="269"/>
      <c r="I7" s="271"/>
      <c r="J7" s="271"/>
      <c r="K7" s="266" t="s">
        <v>154</v>
      </c>
    </row>
    <row r="8" spans="1:31" s="61" customFormat="1" x14ac:dyDescent="0.25">
      <c r="A8" s="22" t="s">
        <v>137</v>
      </c>
      <c r="D8" s="269"/>
      <c r="E8" s="270"/>
      <c r="F8" s="269"/>
      <c r="G8" s="269"/>
      <c r="H8" s="269"/>
      <c r="I8" s="271"/>
      <c r="J8" s="36">
        <f>ROUND($J$5*K8,2)</f>
        <v>0</v>
      </c>
      <c r="K8" s="267">
        <f>+'PPC Cycle 2'!D10</f>
        <v>0.39423672897243034</v>
      </c>
    </row>
    <row r="9" spans="1:31" s="61" customFormat="1" x14ac:dyDescent="0.25">
      <c r="A9" s="22" t="s">
        <v>138</v>
      </c>
      <c r="D9" s="269"/>
      <c r="E9" s="270"/>
      <c r="F9" s="269"/>
      <c r="G9" s="269"/>
      <c r="H9" s="269"/>
      <c r="I9" s="271"/>
      <c r="J9" s="36">
        <f t="shared" ref="J9:J10" si="2">ROUND($J$5*K9,2)</f>
        <v>0</v>
      </c>
      <c r="K9" s="267">
        <f>+'PPC Cycle 2'!D11</f>
        <v>0.45277339225375463</v>
      </c>
    </row>
    <row r="10" spans="1:31" s="61" customFormat="1" ht="15.75" thickBot="1" x14ac:dyDescent="0.3">
      <c r="A10" s="22" t="s">
        <v>139</v>
      </c>
      <c r="D10" s="269"/>
      <c r="E10" s="270"/>
      <c r="F10" s="269"/>
      <c r="G10" s="269"/>
      <c r="H10" s="269"/>
      <c r="I10" s="271"/>
      <c r="J10" s="36">
        <f t="shared" si="2"/>
        <v>0</v>
      </c>
      <c r="K10" s="267">
        <f>+'PPC Cycle 2'!D12</f>
        <v>0.15298987877381515</v>
      </c>
    </row>
    <row r="11" spans="1:31" ht="16.5" thickTop="1" thickBot="1" x14ac:dyDescent="0.3">
      <c r="A11" s="22" t="s">
        <v>140</v>
      </c>
      <c r="D11" s="269"/>
      <c r="E11" s="270"/>
      <c r="F11" s="269"/>
      <c r="G11" s="269"/>
      <c r="H11" s="269"/>
      <c r="I11" s="271"/>
      <c r="J11" s="40">
        <f>SUM(J8:J10)</f>
        <v>0</v>
      </c>
      <c r="K11" s="268">
        <f>SUM(K8:K10)</f>
        <v>1</v>
      </c>
    </row>
    <row r="12" spans="1:31" s="61" customFormat="1" ht="16.5" thickTop="1" thickBot="1" x14ac:dyDescent="0.3">
      <c r="A12" s="22"/>
      <c r="D12" s="269"/>
      <c r="E12" s="270"/>
      <c r="F12" s="269"/>
      <c r="G12" s="269"/>
      <c r="H12" s="269"/>
      <c r="I12" s="271"/>
      <c r="J12" s="269"/>
      <c r="K12" s="272"/>
    </row>
    <row r="13" spans="1:31" ht="75.75" thickBot="1" x14ac:dyDescent="0.3">
      <c r="B13" s="145" t="s">
        <v>117</v>
      </c>
      <c r="C13" s="217" t="s">
        <v>118</v>
      </c>
      <c r="D13" s="300" t="s">
        <v>39</v>
      </c>
      <c r="E13" s="300"/>
      <c r="F13" s="301"/>
      <c r="G13" s="291" t="s">
        <v>39</v>
      </c>
      <c r="H13" s="292"/>
      <c r="I13" s="293"/>
      <c r="J13" s="302" t="s">
        <v>9</v>
      </c>
      <c r="K13" s="303"/>
      <c r="L13" s="304"/>
    </row>
    <row r="14" spans="1:31" x14ac:dyDescent="0.25">
      <c r="A14" t="s">
        <v>38</v>
      </c>
      <c r="C14" s="14"/>
      <c r="D14" s="20">
        <v>43616</v>
      </c>
      <c r="E14" s="20">
        <f>EOMONTH(D14,1)</f>
        <v>43646</v>
      </c>
      <c r="F14" s="20">
        <f t="shared" ref="F14:L14" si="3">EOMONTH(E14,1)</f>
        <v>43677</v>
      </c>
      <c r="G14" s="14">
        <f t="shared" si="3"/>
        <v>43708</v>
      </c>
      <c r="H14" s="20">
        <f t="shared" si="3"/>
        <v>43738</v>
      </c>
      <c r="I14" s="20">
        <f t="shared" si="3"/>
        <v>43769</v>
      </c>
      <c r="J14" s="14">
        <f t="shared" si="3"/>
        <v>43799</v>
      </c>
      <c r="K14" s="20">
        <f t="shared" si="3"/>
        <v>43830</v>
      </c>
      <c r="L14" s="122">
        <f t="shared" si="3"/>
        <v>43861</v>
      </c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t="s">
        <v>29</v>
      </c>
      <c r="C15" s="124">
        <v>0</v>
      </c>
      <c r="D15" s="136">
        <v>0</v>
      </c>
      <c r="E15" s="136">
        <v>0</v>
      </c>
      <c r="F15" s="137">
        <v>0</v>
      </c>
      <c r="G15" s="16">
        <v>0</v>
      </c>
      <c r="H15" s="70">
        <v>0</v>
      </c>
      <c r="I15" s="72">
        <v>0</v>
      </c>
      <c r="J15" s="180">
        <v>0</v>
      </c>
      <c r="K15" s="171">
        <v>0</v>
      </c>
      <c r="L15" s="95"/>
    </row>
    <row r="16" spans="1:31" x14ac:dyDescent="0.25">
      <c r="A16" t="s">
        <v>30</v>
      </c>
      <c r="C16" s="124">
        <v>0</v>
      </c>
      <c r="D16" s="136">
        <v>0</v>
      </c>
      <c r="E16" s="136">
        <v>0</v>
      </c>
      <c r="F16" s="137">
        <v>0</v>
      </c>
      <c r="G16" s="16">
        <v>0</v>
      </c>
      <c r="H16" s="70">
        <v>0</v>
      </c>
      <c r="I16" s="72">
        <v>0</v>
      </c>
      <c r="J16" s="180">
        <v>0</v>
      </c>
      <c r="K16" s="171">
        <v>0</v>
      </c>
      <c r="L16" s="95"/>
      <c r="M16" s="79" t="s">
        <v>32</v>
      </c>
    </row>
    <row r="17" spans="1:14" x14ac:dyDescent="0.25">
      <c r="A17" t="s">
        <v>0</v>
      </c>
      <c r="C17" s="124">
        <v>0</v>
      </c>
      <c r="D17" s="136">
        <v>0</v>
      </c>
      <c r="E17" s="136">
        <v>0</v>
      </c>
      <c r="F17" s="137">
        <v>0</v>
      </c>
      <c r="G17" s="16">
        <v>0</v>
      </c>
      <c r="H17" s="70">
        <v>0</v>
      </c>
      <c r="I17" s="72">
        <v>0</v>
      </c>
      <c r="J17" s="180">
        <v>0</v>
      </c>
      <c r="K17" s="171">
        <v>0</v>
      </c>
      <c r="L17" s="95"/>
      <c r="M17" s="89">
        <v>0.5</v>
      </c>
    </row>
    <row r="18" spans="1:14" x14ac:dyDescent="0.25">
      <c r="A18" t="s">
        <v>1</v>
      </c>
      <c r="C18" s="124">
        <v>0</v>
      </c>
      <c r="D18" s="136">
        <v>0</v>
      </c>
      <c r="E18" s="136">
        <v>0</v>
      </c>
      <c r="F18" s="137">
        <v>0</v>
      </c>
      <c r="G18" s="16">
        <v>0</v>
      </c>
      <c r="H18" s="70">
        <v>0</v>
      </c>
      <c r="I18" s="72">
        <v>0</v>
      </c>
      <c r="J18" s="180">
        <v>0</v>
      </c>
      <c r="K18" s="171">
        <v>0</v>
      </c>
      <c r="L18" s="95"/>
      <c r="M18" s="79" t="s">
        <v>28</v>
      </c>
    </row>
    <row r="19" spans="1:14" s="61" customFormat="1" x14ac:dyDescent="0.25">
      <c r="A19" s="61" t="s">
        <v>27</v>
      </c>
      <c r="C19" s="124">
        <v>0</v>
      </c>
      <c r="D19" s="136">
        <v>0</v>
      </c>
      <c r="E19" s="136">
        <v>0</v>
      </c>
      <c r="F19" s="137">
        <v>0</v>
      </c>
      <c r="G19" s="16">
        <v>0</v>
      </c>
      <c r="H19" s="70">
        <v>0</v>
      </c>
      <c r="I19" s="72">
        <v>0</v>
      </c>
      <c r="J19" s="180">
        <v>0</v>
      </c>
      <c r="K19" s="171">
        <v>0</v>
      </c>
      <c r="L19" s="95"/>
      <c r="M19" s="89">
        <v>2.4400000000000002E-2</v>
      </c>
    </row>
    <row r="20" spans="1:14" x14ac:dyDescent="0.25">
      <c r="C20" s="125"/>
      <c r="D20" s="44"/>
      <c r="E20" s="44"/>
      <c r="F20" s="44"/>
      <c r="G20" s="41"/>
      <c r="H20" s="44"/>
      <c r="I20" s="17"/>
      <c r="J20" s="41"/>
      <c r="K20" s="44"/>
      <c r="L20" s="42"/>
    </row>
    <row r="21" spans="1:14" x14ac:dyDescent="0.25">
      <c r="A21" t="s">
        <v>41</v>
      </c>
      <c r="C21" s="126"/>
      <c r="D21" s="44"/>
      <c r="E21" s="44"/>
      <c r="F21" s="44"/>
      <c r="G21" s="41"/>
      <c r="H21" s="44"/>
      <c r="I21" s="18"/>
      <c r="J21" s="10"/>
      <c r="K21" s="17"/>
      <c r="L21" s="11"/>
    </row>
    <row r="22" spans="1:14" x14ac:dyDescent="0.25">
      <c r="A22" s="61" t="s">
        <v>29</v>
      </c>
      <c r="C22" s="53">
        <f t="shared" ref="C22:H22" si="4">C15+($M$17*C$17)+($M$17*C$18)+C$19*(1-$M$19)</f>
        <v>0</v>
      </c>
      <c r="D22" s="54">
        <f t="shared" si="4"/>
        <v>0</v>
      </c>
      <c r="E22" s="54">
        <f t="shared" si="4"/>
        <v>0</v>
      </c>
      <c r="F22" s="135">
        <f t="shared" si="4"/>
        <v>0</v>
      </c>
      <c r="G22" s="53">
        <f t="shared" si="4"/>
        <v>0</v>
      </c>
      <c r="H22" s="54">
        <f t="shared" si="4"/>
        <v>0</v>
      </c>
      <c r="I22" s="135">
        <f t="shared" ref="I22" si="5">I15+($M$17*I$17)+($M$17*I$18)+I$19*(1-$M$19)</f>
        <v>0</v>
      </c>
      <c r="J22" s="53">
        <f t="shared" ref="J22:L22" si="6">J15+($M$17*J$17)+($M$17*J$18)+J$19*(1-$M$19)</f>
        <v>0</v>
      </c>
      <c r="K22" s="54">
        <f t="shared" si="6"/>
        <v>0</v>
      </c>
      <c r="L22" s="77">
        <f t="shared" si="6"/>
        <v>0</v>
      </c>
    </row>
    <row r="23" spans="1:14" x14ac:dyDescent="0.25">
      <c r="A23" t="s">
        <v>30</v>
      </c>
      <c r="C23" s="53">
        <f t="shared" ref="C23:H23" si="7">(C$16+$M$17*C$17+C$19*$M$19)+C$18*$M$17</f>
        <v>0</v>
      </c>
      <c r="D23" s="54">
        <f t="shared" si="7"/>
        <v>0</v>
      </c>
      <c r="E23" s="54">
        <f t="shared" si="7"/>
        <v>0</v>
      </c>
      <c r="F23" s="135">
        <f t="shared" si="7"/>
        <v>0</v>
      </c>
      <c r="G23" s="53">
        <f t="shared" si="7"/>
        <v>0</v>
      </c>
      <c r="H23" s="54">
        <f t="shared" si="7"/>
        <v>0</v>
      </c>
      <c r="I23" s="135">
        <f t="shared" ref="I23" si="8">(I$16+$M$17*I$17+I$19*$M$19)+I$18*$M$17</f>
        <v>0</v>
      </c>
      <c r="J23" s="53">
        <f t="shared" ref="J23:L23" si="9">(J$16+$M$17*J$17+J$19*$M$19)+J$18*$M$17</f>
        <v>0</v>
      </c>
      <c r="K23" s="54">
        <f t="shared" si="9"/>
        <v>0</v>
      </c>
      <c r="L23" s="77">
        <f t="shared" si="9"/>
        <v>0</v>
      </c>
    </row>
    <row r="24" spans="1:14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4" x14ac:dyDescent="0.25">
      <c r="A25" s="52" t="s">
        <v>63</v>
      </c>
      <c r="B25" s="52"/>
      <c r="C25" s="128"/>
      <c r="D25" s="44"/>
      <c r="E25" s="44"/>
      <c r="F25" s="44"/>
      <c r="G25" s="41"/>
      <c r="H25" s="44"/>
      <c r="I25" s="17"/>
      <c r="J25" s="10"/>
      <c r="K25" s="17"/>
      <c r="L25" s="11"/>
    </row>
    <row r="26" spans="1:14" x14ac:dyDescent="0.25">
      <c r="A26" s="61" t="s">
        <v>29</v>
      </c>
      <c r="C26" s="129">
        <v>-836021094</v>
      </c>
      <c r="D26" s="138">
        <f>+'[5]May 2019 Combined'!$F$49</f>
        <v>193515857.24129999</v>
      </c>
      <c r="E26" s="138">
        <f>+'[5]June 2019 Combined'!$F$49</f>
        <v>259451677.39160001</v>
      </c>
      <c r="F26" s="138">
        <f>+'[5]July 2019 Combined'!$F$49</f>
        <v>363761391.66229981</v>
      </c>
      <c r="G26" s="210">
        <f>+'[5]August 2019 Combined'!$F$54</f>
        <v>371866716.61979985</v>
      </c>
      <c r="H26" s="93">
        <f>+'[5]September 2019 Combined'!$F$49</f>
        <v>329178131.7610001</v>
      </c>
      <c r="I26" s="205">
        <f>+'[5]October 2019 Combined'!$F$49</f>
        <v>259475549.86699998</v>
      </c>
      <c r="J26" s="226">
        <f>+'[1]Billed kWh Sales'!G24</f>
        <v>207260261</v>
      </c>
      <c r="K26" s="172">
        <f>+'[1]Billed kWh Sales'!H24</f>
        <v>266633201</v>
      </c>
      <c r="L26" s="96">
        <f>+'[1]Billed kWh Sales'!I24</f>
        <v>362127632</v>
      </c>
    </row>
    <row r="27" spans="1:14" x14ac:dyDescent="0.25">
      <c r="A27" s="61" t="s">
        <v>30</v>
      </c>
      <c r="C27" s="129">
        <v>-889792293</v>
      </c>
      <c r="D27" s="138">
        <f>+'[5]May 2019 Combined'!$F$50</f>
        <v>271075647.55299997</v>
      </c>
      <c r="E27" s="138">
        <f>+'[5]June 2019 Combined'!$F$50</f>
        <v>263023654.21219999</v>
      </c>
      <c r="F27" s="138">
        <f>+'[5]July 2019 Combined'!$F$50</f>
        <v>337656416.9716</v>
      </c>
      <c r="G27" s="210">
        <f>+'[5]August 2019 Combined'!$F$55</f>
        <v>324847431.9508</v>
      </c>
      <c r="H27" s="93">
        <f>+'[5]September 2019 Combined'!$F$50</f>
        <v>300248518.44930005</v>
      </c>
      <c r="I27" s="205">
        <f>+'[5]October 2019 Combined'!$F$50</f>
        <v>290047321.81709999</v>
      </c>
      <c r="J27" s="226">
        <f>+'[1]Billed kWh Sales'!G25</f>
        <v>71920701</v>
      </c>
      <c r="K27" s="172">
        <f>+'[1]Billed kWh Sales'!H25</f>
        <v>80547726</v>
      </c>
      <c r="L27" s="96">
        <f>+'[1]Billed kWh Sales'!I25</f>
        <v>88403062</v>
      </c>
    </row>
    <row r="28" spans="1:14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4" x14ac:dyDescent="0.25">
      <c r="A29" t="s">
        <v>40</v>
      </c>
      <c r="C29" s="126"/>
      <c r="D29" s="18"/>
      <c r="E29" s="18"/>
      <c r="F29" s="18"/>
      <c r="G29" s="118"/>
      <c r="H29" s="18"/>
      <c r="I29" s="61"/>
      <c r="J29" s="182"/>
      <c r="K29" s="73"/>
      <c r="L29" s="74"/>
      <c r="M29" s="79" t="s">
        <v>66</v>
      </c>
      <c r="N29" s="52"/>
    </row>
    <row r="30" spans="1:14" x14ac:dyDescent="0.25">
      <c r="A30" s="61" t="s">
        <v>29</v>
      </c>
      <c r="C30" s="124">
        <v>-33440.843760000003</v>
      </c>
      <c r="D30" s="136">
        <f>ROUND('[5]May 2019 Combined'!$F$8+'[5]May 2019 Combined'!$F$13,2)</f>
        <v>7788.3</v>
      </c>
      <c r="E30" s="136">
        <f>ROUND('[5]June 2019 Combined'!$F$8+'[5]June 2019 Combined'!$F$13,2)</f>
        <v>10378.19</v>
      </c>
      <c r="F30" s="137">
        <f>ROUND('[5]July 2019 Combined'!$F$8+'[5]July 2019 Combined'!$F$13,2)</f>
        <v>14544.34</v>
      </c>
      <c r="G30" s="218">
        <f>ROUND('[5]August 2019 Combined'!$F$8+'[5]August 2019 Combined'!$F$13,2)+13017.24</f>
        <v>2369.3999999999996</v>
      </c>
      <c r="H30" s="178">
        <f>ROUND('[5]September 2019 Combined'!$F$8+'[5]September 2019 Combined'!$F$13,2)</f>
        <v>0</v>
      </c>
      <c r="I30" s="179">
        <f>ROUND('[5]October 2019 Combined'!$F$8+'[5]October 2019 Combined'!$F$13,2)</f>
        <v>0</v>
      </c>
      <c r="J30" s="53">
        <f t="shared" ref="J30:L31" si="10">J26*$M30</f>
        <v>0</v>
      </c>
      <c r="K30" s="54">
        <f t="shared" si="10"/>
        <v>0</v>
      </c>
      <c r="L30" s="77">
        <f t="shared" si="10"/>
        <v>0</v>
      </c>
      <c r="M30" s="88">
        <v>0</v>
      </c>
    </row>
    <row r="31" spans="1:14" x14ac:dyDescent="0.25">
      <c r="A31" t="str">
        <f>A27</f>
        <v>Non-Residential</v>
      </c>
      <c r="C31" s="124">
        <v>71183.383440000005</v>
      </c>
      <c r="D31" s="136">
        <f>ROUND('[5]May 2019 Combined'!$F$9+'[5]May 2019 Combined'!$F$14,2)</f>
        <v>-12087.17</v>
      </c>
      <c r="E31" s="136">
        <f>ROUND('[5]June 2019 Combined'!$F$9+'[5]June 2019 Combined'!$F$14,2)</f>
        <v>-21022.28</v>
      </c>
      <c r="F31" s="137">
        <f>ROUND('[5]July 2019 Combined'!$F$9+'[5]July 2019 Combined'!$F$14,2)</f>
        <v>-26927.919999999998</v>
      </c>
      <c r="G31" s="218">
        <f>ROUND('[5]August 2019 Combined'!$F$9+'[5]August 2019 Combined'!$F$14,2)-13014.13</f>
        <v>-15422.539999999999</v>
      </c>
      <c r="H31" s="178">
        <f>ROUND('[5]September 2019 Combined'!$F$9+'[5]September 2019 Combined'!$F$14,2)</f>
        <v>0</v>
      </c>
      <c r="I31" s="179">
        <f>ROUND('[5]October 2019 Combined'!$F$9+'[5]October 2019 Combined'!$F$14,2)</f>
        <v>0</v>
      </c>
      <c r="J31" s="53">
        <f t="shared" si="10"/>
        <v>0</v>
      </c>
      <c r="K31" s="54">
        <f t="shared" si="10"/>
        <v>0</v>
      </c>
      <c r="L31" s="77">
        <f t="shared" si="10"/>
        <v>0</v>
      </c>
      <c r="M31" s="88">
        <v>0</v>
      </c>
    </row>
    <row r="32" spans="1:14" x14ac:dyDescent="0.25">
      <c r="C32" s="83"/>
      <c r="D32" s="18"/>
      <c r="E32" s="18"/>
      <c r="F32" s="18"/>
      <c r="G32" s="118"/>
      <c r="H32" s="18"/>
      <c r="I32" s="61"/>
      <c r="J32" s="12"/>
      <c r="K32" s="71"/>
      <c r="L32" s="13"/>
      <c r="M32" s="4"/>
    </row>
    <row r="33" spans="1:13" ht="15.75" thickBot="1" x14ac:dyDescent="0.3">
      <c r="A33" t="s">
        <v>16</v>
      </c>
      <c r="C33" s="130">
        <v>168.82000000000002</v>
      </c>
      <c r="D33" s="139">
        <v>-116.9</v>
      </c>
      <c r="E33" s="139">
        <v>-93.21</v>
      </c>
      <c r="F33" s="140">
        <v>-56.839999999999996</v>
      </c>
      <c r="G33" s="39">
        <v>0</v>
      </c>
      <c r="H33" s="149">
        <v>0</v>
      </c>
      <c r="I33" s="206">
        <v>0</v>
      </c>
      <c r="J33" s="184">
        <v>0</v>
      </c>
      <c r="K33" s="173">
        <v>0</v>
      </c>
      <c r="L33" s="100"/>
    </row>
    <row r="34" spans="1:13" x14ac:dyDescent="0.25">
      <c r="C34" s="126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t="s">
        <v>68</v>
      </c>
      <c r="C35" s="126"/>
      <c r="D35" s="44"/>
      <c r="E35" s="44"/>
      <c r="F35" s="44"/>
      <c r="G35" s="41"/>
      <c r="H35" s="44"/>
      <c r="I35" s="17"/>
      <c r="J35" s="10"/>
      <c r="K35" s="17"/>
      <c r="L35" s="11"/>
    </row>
    <row r="36" spans="1:13" x14ac:dyDescent="0.25">
      <c r="A36" s="61" t="s">
        <v>29</v>
      </c>
      <c r="C36" s="53">
        <f t="shared" ref="C36:C37" si="11">C22-C30</f>
        <v>33440.843760000003</v>
      </c>
      <c r="D36" s="54">
        <f t="shared" ref="D36:I37" si="12">D22-D30</f>
        <v>-7788.3</v>
      </c>
      <c r="E36" s="54">
        <f t="shared" si="12"/>
        <v>-10378.19</v>
      </c>
      <c r="F36" s="135">
        <f t="shared" ref="F36:H36" si="13">F22-F30</f>
        <v>-14544.34</v>
      </c>
      <c r="G36" s="53">
        <f t="shared" si="13"/>
        <v>-2369.3999999999996</v>
      </c>
      <c r="H36" s="54">
        <f t="shared" si="13"/>
        <v>0</v>
      </c>
      <c r="I36" s="135">
        <f t="shared" si="12"/>
        <v>0</v>
      </c>
      <c r="J36" s="53">
        <f t="shared" ref="J36:K36" si="14">J22-J30</f>
        <v>0</v>
      </c>
      <c r="K36" s="54">
        <f t="shared" si="14"/>
        <v>0</v>
      </c>
      <c r="L36" s="64">
        <f t="shared" ref="L36" si="15">L22-L30</f>
        <v>0</v>
      </c>
    </row>
    <row r="37" spans="1:13" x14ac:dyDescent="0.25">
      <c r="A37" t="s">
        <v>30</v>
      </c>
      <c r="C37" s="53">
        <f t="shared" si="11"/>
        <v>-71183.383440000005</v>
      </c>
      <c r="D37" s="54">
        <f t="shared" si="12"/>
        <v>12087.17</v>
      </c>
      <c r="E37" s="54">
        <f t="shared" si="12"/>
        <v>21022.28</v>
      </c>
      <c r="F37" s="135">
        <f t="shared" ref="F37:H37" si="16">F23-F31</f>
        <v>26927.919999999998</v>
      </c>
      <c r="G37" s="53">
        <f t="shared" si="16"/>
        <v>15422.539999999999</v>
      </c>
      <c r="H37" s="54">
        <f t="shared" si="16"/>
        <v>0</v>
      </c>
      <c r="I37" s="135">
        <f t="shared" si="12"/>
        <v>0</v>
      </c>
      <c r="J37" s="53">
        <f t="shared" ref="J37:K37" si="17">J23-J31</f>
        <v>0</v>
      </c>
      <c r="K37" s="54">
        <f t="shared" si="17"/>
        <v>0</v>
      </c>
      <c r="L37" s="64">
        <f t="shared" ref="L37" si="18">L23-L31</f>
        <v>0</v>
      </c>
    </row>
    <row r="38" spans="1:13" x14ac:dyDescent="0.25">
      <c r="A38" s="61"/>
      <c r="C38" s="126"/>
      <c r="D38" s="44"/>
      <c r="E38" s="44"/>
      <c r="F38" s="44"/>
      <c r="G38" s="41"/>
      <c r="H38" s="44"/>
      <c r="I38" s="17"/>
      <c r="J38" s="10"/>
      <c r="K38" s="17"/>
      <c r="L38" s="11"/>
    </row>
    <row r="39" spans="1:13" ht="15.75" thickBot="1" x14ac:dyDescent="0.3">
      <c r="A39" s="61" t="s">
        <v>69</v>
      </c>
      <c r="C39" s="131"/>
      <c r="D39" s="44"/>
      <c r="E39" s="44"/>
      <c r="F39" s="44"/>
      <c r="G39" s="41"/>
      <c r="H39" s="44"/>
      <c r="I39" s="17"/>
      <c r="J39" s="10"/>
      <c r="K39" s="17"/>
      <c r="L39" s="11"/>
    </row>
    <row r="40" spans="1:13" x14ac:dyDescent="0.25">
      <c r="A40" s="61" t="s">
        <v>29</v>
      </c>
      <c r="B40" s="143">
        <v>1610.4062399999482</v>
      </c>
      <c r="C40" s="54">
        <f>B40+C36+B45</f>
        <v>35051.249999999949</v>
      </c>
      <c r="D40" s="54">
        <f t="shared" ref="D40" si="19">C40+D36+C45</f>
        <v>27101.009999999951</v>
      </c>
      <c r="E40" s="54">
        <f t="shared" ref="E40:I41" si="20">D40+E36+D45</f>
        <v>16818.259999999947</v>
      </c>
      <c r="F40" s="135">
        <f t="shared" si="20"/>
        <v>2340.9299999999475</v>
      </c>
      <c r="G40" s="251">
        <f t="shared" si="20"/>
        <v>-5.2096993385930546E-11</v>
      </c>
      <c r="H40" s="54">
        <f t="shared" si="20"/>
        <v>-5.2096993385930546E-11</v>
      </c>
      <c r="I40" s="135">
        <f t="shared" si="20"/>
        <v>-5.2096993385930546E-11</v>
      </c>
      <c r="J40" s="53">
        <f t="shared" ref="J40:J41" si="21">I40+J36+I45</f>
        <v>-5.2096993385930546E-11</v>
      </c>
      <c r="K40" s="54">
        <f t="shared" ref="K40:L41" si="22">J40+K36+J45</f>
        <v>-5.2096993385930546E-11</v>
      </c>
      <c r="L40" s="64">
        <f t="shared" si="22"/>
        <v>-5.2096993385930546E-11</v>
      </c>
    </row>
    <row r="41" spans="1:13" ht="15.75" thickBot="1" x14ac:dyDescent="0.3">
      <c r="A41" s="61" t="s">
        <v>30</v>
      </c>
      <c r="B41" s="144">
        <v>-4149.4250599996813</v>
      </c>
      <c r="C41" s="54">
        <f>B41+C37+B46</f>
        <v>-75332.808499999694</v>
      </c>
      <c r="D41" s="54">
        <f t="shared" ref="D41" si="23">C41+D37+C46</f>
        <v>-62914.878499999693</v>
      </c>
      <c r="E41" s="54">
        <f t="shared" si="20"/>
        <v>-42104.928499999696</v>
      </c>
      <c r="F41" s="135">
        <f t="shared" si="20"/>
        <v>-15337.228499999697</v>
      </c>
      <c r="G41" s="251">
        <f t="shared" si="20"/>
        <v>1.5000003017462404E-3</v>
      </c>
      <c r="H41" s="54">
        <f t="shared" si="20"/>
        <v>1.5000003017462404E-3</v>
      </c>
      <c r="I41" s="135">
        <f t="shared" si="20"/>
        <v>1.5000003017462404E-3</v>
      </c>
      <c r="J41" s="53">
        <f t="shared" si="21"/>
        <v>1.5000003017462404E-3</v>
      </c>
      <c r="K41" s="54">
        <f t="shared" si="22"/>
        <v>1.5000003017462404E-3</v>
      </c>
      <c r="L41" s="64">
        <f t="shared" si="22"/>
        <v>1.5000003017462404E-3</v>
      </c>
    </row>
    <row r="42" spans="1:13" x14ac:dyDescent="0.25">
      <c r="C42" s="126"/>
      <c r="D42" s="44"/>
      <c r="E42" s="44"/>
      <c r="F42" s="44"/>
      <c r="G42" s="41"/>
      <c r="H42" s="44"/>
      <c r="I42" s="17"/>
      <c r="J42" s="10"/>
      <c r="K42" s="17"/>
      <c r="L42" s="11"/>
    </row>
    <row r="43" spans="1:13" s="61" customFormat="1" x14ac:dyDescent="0.25">
      <c r="A43" s="52" t="s">
        <v>65</v>
      </c>
      <c r="B43" s="52"/>
      <c r="C43" s="131"/>
      <c r="D43" s="103">
        <f>+'[6]May 2019'!$F$43</f>
        <v>3.0790499999999998E-3</v>
      </c>
      <c r="E43" s="103">
        <f>+'[6]June 2019'!$F$43</f>
        <v>3.0450199999999998E-3</v>
      </c>
      <c r="F43" s="103">
        <f>+'[6]July 2019'!$F$43</f>
        <v>2.9619300000000002E-3</v>
      </c>
      <c r="G43" s="105">
        <f>+'[6]Aug 2019'!$F$43</f>
        <v>2.8524499999999999E-3</v>
      </c>
      <c r="H43" s="103">
        <f>+'[6]Sept 2019'!$F$43</f>
        <v>2.7438599999999999E-3</v>
      </c>
      <c r="I43" s="104">
        <f>+'[6]Oct 2019'!$F$43</f>
        <v>2.60867E-3</v>
      </c>
      <c r="J43" s="105">
        <f>+I43</f>
        <v>2.60867E-3</v>
      </c>
      <c r="K43" s="103">
        <f>+J43</f>
        <v>2.60867E-3</v>
      </c>
      <c r="L43" s="119"/>
    </row>
    <row r="44" spans="1:13" x14ac:dyDescent="0.25">
      <c r="A44" s="52" t="s">
        <v>44</v>
      </c>
      <c r="B44" s="52"/>
      <c r="C44" s="126"/>
      <c r="D44" s="44"/>
      <c r="E44" s="44"/>
      <c r="F44" s="44"/>
      <c r="G44" s="41"/>
      <c r="H44" s="44"/>
      <c r="I44" s="17"/>
      <c r="J44" s="10"/>
      <c r="K44" s="17"/>
      <c r="L44" s="11"/>
      <c r="M44" s="87"/>
    </row>
    <row r="45" spans="1:13" x14ac:dyDescent="0.25">
      <c r="A45" s="61" t="s">
        <v>29</v>
      </c>
      <c r="C45" s="53">
        <v>-161.94</v>
      </c>
      <c r="D45" s="54">
        <f>ROUND((C40+C45+D36/2)*D$43,2)</f>
        <v>95.44</v>
      </c>
      <c r="E45" s="54">
        <f t="shared" ref="E45:I46" si="24">ROUND((D40+D45+E36/2)*E$43,2)</f>
        <v>67.010000000000005</v>
      </c>
      <c r="F45" s="135">
        <f t="shared" si="24"/>
        <v>28.47</v>
      </c>
      <c r="G45" s="53">
        <f>ROUND((F40+F45+G36/2)*G$43,2)*0</f>
        <v>0</v>
      </c>
      <c r="H45" s="150">
        <f t="shared" si="24"/>
        <v>0</v>
      </c>
      <c r="I45" s="207">
        <f t="shared" si="24"/>
        <v>0</v>
      </c>
      <c r="J45" s="53">
        <f t="shared" ref="J45:K46" si="25">ROUND((I40+I45+J36/2)*J$43,2)</f>
        <v>0</v>
      </c>
      <c r="K45" s="150">
        <f t="shared" si="25"/>
        <v>0</v>
      </c>
      <c r="L45" s="64"/>
    </row>
    <row r="46" spans="1:13" ht="15.75" thickBot="1" x14ac:dyDescent="0.3">
      <c r="A46" t="s">
        <v>30</v>
      </c>
      <c r="C46" s="141">
        <v>330.76</v>
      </c>
      <c r="D46" s="54">
        <f>ROUND((C41+C46+D37/2)*D$43,2)</f>
        <v>-212.33</v>
      </c>
      <c r="E46" s="54">
        <f t="shared" si="24"/>
        <v>-160.22</v>
      </c>
      <c r="F46" s="135">
        <f t="shared" si="24"/>
        <v>-85.31</v>
      </c>
      <c r="G46" s="53">
        <f>ROUND((F41+F46+G37/2)*G$43,2)*0</f>
        <v>0</v>
      </c>
      <c r="H46" s="150">
        <f t="shared" si="24"/>
        <v>0</v>
      </c>
      <c r="I46" s="207">
        <f t="shared" si="24"/>
        <v>0</v>
      </c>
      <c r="J46" s="53">
        <f t="shared" si="25"/>
        <v>0</v>
      </c>
      <c r="K46" s="150">
        <f t="shared" si="25"/>
        <v>0</v>
      </c>
      <c r="L46" s="64"/>
    </row>
    <row r="47" spans="1:13" ht="16.5" thickTop="1" thickBot="1" x14ac:dyDescent="0.3">
      <c r="A47" s="69" t="s">
        <v>25</v>
      </c>
      <c r="B47" s="69"/>
      <c r="C47" s="142">
        <v>0</v>
      </c>
      <c r="D47" s="45">
        <f t="shared" ref="D47:E47" si="26">SUM(D45:D46)+SUM(D40:D41)-D50</f>
        <v>0</v>
      </c>
      <c r="E47" s="45">
        <f t="shared" si="26"/>
        <v>0</v>
      </c>
      <c r="F47" s="65">
        <f t="shared" ref="F47:I47" si="27">SUM(F45:F46)+SUM(F40:F41)-F50</f>
        <v>0</v>
      </c>
      <c r="G47" s="151">
        <f t="shared" si="27"/>
        <v>-1.0771827874123119E-11</v>
      </c>
      <c r="H47" s="45">
        <f t="shared" si="27"/>
        <v>-1.0771827874123119E-11</v>
      </c>
      <c r="I47" s="65">
        <f t="shared" si="27"/>
        <v>-1.0771827874123119E-11</v>
      </c>
      <c r="J47" s="66">
        <f t="shared" ref="J47:K47" si="28">SUM(J45:J46)+SUM(J40:J41)-J50</f>
        <v>-1.0771827874123119E-11</v>
      </c>
      <c r="K47" s="45">
        <f t="shared" si="28"/>
        <v>-1.0771827874123119E-11</v>
      </c>
      <c r="L47" s="123">
        <f t="shared" ref="L47" si="29">SUM(L45:L46)+SUM(L40:L41)-L50</f>
        <v>-1.0771827874123119E-11</v>
      </c>
    </row>
    <row r="48" spans="1:13" ht="16.5" thickTop="1" thickBot="1" x14ac:dyDescent="0.3">
      <c r="A48" s="69" t="s">
        <v>26</v>
      </c>
      <c r="B48" s="69"/>
      <c r="C48" s="134">
        <v>0</v>
      </c>
      <c r="D48" s="45">
        <f>SUM(D45:D46)-D33</f>
        <v>9.9999999999909051E-3</v>
      </c>
      <c r="E48" s="45">
        <f t="shared" ref="E48:I48" si="30">SUM(E45:E46)-E33</f>
        <v>0</v>
      </c>
      <c r="F48" s="65">
        <f t="shared" ref="F48:H48" si="31">SUM(F45:F46)-F33</f>
        <v>0</v>
      </c>
      <c r="G48" s="66">
        <f t="shared" si="31"/>
        <v>0</v>
      </c>
      <c r="H48" s="45">
        <f t="shared" si="31"/>
        <v>0</v>
      </c>
      <c r="I48" s="65">
        <f t="shared" si="30"/>
        <v>0</v>
      </c>
      <c r="J48" s="66">
        <f t="shared" ref="J48:K48" si="32">SUM(J45:J46)-J33</f>
        <v>0</v>
      </c>
      <c r="K48" s="45">
        <f t="shared" si="32"/>
        <v>0</v>
      </c>
      <c r="L48" s="123">
        <f t="shared" ref="L48" si="33">SUM(L45:L46)-L33</f>
        <v>0</v>
      </c>
    </row>
    <row r="49" spans="1:14" ht="16.5" thickTop="1" thickBot="1" x14ac:dyDescent="0.3">
      <c r="C49" s="126"/>
      <c r="D49" s="17"/>
      <c r="E49" s="17"/>
      <c r="F49" s="17"/>
      <c r="G49" s="10"/>
      <c r="H49" s="17"/>
      <c r="I49" s="17"/>
      <c r="J49" s="10"/>
      <c r="K49" s="17"/>
      <c r="L49" s="11"/>
    </row>
    <row r="50" spans="1:14" ht="15.75" thickBot="1" x14ac:dyDescent="0.3">
      <c r="A50" t="s">
        <v>42</v>
      </c>
      <c r="B50" s="146">
        <f>+B40+B41</f>
        <v>-2539.0188199997328</v>
      </c>
      <c r="C50" s="53">
        <f>(SUM(C15:C19)-SUM(C30:C31))+SUM(C45:C46)+B50</f>
        <v>-40112.738499999738</v>
      </c>
      <c r="D50" s="54">
        <f>(SUM(D15:D19)-SUM(D30:D31))+SUM(D45:D46)+C50</f>
        <v>-35930.758499999734</v>
      </c>
      <c r="E50" s="54">
        <f t="shared" ref="E50:I50" si="34">(SUM(E15:E19)-SUM(E30:E31))+SUM(E45:E46)+D50</f>
        <v>-25379.878499999737</v>
      </c>
      <c r="F50" s="135">
        <f t="shared" si="34"/>
        <v>-13053.138499999739</v>
      </c>
      <c r="G50" s="53">
        <f t="shared" si="34"/>
        <v>1.5000002604210749E-3</v>
      </c>
      <c r="H50" s="54">
        <f t="shared" si="34"/>
        <v>1.5000002604210749E-3</v>
      </c>
      <c r="I50" s="135">
        <f t="shared" si="34"/>
        <v>1.5000002604210749E-3</v>
      </c>
      <c r="J50" s="53">
        <f t="shared" ref="J50" si="35">(SUM(J15:J19)-SUM(J30:J31))+SUM(J45:J46)+I50</f>
        <v>1.5000002604210749E-3</v>
      </c>
      <c r="K50" s="54">
        <f t="shared" ref="K50:L50" si="36">(SUM(K15:K19)-SUM(K30:K31))+SUM(K45:K46)+J50</f>
        <v>1.5000002604210749E-3</v>
      </c>
      <c r="L50" s="77">
        <f t="shared" si="36"/>
        <v>1.5000002604210749E-3</v>
      </c>
    </row>
    <row r="51" spans="1:14" x14ac:dyDescent="0.25">
      <c r="C51" s="147"/>
      <c r="D51" s="71"/>
      <c r="E51" s="19"/>
      <c r="F51" s="71"/>
      <c r="G51" s="12"/>
      <c r="H51" s="71"/>
      <c r="I51" s="17"/>
      <c r="J51" s="10"/>
      <c r="K51" s="17"/>
      <c r="L51" s="11"/>
    </row>
    <row r="52" spans="1:14" ht="15.75" thickBot="1" x14ac:dyDescent="0.3">
      <c r="A52" s="61"/>
      <c r="B52" s="17"/>
      <c r="C52" s="56"/>
      <c r="D52" s="57"/>
      <c r="E52" s="57"/>
      <c r="F52" s="57"/>
      <c r="G52" s="56"/>
      <c r="H52" s="57"/>
      <c r="I52" s="57"/>
      <c r="J52" s="56"/>
      <c r="K52" s="57"/>
      <c r="L52" s="58"/>
    </row>
    <row r="54" spans="1:14" x14ac:dyDescent="0.25">
      <c r="A54" s="85" t="s">
        <v>13</v>
      </c>
      <c r="B54" s="85"/>
      <c r="C54" s="85"/>
      <c r="D54" s="59"/>
      <c r="E54" s="59"/>
      <c r="I54" s="59"/>
      <c r="M54" s="59"/>
      <c r="N54" s="59"/>
    </row>
    <row r="55" spans="1:14" ht="30.75" customHeight="1" x14ac:dyDescent="0.25">
      <c r="A55" s="298" t="s">
        <v>111</v>
      </c>
      <c r="B55" s="298"/>
      <c r="C55" s="298"/>
      <c r="D55" s="298"/>
      <c r="E55" s="298"/>
      <c r="F55" s="298"/>
      <c r="G55" s="298"/>
      <c r="H55" s="298"/>
      <c r="I55" s="298"/>
      <c r="J55" s="170"/>
      <c r="K55" s="170"/>
      <c r="L55" s="117"/>
      <c r="M55" s="59"/>
      <c r="N55" s="59"/>
    </row>
    <row r="56" spans="1:14" ht="33.75" customHeight="1" x14ac:dyDescent="0.25">
      <c r="A56" s="299" t="s">
        <v>155</v>
      </c>
      <c r="B56" s="299"/>
      <c r="C56" s="299"/>
      <c r="D56" s="299"/>
      <c r="E56" s="299"/>
      <c r="F56" s="299"/>
      <c r="G56" s="299"/>
      <c r="H56" s="299"/>
      <c r="I56" s="299"/>
      <c r="J56" s="170"/>
      <c r="K56" s="170"/>
      <c r="L56" s="117"/>
      <c r="M56" s="59"/>
      <c r="N56" s="59"/>
    </row>
    <row r="57" spans="1:14" ht="31.5" customHeight="1" x14ac:dyDescent="0.25">
      <c r="A57" s="298" t="s">
        <v>156</v>
      </c>
      <c r="B57" s="298"/>
      <c r="C57" s="298"/>
      <c r="D57" s="298"/>
      <c r="E57" s="298"/>
      <c r="F57" s="298"/>
      <c r="G57" s="298"/>
      <c r="H57" s="298"/>
      <c r="I57" s="298"/>
      <c r="J57" s="170"/>
      <c r="K57" s="170"/>
      <c r="L57" s="117"/>
      <c r="M57" s="59"/>
      <c r="N57" s="59"/>
    </row>
    <row r="58" spans="1:14" x14ac:dyDescent="0.25">
      <c r="A58" s="3" t="s">
        <v>37</v>
      </c>
      <c r="B58" s="3"/>
      <c r="C58" s="3"/>
      <c r="D58" s="61"/>
      <c r="E58" s="61"/>
      <c r="I58" s="4"/>
      <c r="M58" s="59"/>
      <c r="N58" s="59"/>
    </row>
    <row r="59" spans="1:14" s="61" customFormat="1" x14ac:dyDescent="0.25">
      <c r="A59" s="3" t="s">
        <v>157</v>
      </c>
      <c r="B59" s="3"/>
      <c r="C59" s="3"/>
      <c r="I59" s="4"/>
    </row>
    <row r="60" spans="1:14" x14ac:dyDescent="0.25">
      <c r="A60" s="3" t="s">
        <v>67</v>
      </c>
      <c r="B60" s="3"/>
      <c r="C60" s="3"/>
      <c r="D60" s="61"/>
      <c r="E60" s="61"/>
      <c r="I60" s="4"/>
      <c r="M60" s="59"/>
      <c r="N60" s="59"/>
    </row>
    <row r="61" spans="1:14" x14ac:dyDescent="0.25">
      <c r="A61" s="3" t="s">
        <v>153</v>
      </c>
      <c r="C61" s="62"/>
      <c r="D61" s="59"/>
      <c r="E61" s="59"/>
      <c r="I61" s="59"/>
      <c r="M61" s="59"/>
      <c r="N61" s="59"/>
    </row>
    <row r="62" spans="1:14" ht="37.5" customHeight="1" x14ac:dyDescent="0.25">
      <c r="A62" s="297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59"/>
      <c r="N62" s="59"/>
    </row>
    <row r="63" spans="1:14" x14ac:dyDescent="0.25">
      <c r="C63" s="62"/>
      <c r="D63" s="59"/>
      <c r="E63" s="59"/>
      <c r="I63" s="59"/>
      <c r="M63" s="59"/>
      <c r="N63" s="59"/>
    </row>
    <row r="64" spans="1:14" x14ac:dyDescent="0.25">
      <c r="D64" s="59"/>
      <c r="E64" s="59"/>
      <c r="I64" s="59"/>
      <c r="M64" s="59"/>
      <c r="N64" s="59"/>
    </row>
    <row r="65" spans="4:14" x14ac:dyDescent="0.25">
      <c r="D65" s="59"/>
      <c r="E65" s="59"/>
      <c r="I65" s="59"/>
      <c r="M65" s="59"/>
      <c r="N65" s="59"/>
    </row>
    <row r="66" spans="4:14" x14ac:dyDescent="0.25">
      <c r="D66" s="59"/>
      <c r="E66" s="59"/>
      <c r="I66" s="59"/>
      <c r="M66" s="59"/>
      <c r="N66" s="59"/>
    </row>
    <row r="67" spans="4:14" x14ac:dyDescent="0.25">
      <c r="D67" s="59"/>
      <c r="E67" s="59"/>
      <c r="I67" s="59"/>
      <c r="M67" s="59"/>
      <c r="N67" s="59"/>
    </row>
    <row r="68" spans="4:14" x14ac:dyDescent="0.25">
      <c r="D68" s="59"/>
      <c r="E68" s="59"/>
      <c r="I68" s="59"/>
      <c r="M68" s="59"/>
      <c r="N68" s="59"/>
    </row>
    <row r="70" spans="4:14" x14ac:dyDescent="0.25">
      <c r="M70" s="8"/>
    </row>
  </sheetData>
  <mergeCells count="7">
    <mergeCell ref="A62:L62"/>
    <mergeCell ref="A55:I55"/>
    <mergeCell ref="A56:I56"/>
    <mergeCell ref="A57:I57"/>
    <mergeCell ref="D13:F13"/>
    <mergeCell ref="G13:I13"/>
    <mergeCell ref="J13:L13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75"/>
  <sheetViews>
    <sheetView workbookViewId="0"/>
  </sheetViews>
  <sheetFormatPr defaultRowHeight="15" x14ac:dyDescent="0.25"/>
  <cols>
    <col min="1" max="1" width="54.5703125" style="61" customWidth="1"/>
    <col min="2" max="2" width="14.7109375" style="6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4" style="61" customWidth="1"/>
    <col min="10" max="10" width="15.7109375" style="6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28515625" style="61" customWidth="1"/>
    <col min="16" max="16" width="16.140625" style="6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+'PPC Cycle 2'!A1</f>
        <v>Evergy Missouri West, Inc. - DSIM Rider Update MEEIA 3 Filed 1-10-2020</v>
      </c>
      <c r="B1" s="3"/>
      <c r="C1" s="3"/>
    </row>
    <row r="2" spans="1:34" x14ac:dyDescent="0.25">
      <c r="D2" s="3" t="s">
        <v>80</v>
      </c>
    </row>
    <row r="3" spans="1:34" ht="30" x14ac:dyDescent="0.25">
      <c r="D3" s="63" t="s">
        <v>62</v>
      </c>
      <c r="E3" s="63" t="s">
        <v>61</v>
      </c>
      <c r="F3" s="86" t="s">
        <v>2</v>
      </c>
      <c r="G3" s="63" t="s">
        <v>3</v>
      </c>
      <c r="H3" s="86" t="s">
        <v>70</v>
      </c>
      <c r="I3" s="63" t="s">
        <v>11</v>
      </c>
      <c r="J3" s="63" t="s">
        <v>4</v>
      </c>
    </row>
    <row r="4" spans="1:34" x14ac:dyDescent="0.25">
      <c r="A4" s="22" t="s">
        <v>29</v>
      </c>
      <c r="D4" s="24">
        <f>SUM(C30:L30)</f>
        <v>5782697.5526799997</v>
      </c>
      <c r="E4" s="168">
        <f>SUM(C26:L26)</f>
        <v>1777249324.5429997</v>
      </c>
      <c r="F4" s="24">
        <f>SUM(C22:K22)</f>
        <v>5008343.9849999994</v>
      </c>
      <c r="G4" s="24">
        <f>F4-D4</f>
        <v>-774353.56768000033</v>
      </c>
      <c r="H4" s="24">
        <f>+B40</f>
        <v>1559617.14</v>
      </c>
      <c r="I4" s="24">
        <f>SUM(C45:K45)</f>
        <v>23131.089999999997</v>
      </c>
      <c r="J4" s="36">
        <f>SUM(G4:I4)</f>
        <v>808394.66231999954</v>
      </c>
      <c r="K4" s="62">
        <f>+J4-L40</f>
        <v>0</v>
      </c>
    </row>
    <row r="5" spans="1:34" ht="15.75" thickBot="1" x14ac:dyDescent="0.3">
      <c r="A5" s="22" t="s">
        <v>30</v>
      </c>
      <c r="D5" s="24">
        <f>SUM(C31:L31)</f>
        <v>4477498.60396</v>
      </c>
      <c r="E5" s="168">
        <f>SUM(C27:L27)</f>
        <v>1137978186.954</v>
      </c>
      <c r="F5" s="24">
        <f>SUM(C23:K23)</f>
        <v>4428726.875</v>
      </c>
      <c r="G5" s="24">
        <f>F5-D5</f>
        <v>-48771.728959999979</v>
      </c>
      <c r="H5" s="24">
        <f>+B41</f>
        <v>1138639.3800000001</v>
      </c>
      <c r="I5" s="24">
        <f>SUM(C46:K46)</f>
        <v>8368.0300000000007</v>
      </c>
      <c r="J5" s="36">
        <f>SUM(G5:I5)</f>
        <v>1098235.6810400002</v>
      </c>
      <c r="K5" s="62">
        <f>+J5-L41</f>
        <v>0</v>
      </c>
    </row>
    <row r="6" spans="1:34" ht="16.5" thickTop="1" thickBot="1" x14ac:dyDescent="0.3">
      <c r="A6" s="22"/>
      <c r="D6" s="40">
        <f t="shared" ref="D6" si="0">SUM(D4:D5)</f>
        <v>10260196.156640001</v>
      </c>
      <c r="E6" s="169">
        <f t="shared" ref="E6:H6" si="1">SUM(E4:E5)</f>
        <v>2915227511.4969997</v>
      </c>
      <c r="F6" s="40">
        <f t="shared" si="1"/>
        <v>9437070.8599999994</v>
      </c>
      <c r="G6" s="40">
        <f t="shared" si="1"/>
        <v>-823125.29664000031</v>
      </c>
      <c r="H6" s="40">
        <f t="shared" si="1"/>
        <v>2698256.52</v>
      </c>
      <c r="I6" s="94">
        <f>SUM(I4:I5)</f>
        <v>31499.119999999995</v>
      </c>
      <c r="J6" s="40">
        <f>SUM(J4:J5)</f>
        <v>1906630.3433599998</v>
      </c>
    </row>
    <row r="7" spans="1:34" ht="45.75" thickTop="1" x14ac:dyDescent="0.25">
      <c r="A7" s="22"/>
      <c r="D7" s="269"/>
      <c r="E7" s="270"/>
      <c r="F7" s="269"/>
      <c r="G7" s="269"/>
      <c r="H7" s="269"/>
      <c r="I7" s="271"/>
      <c r="J7" s="271"/>
      <c r="K7" s="266" t="s">
        <v>154</v>
      </c>
    </row>
    <row r="8" spans="1:34" x14ac:dyDescent="0.25">
      <c r="A8" s="22" t="s">
        <v>137</v>
      </c>
      <c r="D8" s="269"/>
      <c r="E8" s="270"/>
      <c r="F8" s="269"/>
      <c r="G8" s="269"/>
      <c r="H8" s="269"/>
      <c r="I8" s="271"/>
      <c r="J8" s="36">
        <f>ROUND($J$5*K8,2)</f>
        <v>432964.84</v>
      </c>
      <c r="K8" s="267">
        <f>+'PPC Cycle 2'!D10</f>
        <v>0.39423672897243034</v>
      </c>
    </row>
    <row r="9" spans="1:34" x14ac:dyDescent="0.25">
      <c r="A9" s="22" t="s">
        <v>138</v>
      </c>
      <c r="D9" s="269"/>
      <c r="E9" s="270"/>
      <c r="F9" s="269"/>
      <c r="G9" s="269"/>
      <c r="H9" s="269"/>
      <c r="I9" s="271"/>
      <c r="J9" s="36">
        <f t="shared" ref="J9:J10" si="2">ROUND($J$5*K9,2)</f>
        <v>497251.89</v>
      </c>
      <c r="K9" s="267">
        <f>+'PPC Cycle 2'!D11</f>
        <v>0.45277339225375463</v>
      </c>
    </row>
    <row r="10" spans="1:34" ht="15.75" thickBot="1" x14ac:dyDescent="0.3">
      <c r="A10" s="22" t="s">
        <v>139</v>
      </c>
      <c r="D10" s="269"/>
      <c r="E10" s="270"/>
      <c r="F10" s="269"/>
      <c r="G10" s="269"/>
      <c r="H10" s="269"/>
      <c r="I10" s="271"/>
      <c r="J10" s="36">
        <f t="shared" si="2"/>
        <v>168018.94</v>
      </c>
      <c r="K10" s="267">
        <f>+'PPC Cycle 2'!D12</f>
        <v>0.15298987877381515</v>
      </c>
    </row>
    <row r="11" spans="1:34" ht="16.5" thickTop="1" thickBot="1" x14ac:dyDescent="0.3">
      <c r="A11" s="22" t="s">
        <v>140</v>
      </c>
      <c r="D11" s="269"/>
      <c r="E11" s="270"/>
      <c r="F11" s="269"/>
      <c r="G11" s="269"/>
      <c r="H11" s="269"/>
      <c r="I11" s="271"/>
      <c r="J11" s="40">
        <f>SUM(J8:J10)</f>
        <v>1098235.67</v>
      </c>
      <c r="K11" s="268">
        <f>SUM(K8:K10)</f>
        <v>1</v>
      </c>
    </row>
    <row r="12" spans="1:34" ht="16.5" thickTop="1" thickBot="1" x14ac:dyDescent="0.3"/>
    <row r="13" spans="1:34" ht="75.75" thickBot="1" x14ac:dyDescent="0.3">
      <c r="B13" s="145" t="str">
        <f>+'PCR Cycle 1'!B13</f>
        <v>Cumulative Over/Under Carryover From 06/01/2019 Filing</v>
      </c>
      <c r="C13" s="217" t="str">
        <f>+'PCR Cycle 1'!C13</f>
        <v>Reverse May-19 - October-19  Forecast From 06/01/2019 Filing</v>
      </c>
      <c r="D13" s="300" t="s">
        <v>39</v>
      </c>
      <c r="E13" s="300"/>
      <c r="F13" s="301"/>
      <c r="G13" s="291" t="s">
        <v>39</v>
      </c>
      <c r="H13" s="292"/>
      <c r="I13" s="293"/>
      <c r="J13" s="305" t="s">
        <v>9</v>
      </c>
      <c r="K13" s="306"/>
      <c r="L13" s="304"/>
    </row>
    <row r="14" spans="1:34" x14ac:dyDescent="0.25">
      <c r="A14" s="61" t="s">
        <v>38</v>
      </c>
      <c r="C14" s="14"/>
      <c r="D14" s="20">
        <f>+'PCR Cycle 1'!D14</f>
        <v>43616</v>
      </c>
      <c r="E14" s="20">
        <f t="shared" ref="E14:L14" si="3">EOMONTH(D14,1)</f>
        <v>43646</v>
      </c>
      <c r="F14" s="20">
        <f t="shared" si="3"/>
        <v>43677</v>
      </c>
      <c r="G14" s="14">
        <f t="shared" si="3"/>
        <v>43708</v>
      </c>
      <c r="H14" s="20">
        <f t="shared" si="3"/>
        <v>43738</v>
      </c>
      <c r="I14" s="20">
        <f t="shared" si="3"/>
        <v>43769</v>
      </c>
      <c r="J14" s="14">
        <f t="shared" si="3"/>
        <v>43799</v>
      </c>
      <c r="K14" s="20">
        <f t="shared" si="3"/>
        <v>43830</v>
      </c>
      <c r="L14" s="122">
        <f t="shared" si="3"/>
        <v>43861</v>
      </c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A15" s="61" t="s">
        <v>29</v>
      </c>
      <c r="C15" s="124">
        <v>-1257902.8500000001</v>
      </c>
      <c r="D15" s="136">
        <f>ROUND([7]Pivot!C26,2)</f>
        <v>330245.64</v>
      </c>
      <c r="E15" s="136">
        <f>ROUND([7]Pivot!D26,2)</f>
        <v>528099.56999999995</v>
      </c>
      <c r="F15" s="137">
        <f>ROUND([7]Pivot!E26,2)</f>
        <v>844538.48</v>
      </c>
      <c r="G15" s="16">
        <f>ROUND([7]Pivot!F26,2)</f>
        <v>455560.32</v>
      </c>
      <c r="H15" s="70">
        <f>ROUND([7]Pivot!G26,2)</f>
        <v>720487.26</v>
      </c>
      <c r="I15" s="72">
        <f>ROUND([7]Pivot!H26,2)</f>
        <v>776217.95</v>
      </c>
      <c r="J15" s="180">
        <f>ROUND('[2]Program Costs - Missouri West'!BF153,2)</f>
        <v>665080.43000000005</v>
      </c>
      <c r="K15" s="171">
        <f>ROUND('[2]Program Costs - Missouri West'!BG153,2)</f>
        <v>1462960.28</v>
      </c>
      <c r="L15" s="95"/>
    </row>
    <row r="16" spans="1:34" x14ac:dyDescent="0.25">
      <c r="A16" s="61" t="s">
        <v>30</v>
      </c>
      <c r="C16" s="124">
        <v>-2048746.98</v>
      </c>
      <c r="D16" s="136">
        <f>ROUND([7]Pivot!C27,2)</f>
        <v>761758.71999999997</v>
      </c>
      <c r="E16" s="136">
        <f>ROUND([7]Pivot!D27,2)</f>
        <v>593552.93999999994</v>
      </c>
      <c r="F16" s="137">
        <f>ROUND([7]Pivot!E27,2)</f>
        <v>614175.15</v>
      </c>
      <c r="G16" s="16">
        <f>ROUND([7]Pivot!F27,2)</f>
        <v>701760.42</v>
      </c>
      <c r="H16" s="70">
        <f>ROUND([7]Pivot!G27,2)</f>
        <v>646042.4</v>
      </c>
      <c r="I16" s="72">
        <f>ROUND([7]Pivot!H27,2)</f>
        <v>556731.78</v>
      </c>
      <c r="J16" s="180">
        <f>ROUND('[2]Program Costs - Missouri West'!BF154,2)</f>
        <v>880550.86</v>
      </c>
      <c r="K16" s="171">
        <f>ROUND('[2]Program Costs - Missouri West'!BG154,2)</f>
        <v>1239844.68</v>
      </c>
      <c r="L16" s="95"/>
      <c r="M16" s="79" t="s">
        <v>32</v>
      </c>
    </row>
    <row r="17" spans="1:14" x14ac:dyDescent="0.25">
      <c r="A17" s="61" t="s">
        <v>0</v>
      </c>
      <c r="C17" s="124">
        <v>-147887.76</v>
      </c>
      <c r="D17" s="136">
        <f>ROUND([7]Pivot!C28,2)</f>
        <v>94271.53</v>
      </c>
      <c r="E17" s="136">
        <f>ROUND([7]Pivot!D28,2)</f>
        <v>69783.350000000006</v>
      </c>
      <c r="F17" s="137">
        <f>ROUND([7]Pivot!E28,2)</f>
        <v>46074.080000000002</v>
      </c>
      <c r="G17" s="16">
        <f>ROUND([7]Pivot!F28,2)</f>
        <v>58929.81</v>
      </c>
      <c r="H17" s="70">
        <f>ROUND([7]Pivot!G28,2)</f>
        <v>115134.19</v>
      </c>
      <c r="I17" s="72">
        <f>ROUND([7]Pivot!H28,2)</f>
        <v>83114.02</v>
      </c>
      <c r="J17" s="180">
        <f>ROUND('[2]Program Costs - Missouri West'!BF155,2)</f>
        <v>108427.84</v>
      </c>
      <c r="K17" s="171">
        <f>ROUND('[2]Program Costs - Missouri West'!BG155,2)</f>
        <v>243899.39</v>
      </c>
      <c r="L17" s="95"/>
      <c r="M17" s="89">
        <v>0.5</v>
      </c>
    </row>
    <row r="18" spans="1:14" x14ac:dyDescent="0.25">
      <c r="A18" s="61" t="s">
        <v>1</v>
      </c>
      <c r="C18" s="124">
        <v>0</v>
      </c>
      <c r="D18" s="136">
        <f>ROUND([7]Pivot!C29,2)</f>
        <v>56575.74</v>
      </c>
      <c r="E18" s="136">
        <f>ROUND([7]Pivot!D29,2)</f>
        <v>34511.85</v>
      </c>
      <c r="F18" s="137">
        <f>ROUND([7]Pivot!E29,2)</f>
        <v>92934.63</v>
      </c>
      <c r="G18" s="16">
        <f>ROUND([7]Pivot!F29,2)</f>
        <v>14865.33</v>
      </c>
      <c r="H18" s="70">
        <f>ROUND([7]Pivot!G29,2)</f>
        <v>39381.14</v>
      </c>
      <c r="I18" s="72">
        <f>ROUND([7]Pivot!H29,2)</f>
        <v>56098.67</v>
      </c>
      <c r="J18" s="180">
        <f>ROUND('[2]Program Costs - Missouri West'!BF156,2)</f>
        <v>0</v>
      </c>
      <c r="K18" s="171">
        <f>ROUND('[2]Program Costs - Missouri West'!BG156,2)</f>
        <v>0</v>
      </c>
      <c r="L18" s="95"/>
      <c r="M18" s="79"/>
    </row>
    <row r="19" spans="1:14" x14ac:dyDescent="0.25">
      <c r="C19" s="125"/>
      <c r="D19" s="44"/>
      <c r="E19" s="44"/>
      <c r="F19" s="44"/>
      <c r="G19" s="41"/>
      <c r="H19" s="44"/>
      <c r="I19" s="17"/>
      <c r="J19" s="41"/>
      <c r="K19" s="44"/>
      <c r="L19" s="42"/>
    </row>
    <row r="20" spans="1:14" x14ac:dyDescent="0.25">
      <c r="C20" s="125"/>
      <c r="D20" s="44"/>
      <c r="E20" s="44"/>
      <c r="F20" s="44"/>
      <c r="G20" s="41"/>
      <c r="H20" s="44"/>
      <c r="I20" s="17"/>
      <c r="J20" s="41"/>
      <c r="K20" s="44"/>
      <c r="L20" s="42"/>
    </row>
    <row r="21" spans="1:14" x14ac:dyDescent="0.25">
      <c r="A21" s="61" t="s">
        <v>41</v>
      </c>
      <c r="C21" s="126"/>
      <c r="D21" s="44"/>
      <c r="E21" s="44"/>
      <c r="F21" s="44"/>
      <c r="G21" s="41"/>
      <c r="H21" s="44"/>
      <c r="I21" s="18"/>
      <c r="J21" s="10"/>
      <c r="K21" s="17"/>
      <c r="L21" s="11"/>
    </row>
    <row r="22" spans="1:14" x14ac:dyDescent="0.25">
      <c r="A22" s="61" t="s">
        <v>29</v>
      </c>
      <c r="C22" s="53">
        <f t="shared" ref="C22:I22" si="4">C15+($M$17*C$17)+($M$17*C$18)</f>
        <v>-1331846.73</v>
      </c>
      <c r="D22" s="54">
        <f t="shared" si="4"/>
        <v>405669.27500000002</v>
      </c>
      <c r="E22" s="54">
        <f t="shared" si="4"/>
        <v>580247.17000000004</v>
      </c>
      <c r="F22" s="135">
        <f t="shared" si="4"/>
        <v>914042.83499999996</v>
      </c>
      <c r="G22" s="53">
        <f t="shared" si="4"/>
        <v>492457.88999999996</v>
      </c>
      <c r="H22" s="54">
        <f t="shared" si="4"/>
        <v>797744.92499999993</v>
      </c>
      <c r="I22" s="135">
        <f t="shared" si="4"/>
        <v>845824.29499999993</v>
      </c>
      <c r="J22" s="53">
        <f t="shared" ref="J22:K22" si="5">J15+($M$17*J$17)+($M$17*J$18)</f>
        <v>719294.35000000009</v>
      </c>
      <c r="K22" s="54">
        <f t="shared" si="5"/>
        <v>1584909.9750000001</v>
      </c>
      <c r="L22" s="77">
        <f t="shared" ref="L22" si="6">L15+($M$17*L$17)+($M$17*L$18)+L$19*(1-$M$19)</f>
        <v>0</v>
      </c>
    </row>
    <row r="23" spans="1:14" x14ac:dyDescent="0.25">
      <c r="A23" s="61" t="s">
        <v>30</v>
      </c>
      <c r="C23" s="53">
        <f t="shared" ref="C23:I23" si="7">(C$16+$M$17*C$17+C$18*$M$17)</f>
        <v>-2122690.86</v>
      </c>
      <c r="D23" s="54">
        <f t="shared" si="7"/>
        <v>837182.35499999998</v>
      </c>
      <c r="E23" s="54">
        <f t="shared" si="7"/>
        <v>645700.54</v>
      </c>
      <c r="F23" s="135">
        <f t="shared" si="7"/>
        <v>683679.50500000012</v>
      </c>
      <c r="G23" s="53">
        <f t="shared" si="7"/>
        <v>738657.99000000011</v>
      </c>
      <c r="H23" s="54">
        <f t="shared" si="7"/>
        <v>723300.06499999994</v>
      </c>
      <c r="I23" s="135">
        <f t="shared" si="7"/>
        <v>626338.125</v>
      </c>
      <c r="J23" s="53">
        <f t="shared" ref="J23:K23" si="8">(J$16+$M$17*J$17+J$18*$M$17)</f>
        <v>934764.78</v>
      </c>
      <c r="K23" s="54">
        <f t="shared" si="8"/>
        <v>1361794.375</v>
      </c>
      <c r="L23" s="77">
        <f t="shared" ref="L23" si="9">(L$16+$M$17*L$17+L$19*$M$19)+L$18*$M$17</f>
        <v>0</v>
      </c>
    </row>
    <row r="24" spans="1:14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4" x14ac:dyDescent="0.25">
      <c r="A25" s="52" t="s">
        <v>63</v>
      </c>
      <c r="B25" s="52"/>
      <c r="C25" s="128"/>
      <c r="D25" s="44"/>
      <c r="E25" s="44"/>
      <c r="F25" s="44"/>
      <c r="G25" s="41"/>
      <c r="H25" s="44"/>
      <c r="I25" s="17"/>
      <c r="J25" s="10"/>
      <c r="K25" s="17"/>
      <c r="L25" s="11"/>
    </row>
    <row r="26" spans="1:14" x14ac:dyDescent="0.25">
      <c r="A26" s="61" t="s">
        <v>29</v>
      </c>
      <c r="C26" s="129">
        <v>-836021094</v>
      </c>
      <c r="D26" s="138">
        <f>+'[5]May 2019 Combined'!$F$55</f>
        <v>193515857.24129999</v>
      </c>
      <c r="E26" s="138">
        <f>+'[5]June 2019 Combined'!$F$55</f>
        <v>259451677.39160001</v>
      </c>
      <c r="F26" s="138">
        <f>+'[5]July 2019 Combined'!$F$55</f>
        <v>363761391.66229981</v>
      </c>
      <c r="G26" s="210">
        <f>+'[5]August 2019 Combined'!$F$60</f>
        <v>371866716.61979985</v>
      </c>
      <c r="H26" s="219">
        <f>+'[5]September 2019 Combined'!$F$55</f>
        <v>329178131.7610001</v>
      </c>
      <c r="I26" s="205">
        <f>+'[5]October 2019 Combined'!$F$55</f>
        <v>259475549.86699998</v>
      </c>
      <c r="J26" s="181">
        <f>+'PCR Cycle 1'!J26</f>
        <v>207260261</v>
      </c>
      <c r="K26" s="172">
        <f>+'PCR Cycle 1'!K26</f>
        <v>266633201</v>
      </c>
      <c r="L26" s="96">
        <f>+'PCR Cycle 1'!L26</f>
        <v>362127632</v>
      </c>
    </row>
    <row r="27" spans="1:14" x14ac:dyDescent="0.25">
      <c r="A27" s="61" t="s">
        <v>30</v>
      </c>
      <c r="C27" s="129">
        <v>-889792293</v>
      </c>
      <c r="D27" s="138">
        <f>+'[5]May 2019 Combined'!$F$56</f>
        <v>271075647.55299997</v>
      </c>
      <c r="E27" s="138">
        <f>+'[5]June 2019 Combined'!$F$56</f>
        <v>263023654.21219999</v>
      </c>
      <c r="F27" s="138">
        <f>+'[5]July 2019 Combined'!$F$56</f>
        <v>337656416.9716</v>
      </c>
      <c r="G27" s="210">
        <f>+'[5]August 2019 Combined'!$F$61</f>
        <v>324847431.9508</v>
      </c>
      <c r="H27" s="219">
        <f>+'[5]September 2019 Combined'!$F$56</f>
        <v>300248518.44930005</v>
      </c>
      <c r="I27" s="205">
        <f>+'[5]October 2019 Combined'!$F$56</f>
        <v>290047321.81709999</v>
      </c>
      <c r="J27" s="181">
        <f>+'PCR Cycle 1'!J27</f>
        <v>71920701</v>
      </c>
      <c r="K27" s="172">
        <f>+'PCR Cycle 1'!K27</f>
        <v>80547726</v>
      </c>
      <c r="L27" s="96">
        <f>+'PCR Cycle 1'!L27</f>
        <v>88403062</v>
      </c>
    </row>
    <row r="28" spans="1:14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4" x14ac:dyDescent="0.25">
      <c r="A29" s="61" t="s">
        <v>40</v>
      </c>
      <c r="C29" s="126"/>
      <c r="D29" s="18"/>
      <c r="E29" s="18"/>
      <c r="F29" s="18"/>
      <c r="G29" s="118"/>
      <c r="H29" s="18"/>
      <c r="J29" s="182"/>
      <c r="K29" s="73"/>
      <c r="L29" s="74"/>
      <c r="M29" s="79" t="s">
        <v>66</v>
      </c>
      <c r="N29" s="52"/>
    </row>
    <row r="30" spans="1:14" x14ac:dyDescent="0.25">
      <c r="A30" s="61" t="s">
        <v>29</v>
      </c>
      <c r="C30" s="124">
        <v>8360.2109399998408</v>
      </c>
      <c r="D30" s="136">
        <f>ROUND('[5]May 2019 Combined'!$F$28+'[5]May 2019 Combined'!$F$33,2)</f>
        <v>-1842.19</v>
      </c>
      <c r="E30" s="136">
        <f>ROUND('[5]June 2019 Combined'!$F$28+'[5]June 2019 Combined'!$F$33,2)</f>
        <v>-2530.11</v>
      </c>
      <c r="F30" s="166">
        <f>ROUND('[5]July 2019 Combined'!$F$28+'[5]July 2019 Combined'!$F$33,2)</f>
        <v>-3555.12</v>
      </c>
      <c r="G30" s="218">
        <f>ROUND('[5]August 2019 Combined'!$F$28+'[5]August 2019 Combined'!$F$33,2)</f>
        <v>1209051.5</v>
      </c>
      <c r="H30" s="70">
        <f>ROUND('[5]September 2019 Combined'!$F$28+'[5]September 2019 Combined'!$F$33,2)</f>
        <v>1056778.58</v>
      </c>
      <c r="I30" s="179">
        <f>ROUND('[5]October 2019 Combined'!$F$28+'[5]October 2019 Combined'!$F$33,2)</f>
        <v>832806.97</v>
      </c>
      <c r="J30" s="53">
        <f>J26*$M30</f>
        <v>665305.43780999992</v>
      </c>
      <c r="K30" s="54">
        <f t="shared" ref="J30:L31" si="10">K26*$M30</f>
        <v>855892.57520999992</v>
      </c>
      <c r="L30" s="64">
        <f t="shared" si="10"/>
        <v>1162429.69872</v>
      </c>
      <c r="M30" s="88">
        <v>3.2099999999999997E-3</v>
      </c>
    </row>
    <row r="31" spans="1:14" x14ac:dyDescent="0.25">
      <c r="A31" s="61" t="str">
        <f>A27</f>
        <v>Non-Residential</v>
      </c>
      <c r="C31" s="124">
        <v>-1832972.1235800004</v>
      </c>
      <c r="D31" s="136">
        <f>ROUND('[5]May 2019 Combined'!$F$29+'[5]May 2019 Combined'!$F$34,2)</f>
        <v>561447.53</v>
      </c>
      <c r="E31" s="136">
        <f>ROUND('[5]June 2019 Combined'!$F$29+'[5]June 2019 Combined'!$F$34,2)</f>
        <v>539984.88</v>
      </c>
      <c r="F31" s="166">
        <f>ROUND('[5]July 2019 Combined'!$F$29+'[5]July 2019 Combined'!$F$34,2)</f>
        <v>694834.87</v>
      </c>
      <c r="G31" s="218">
        <f>ROUND('[5]August 2019 Combined'!$F$29+'[5]August 2019 Combined'!$F$34,2)</f>
        <v>1255063.22</v>
      </c>
      <c r="H31" s="70">
        <f>ROUND('[5]September 2019 Combined'!$F$29+'[5]September 2019 Combined'!$F$34,2)</f>
        <v>1157454.7</v>
      </c>
      <c r="I31" s="179">
        <f>ROUND('[5]October 2019 Combined'!$F$29+'[5]October 2019 Combined'!$F$34,2)</f>
        <v>1171921.58</v>
      </c>
      <c r="J31" s="53">
        <f t="shared" si="10"/>
        <v>277613.90586</v>
      </c>
      <c r="K31" s="54">
        <f t="shared" si="10"/>
        <v>310914.22236000001</v>
      </c>
      <c r="L31" s="64">
        <f t="shared" si="10"/>
        <v>341235.81932000001</v>
      </c>
      <c r="M31" s="88">
        <v>3.8600000000000001E-3</v>
      </c>
    </row>
    <row r="32" spans="1:14" x14ac:dyDescent="0.25">
      <c r="C32" s="83"/>
      <c r="D32" s="18"/>
      <c r="E32" s="18"/>
      <c r="F32" s="18"/>
      <c r="G32" s="118"/>
      <c r="H32" s="18"/>
      <c r="J32" s="12"/>
      <c r="K32" s="71"/>
      <c r="L32" s="13"/>
      <c r="M32" s="4"/>
    </row>
    <row r="33" spans="1:13" ht="15.75" thickBot="1" x14ac:dyDescent="0.3">
      <c r="A33" s="61" t="s">
        <v>16</v>
      </c>
      <c r="C33" s="130">
        <v>-13323.67</v>
      </c>
      <c r="D33" s="139">
        <v>4300.29</v>
      </c>
      <c r="E33" s="139">
        <v>6354.34</v>
      </c>
      <c r="F33" s="140">
        <v>8561.82</v>
      </c>
      <c r="G33" s="39">
        <v>7804.0399999999991</v>
      </c>
      <c r="H33" s="149">
        <v>4885.75</v>
      </c>
      <c r="I33" s="206">
        <v>3059</v>
      </c>
      <c r="J33" s="184">
        <v>2311.6099999999997</v>
      </c>
      <c r="K33" s="173">
        <v>3471.6499999999996</v>
      </c>
      <c r="L33" s="100"/>
    </row>
    <row r="34" spans="1:13" x14ac:dyDescent="0.25">
      <c r="C34" s="126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68</v>
      </c>
      <c r="C35" s="126"/>
      <c r="D35" s="44"/>
      <c r="E35" s="44"/>
      <c r="F35" s="44"/>
      <c r="G35" s="41"/>
      <c r="H35" s="44"/>
      <c r="I35" s="17"/>
      <c r="J35" s="10"/>
      <c r="K35" s="17"/>
      <c r="L35" s="11"/>
    </row>
    <row r="36" spans="1:13" x14ac:dyDescent="0.25">
      <c r="A36" s="61" t="s">
        <v>29</v>
      </c>
      <c r="C36" s="53">
        <f t="shared" ref="C36:L37" si="11">C22-C30</f>
        <v>-1340206.9409399999</v>
      </c>
      <c r="D36" s="54">
        <f t="shared" si="11"/>
        <v>407511.46500000003</v>
      </c>
      <c r="E36" s="54">
        <f t="shared" si="11"/>
        <v>582777.28</v>
      </c>
      <c r="F36" s="135">
        <f t="shared" si="11"/>
        <v>917597.95499999996</v>
      </c>
      <c r="G36" s="53">
        <f t="shared" si="11"/>
        <v>-716593.6100000001</v>
      </c>
      <c r="H36" s="54">
        <f t="shared" si="11"/>
        <v>-259033.65500000014</v>
      </c>
      <c r="I36" s="135">
        <f t="shared" si="11"/>
        <v>13017.324999999953</v>
      </c>
      <c r="J36" s="53">
        <f t="shared" si="11"/>
        <v>53988.912190000177</v>
      </c>
      <c r="K36" s="54">
        <f t="shared" si="11"/>
        <v>729017.39979000017</v>
      </c>
      <c r="L36" s="64">
        <f t="shared" si="11"/>
        <v>-1162429.69872</v>
      </c>
    </row>
    <row r="37" spans="1:13" x14ac:dyDescent="0.25">
      <c r="A37" s="61" t="s">
        <v>30</v>
      </c>
      <c r="C37" s="53">
        <f t="shared" si="11"/>
        <v>-289718.73641999951</v>
      </c>
      <c r="D37" s="54">
        <f t="shared" si="11"/>
        <v>275734.82499999995</v>
      </c>
      <c r="E37" s="54">
        <f t="shared" si="11"/>
        <v>105715.66000000003</v>
      </c>
      <c r="F37" s="135">
        <f t="shared" si="11"/>
        <v>-11155.364999999874</v>
      </c>
      <c r="G37" s="53">
        <f t="shared" si="11"/>
        <v>-516405.22999999986</v>
      </c>
      <c r="H37" s="54">
        <f t="shared" si="11"/>
        <v>-434154.63500000001</v>
      </c>
      <c r="I37" s="135">
        <f t="shared" si="11"/>
        <v>-545583.45500000007</v>
      </c>
      <c r="J37" s="53">
        <f t="shared" si="11"/>
        <v>657150.87413999997</v>
      </c>
      <c r="K37" s="54">
        <f t="shared" si="11"/>
        <v>1050880.15264</v>
      </c>
      <c r="L37" s="64">
        <f t="shared" si="11"/>
        <v>-341235.81932000001</v>
      </c>
    </row>
    <row r="38" spans="1:13" x14ac:dyDescent="0.25">
      <c r="C38" s="126"/>
      <c r="D38" s="44"/>
      <c r="E38" s="44"/>
      <c r="F38" s="44"/>
      <c r="G38" s="41"/>
      <c r="H38" s="44"/>
      <c r="I38" s="17"/>
      <c r="J38" s="10"/>
      <c r="K38" s="17"/>
      <c r="L38" s="11"/>
    </row>
    <row r="39" spans="1:13" ht="15.75" thickBot="1" x14ac:dyDescent="0.3">
      <c r="A39" s="61" t="s">
        <v>69</v>
      </c>
      <c r="C39" s="131"/>
      <c r="D39" s="44"/>
      <c r="E39" s="44"/>
      <c r="F39" s="44"/>
      <c r="G39" s="41"/>
      <c r="H39" s="44"/>
      <c r="I39" s="17"/>
      <c r="J39" s="10"/>
      <c r="K39" s="17"/>
      <c r="L39" s="11"/>
    </row>
    <row r="40" spans="1:13" x14ac:dyDescent="0.25">
      <c r="A40" s="61" t="s">
        <v>29</v>
      </c>
      <c r="B40" s="196">
        <f>1490730.79+69098.44-212.74+0.65</f>
        <v>1559617.14</v>
      </c>
      <c r="C40" s="54">
        <f>B40+C36+B45</f>
        <v>219410.19906000001</v>
      </c>
      <c r="D40" s="54">
        <f t="shared" ref="D40:L40" si="12">C40+D36+C45</f>
        <v>622057.36406000005</v>
      </c>
      <c r="E40" s="54">
        <f t="shared" si="12"/>
        <v>1206122.6140600001</v>
      </c>
      <c r="F40" s="135">
        <f t="shared" si="12"/>
        <v>2126505.94906</v>
      </c>
      <c r="G40" s="53">
        <f t="shared" si="12"/>
        <v>1414851.9690599998</v>
      </c>
      <c r="H40" s="54">
        <f t="shared" si="12"/>
        <v>1160876.1340599998</v>
      </c>
      <c r="I40" s="135">
        <f t="shared" si="12"/>
        <v>1177434.1190599997</v>
      </c>
      <c r="J40" s="53">
        <f t="shared" si="12"/>
        <v>1234477.5912500001</v>
      </c>
      <c r="K40" s="54">
        <f t="shared" si="12"/>
        <v>1966644.9210400002</v>
      </c>
      <c r="L40" s="64">
        <f t="shared" si="12"/>
        <v>808394.66232000012</v>
      </c>
    </row>
    <row r="41" spans="1:13" ht="15.75" thickBot="1" x14ac:dyDescent="0.3">
      <c r="A41" s="61" t="s">
        <v>30</v>
      </c>
      <c r="B41" s="197">
        <f>1207525.64-69098.44+212.74-0.65+0.09</f>
        <v>1138639.3800000001</v>
      </c>
      <c r="C41" s="54">
        <f>B41+C37+B46</f>
        <v>848920.64358000061</v>
      </c>
      <c r="D41" s="54">
        <f t="shared" ref="D41:L41" si="13">C41+D37+C46</f>
        <v>1116196.0985800005</v>
      </c>
      <c r="E41" s="54">
        <f t="shared" si="13"/>
        <v>1224924.0785800007</v>
      </c>
      <c r="F41" s="135">
        <f t="shared" si="13"/>
        <v>1217337.6835800007</v>
      </c>
      <c r="G41" s="53">
        <f t="shared" si="13"/>
        <v>704554.64358000073</v>
      </c>
      <c r="H41" s="54">
        <f t="shared" si="13"/>
        <v>273146.22858000069</v>
      </c>
      <c r="I41" s="135">
        <f t="shared" si="13"/>
        <v>-271092.1264199994</v>
      </c>
      <c r="J41" s="53">
        <f t="shared" si="13"/>
        <v>386063.17772000056</v>
      </c>
      <c r="K41" s="54">
        <f t="shared" si="13"/>
        <v>1437093.3003600005</v>
      </c>
      <c r="L41" s="64">
        <f t="shared" si="13"/>
        <v>1098235.6810400004</v>
      </c>
    </row>
    <row r="42" spans="1:13" x14ac:dyDescent="0.25">
      <c r="C42" s="126"/>
      <c r="D42" s="44"/>
      <c r="E42" s="44"/>
      <c r="F42" s="44"/>
      <c r="G42" s="41"/>
      <c r="H42" s="44"/>
      <c r="I42" s="17"/>
      <c r="J42" s="10"/>
      <c r="K42" s="17"/>
      <c r="L42" s="11"/>
    </row>
    <row r="43" spans="1:13" x14ac:dyDescent="0.25">
      <c r="A43" s="52" t="s">
        <v>65</v>
      </c>
      <c r="B43" s="52"/>
      <c r="C43" s="131"/>
      <c r="D43" s="103">
        <f>+'PCR Cycle 1'!D43</f>
        <v>3.0790499999999998E-3</v>
      </c>
      <c r="E43" s="103">
        <f>+'PCR Cycle 1'!E43</f>
        <v>3.0450199999999998E-3</v>
      </c>
      <c r="F43" s="103">
        <f>+'PCR Cycle 1'!F43</f>
        <v>2.9619300000000002E-3</v>
      </c>
      <c r="G43" s="105">
        <f>+'PCR Cycle 1'!G43</f>
        <v>2.8524499999999999E-3</v>
      </c>
      <c r="H43" s="103">
        <f>+'PCR Cycle 1'!H43</f>
        <v>2.7438599999999999E-3</v>
      </c>
      <c r="I43" s="103">
        <f>+'PCR Cycle 1'!I43</f>
        <v>2.60867E-3</v>
      </c>
      <c r="J43" s="105">
        <f>+I43</f>
        <v>2.60867E-3</v>
      </c>
      <c r="K43" s="103">
        <f>+J43</f>
        <v>2.60867E-3</v>
      </c>
      <c r="L43" s="119"/>
    </row>
    <row r="44" spans="1:13" x14ac:dyDescent="0.25">
      <c r="A44" s="52" t="s">
        <v>44</v>
      </c>
      <c r="B44" s="52"/>
      <c r="C44" s="126"/>
      <c r="D44" s="44"/>
      <c r="E44" s="44"/>
      <c r="F44" s="44"/>
      <c r="G44" s="41"/>
      <c r="H44" s="44"/>
      <c r="I44" s="17"/>
      <c r="J44" s="10"/>
      <c r="K44" s="17"/>
      <c r="L44" s="11"/>
      <c r="M44" s="87"/>
    </row>
    <row r="45" spans="1:13" x14ac:dyDescent="0.25">
      <c r="A45" s="61" t="s">
        <v>29</v>
      </c>
      <c r="C45" s="53">
        <v>-4864.3</v>
      </c>
      <c r="D45" s="54">
        <f t="shared" ref="D45" si="14">ROUND((C40+C45+D36/2)*D$43,2)</f>
        <v>1287.97</v>
      </c>
      <c r="E45" s="54">
        <f t="shared" ref="E45:E46" si="15">ROUND((D40+D45+E36/2)*E$43,2)</f>
        <v>2785.38</v>
      </c>
      <c r="F45" s="135">
        <f t="shared" ref="F45:F46" si="16">ROUND((E40+E45+F36/2)*F$43,2)</f>
        <v>4939.63</v>
      </c>
      <c r="G45" s="53">
        <f t="shared" ref="G45:G46" si="17">ROUND((F40+F45+G36/2)*G$43,2)</f>
        <v>5057.82</v>
      </c>
      <c r="H45" s="150">
        <f t="shared" ref="H45:I46" si="18">ROUND((G40+G45+H36/2)*H$43,2)</f>
        <v>3540.66</v>
      </c>
      <c r="I45" s="135">
        <f t="shared" si="18"/>
        <v>3054.56</v>
      </c>
      <c r="J45" s="53">
        <f t="shared" ref="J45:J46" si="19">ROUND((I40+I45+J36/2)*J$43,2)</f>
        <v>3149.93</v>
      </c>
      <c r="K45" s="150">
        <f t="shared" ref="K45:K46" si="20">ROUND((J40+J45+K36/2)*K$43,2)</f>
        <v>4179.4399999999996</v>
      </c>
      <c r="L45" s="64"/>
    </row>
    <row r="46" spans="1:13" ht="15.75" thickBot="1" x14ac:dyDescent="0.3">
      <c r="A46" s="61" t="s">
        <v>30</v>
      </c>
      <c r="C46" s="141">
        <v>-8459.369999999999</v>
      </c>
      <c r="D46" s="54">
        <f>ROUND((C41+C46+D37/2)*D$43,2)</f>
        <v>3012.32</v>
      </c>
      <c r="E46" s="54">
        <f t="shared" si="15"/>
        <v>3568.97</v>
      </c>
      <c r="F46" s="135">
        <f t="shared" si="16"/>
        <v>3622.19</v>
      </c>
      <c r="G46" s="53">
        <f t="shared" si="17"/>
        <v>2746.22</v>
      </c>
      <c r="H46" s="150">
        <f t="shared" si="18"/>
        <v>1345.1</v>
      </c>
      <c r="I46" s="135">
        <f t="shared" si="18"/>
        <v>4.43</v>
      </c>
      <c r="J46" s="53">
        <f t="shared" si="19"/>
        <v>149.97</v>
      </c>
      <c r="K46" s="150">
        <f t="shared" si="20"/>
        <v>2378.1999999999998</v>
      </c>
      <c r="L46" s="64"/>
    </row>
    <row r="47" spans="1:13" ht="16.5" thickTop="1" thickBot="1" x14ac:dyDescent="0.3">
      <c r="A47" s="69" t="s">
        <v>25</v>
      </c>
      <c r="B47" s="69"/>
      <c r="C47" s="142">
        <v>0</v>
      </c>
      <c r="D47" s="45">
        <f t="shared" ref="D47:L47" si="21">SUM(D45:D46)+SUM(D40:D41)-D50</f>
        <v>0</v>
      </c>
      <c r="E47" s="45">
        <f t="shared" si="21"/>
        <v>0</v>
      </c>
      <c r="F47" s="65">
        <f t="shared" si="21"/>
        <v>0</v>
      </c>
      <c r="G47" s="151">
        <f t="shared" si="21"/>
        <v>0</v>
      </c>
      <c r="H47" s="45">
        <f t="shared" si="21"/>
        <v>0</v>
      </c>
      <c r="I47" s="65">
        <f t="shared" si="21"/>
        <v>0</v>
      </c>
      <c r="J47" s="66">
        <f t="shared" si="21"/>
        <v>0</v>
      </c>
      <c r="K47" s="45">
        <f t="shared" si="21"/>
        <v>0</v>
      </c>
      <c r="L47" s="123">
        <f t="shared" si="21"/>
        <v>0</v>
      </c>
    </row>
    <row r="48" spans="1:13" ht="16.5" thickTop="1" thickBot="1" x14ac:dyDescent="0.3">
      <c r="A48" s="69" t="s">
        <v>26</v>
      </c>
      <c r="B48" s="69"/>
      <c r="C48" s="134">
        <v>0</v>
      </c>
      <c r="D48" s="45">
        <f>SUM(D45:D46)-D33</f>
        <v>0</v>
      </c>
      <c r="E48" s="45">
        <f t="shared" ref="E48:I48" si="22">SUM(E45:E46)-E33</f>
        <v>1.0000000000218279E-2</v>
      </c>
      <c r="F48" s="65">
        <f>SUM(F45:F46)-F33</f>
        <v>0</v>
      </c>
      <c r="G48" s="66">
        <f t="shared" ref="G48:H48" si="23">SUM(G45:G46)-G33</f>
        <v>0</v>
      </c>
      <c r="H48" s="45">
        <f t="shared" si="23"/>
        <v>1.0000000000218279E-2</v>
      </c>
      <c r="I48" s="65">
        <f t="shared" si="22"/>
        <v>-1.0000000000218279E-2</v>
      </c>
      <c r="J48" s="66">
        <f t="shared" ref="J48:L48" si="24">SUM(J45:J46)-J33</f>
        <v>988.29</v>
      </c>
      <c r="K48" s="45">
        <f t="shared" si="24"/>
        <v>3085.99</v>
      </c>
      <c r="L48" s="123">
        <f t="shared" si="24"/>
        <v>0</v>
      </c>
    </row>
    <row r="49" spans="1:12" ht="16.5" thickTop="1" thickBot="1" x14ac:dyDescent="0.3">
      <c r="C49" s="126"/>
      <c r="D49" s="17"/>
      <c r="E49" s="17"/>
      <c r="F49" s="17"/>
      <c r="G49" s="10"/>
      <c r="H49" s="17"/>
      <c r="I49" s="17"/>
      <c r="J49" s="10"/>
      <c r="K49" s="17"/>
      <c r="L49" s="11"/>
    </row>
    <row r="50" spans="1:12" ht="15.75" thickBot="1" x14ac:dyDescent="0.3">
      <c r="A50" s="61" t="s">
        <v>42</v>
      </c>
      <c r="B50" s="146">
        <f>+B40+B41</f>
        <v>2698256.52</v>
      </c>
      <c r="C50" s="53">
        <f t="shared" ref="C50:I50" si="25">(SUM(C15:C19)-SUM(C30:C31))+SUM(C45:C46)+B50</f>
        <v>1055007.1726400007</v>
      </c>
      <c r="D50" s="54">
        <f t="shared" si="25"/>
        <v>1742553.7526400005</v>
      </c>
      <c r="E50" s="54">
        <f t="shared" si="25"/>
        <v>2437401.0426400006</v>
      </c>
      <c r="F50" s="135">
        <f t="shared" si="25"/>
        <v>3352405.4526400003</v>
      </c>
      <c r="G50" s="53">
        <f t="shared" si="25"/>
        <v>2127210.6526400009</v>
      </c>
      <c r="H50" s="54">
        <f t="shared" si="25"/>
        <v>1438908.1226400007</v>
      </c>
      <c r="I50" s="135">
        <f t="shared" si="25"/>
        <v>909400.98264000053</v>
      </c>
      <c r="J50" s="53">
        <f t="shared" ref="J50" si="26">(SUM(J15:J19)-SUM(J30:J31))+SUM(J45:J46)+I50</f>
        <v>1623840.6689700009</v>
      </c>
      <c r="K50" s="54">
        <f t="shared" ref="K50:L50" si="27">(SUM(K15:K19)-SUM(K30:K31))+SUM(K45:K46)+J50</f>
        <v>3410295.8614000008</v>
      </c>
      <c r="L50" s="77">
        <f t="shared" si="27"/>
        <v>1906630.3433600008</v>
      </c>
    </row>
    <row r="51" spans="1:12" x14ac:dyDescent="0.25">
      <c r="A51" s="61" t="s">
        <v>14</v>
      </c>
      <c r="C51" s="147"/>
      <c r="D51" s="71"/>
      <c r="E51" s="71"/>
      <c r="F51" s="71"/>
      <c r="G51" s="12"/>
      <c r="H51" s="71"/>
      <c r="I51" s="17"/>
      <c r="J51" s="10"/>
      <c r="K51" s="17"/>
      <c r="L51" s="11"/>
    </row>
    <row r="52" spans="1:12" ht="15.75" thickBot="1" x14ac:dyDescent="0.3">
      <c r="B52" s="17"/>
      <c r="C52" s="56"/>
      <c r="D52" s="57"/>
      <c r="E52" s="57"/>
      <c r="F52" s="57"/>
      <c r="G52" s="56"/>
      <c r="H52" s="57"/>
      <c r="I52" s="57"/>
      <c r="J52" s="56"/>
      <c r="K52" s="57"/>
      <c r="L52" s="58"/>
    </row>
    <row r="53" spans="1:12" x14ac:dyDescent="0.25">
      <c r="C53" s="214"/>
      <c r="D53" s="214"/>
      <c r="E53" s="214"/>
      <c r="F53" s="214"/>
      <c r="G53" s="214"/>
      <c r="H53" s="214"/>
    </row>
    <row r="54" spans="1:12" x14ac:dyDescent="0.25">
      <c r="A54" s="85" t="s">
        <v>13</v>
      </c>
      <c r="B54" s="85"/>
      <c r="C54" s="85"/>
    </row>
    <row r="55" spans="1:12" ht="39.75" customHeight="1" x14ac:dyDescent="0.25">
      <c r="A55" s="299" t="s">
        <v>158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</row>
    <row r="56" spans="1:12" ht="37.5" customHeight="1" x14ac:dyDescent="0.25">
      <c r="A56" s="298" t="s">
        <v>155</v>
      </c>
      <c r="B56" s="298"/>
      <c r="C56" s="298"/>
      <c r="D56" s="298"/>
      <c r="E56" s="298"/>
      <c r="F56" s="298"/>
      <c r="G56" s="298"/>
      <c r="H56" s="298"/>
      <c r="I56" s="298"/>
      <c r="J56" s="222"/>
      <c r="K56" s="222"/>
      <c r="L56" s="222"/>
    </row>
    <row r="57" spans="1:12" ht="33.75" customHeight="1" x14ac:dyDescent="0.25">
      <c r="A57" s="298" t="s">
        <v>159</v>
      </c>
      <c r="B57" s="298"/>
      <c r="C57" s="298"/>
      <c r="D57" s="298"/>
      <c r="E57" s="298"/>
      <c r="F57" s="298"/>
      <c r="G57" s="298"/>
      <c r="H57" s="298"/>
      <c r="I57" s="298"/>
      <c r="J57" s="222"/>
      <c r="K57" s="222"/>
      <c r="L57" s="222"/>
    </row>
    <row r="58" spans="1:12" x14ac:dyDescent="0.25">
      <c r="A58" s="3" t="s">
        <v>37</v>
      </c>
      <c r="B58" s="3"/>
      <c r="C58" s="3"/>
      <c r="I58" s="4"/>
    </row>
    <row r="59" spans="1:12" x14ac:dyDescent="0.25">
      <c r="A59" s="3" t="s">
        <v>157</v>
      </c>
      <c r="B59" s="3"/>
      <c r="C59" s="3"/>
      <c r="I59" s="4"/>
    </row>
    <row r="60" spans="1:12" x14ac:dyDescent="0.25">
      <c r="A60" s="3" t="s">
        <v>67</v>
      </c>
      <c r="B60" s="3"/>
      <c r="C60" s="3"/>
      <c r="I60" s="4"/>
    </row>
    <row r="61" spans="1:12" x14ac:dyDescent="0.25">
      <c r="A61" s="3" t="s">
        <v>153</v>
      </c>
      <c r="C61" s="52"/>
      <c r="D61" s="52"/>
      <c r="E61" s="52"/>
      <c r="F61" s="52"/>
      <c r="G61" s="52"/>
      <c r="H61" s="52"/>
      <c r="I61" s="52"/>
      <c r="J61" s="52"/>
    </row>
    <row r="62" spans="1:12" x14ac:dyDescent="0.25">
      <c r="C62" s="52"/>
      <c r="D62" s="264"/>
      <c r="E62" s="264"/>
      <c r="F62" s="264"/>
      <c r="G62" s="264"/>
      <c r="H62" s="264"/>
      <c r="I62" s="264"/>
      <c r="J62" s="52"/>
    </row>
    <row r="63" spans="1:12" x14ac:dyDescent="0.25">
      <c r="C63" s="52"/>
      <c r="D63" s="264"/>
      <c r="E63" s="264"/>
      <c r="F63" s="264"/>
      <c r="G63" s="264"/>
      <c r="H63" s="264"/>
      <c r="I63" s="264"/>
      <c r="J63" s="52"/>
    </row>
    <row r="64" spans="1:12" x14ac:dyDescent="0.25">
      <c r="C64" s="52"/>
      <c r="D64" s="264"/>
      <c r="E64" s="264"/>
      <c r="F64" s="264"/>
      <c r="G64" s="264"/>
      <c r="H64" s="264"/>
      <c r="I64" s="264"/>
      <c r="J64" s="52"/>
    </row>
    <row r="65" spans="3:13" x14ac:dyDescent="0.25">
      <c r="C65" s="52"/>
      <c r="D65" s="52"/>
      <c r="E65" s="52"/>
      <c r="F65" s="52"/>
      <c r="G65" s="52"/>
      <c r="H65" s="52"/>
      <c r="I65" s="52"/>
      <c r="J65" s="52"/>
    </row>
    <row r="66" spans="3:13" x14ac:dyDescent="0.25">
      <c r="C66" s="52"/>
      <c r="D66" s="265"/>
      <c r="E66" s="265"/>
      <c r="F66" s="265"/>
      <c r="G66" s="265"/>
      <c r="H66" s="265"/>
      <c r="I66" s="265"/>
      <c r="J66" s="52"/>
    </row>
    <row r="67" spans="3:13" x14ac:dyDescent="0.25">
      <c r="C67" s="52"/>
      <c r="D67" s="265"/>
      <c r="E67" s="265"/>
      <c r="F67" s="265"/>
      <c r="G67" s="265"/>
      <c r="H67" s="265"/>
      <c r="I67" s="265"/>
      <c r="J67" s="52"/>
    </row>
    <row r="68" spans="3:13" x14ac:dyDescent="0.25">
      <c r="C68" s="52"/>
      <c r="D68" s="52"/>
      <c r="E68" s="52"/>
      <c r="F68" s="52"/>
      <c r="G68" s="52"/>
      <c r="H68" s="52"/>
      <c r="I68" s="52"/>
      <c r="J68" s="52"/>
    </row>
    <row r="69" spans="3:13" x14ac:dyDescent="0.25">
      <c r="C69" s="52"/>
      <c r="D69" s="52"/>
      <c r="E69" s="52"/>
      <c r="F69" s="52"/>
      <c r="G69" s="52"/>
      <c r="H69" s="52"/>
      <c r="I69" s="52"/>
      <c r="J69" s="52"/>
    </row>
    <row r="70" spans="3:13" x14ac:dyDescent="0.25">
      <c r="C70" s="52"/>
      <c r="D70" s="52"/>
      <c r="E70" s="52"/>
      <c r="F70" s="52"/>
      <c r="G70" s="52"/>
      <c r="H70" s="52"/>
      <c r="I70" s="52"/>
      <c r="J70" s="52"/>
    </row>
    <row r="71" spans="3:13" x14ac:dyDescent="0.25">
      <c r="D71" s="62"/>
      <c r="E71" s="62"/>
      <c r="F71" s="62"/>
      <c r="G71" s="62"/>
      <c r="H71" s="62"/>
    </row>
    <row r="72" spans="3:13" x14ac:dyDescent="0.25">
      <c r="D72" s="62"/>
      <c r="E72" s="62"/>
      <c r="F72" s="62"/>
      <c r="G72" s="62"/>
      <c r="H72" s="62"/>
    </row>
    <row r="75" spans="3:13" x14ac:dyDescent="0.25">
      <c r="M75" s="8"/>
    </row>
  </sheetData>
  <mergeCells count="6">
    <mergeCell ref="A57:I57"/>
    <mergeCell ref="D13:F13"/>
    <mergeCell ref="A56:I56"/>
    <mergeCell ref="A55:L55"/>
    <mergeCell ref="G13:I13"/>
    <mergeCell ref="J13:L13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1"/>
  <sheetViews>
    <sheetView workbookViewId="0"/>
  </sheetViews>
  <sheetFormatPr defaultRowHeight="15" x14ac:dyDescent="0.25"/>
  <cols>
    <col min="1" max="1" width="23.28515625" customWidth="1"/>
    <col min="2" max="2" width="16.140625" customWidth="1"/>
    <col min="3" max="3" width="15.140625" customWidth="1"/>
  </cols>
  <sheetData>
    <row r="1" spans="1:23" s="61" customFormat="1" x14ac:dyDescent="0.25">
      <c r="A1" s="3" t="str">
        <f>+'PPC Cycle 2'!A1</f>
        <v>Evergy Missouri West, Inc. - DSIM Rider Update MEEIA 3 Filed 1-10-2020</v>
      </c>
    </row>
    <row r="2" spans="1:23" x14ac:dyDescent="0.25">
      <c r="A2" s="9" t="str">
        <f>+'PPC Cycle 2'!A2</f>
        <v>Projections for Cycle 2 January - December 2020 DSIM</v>
      </c>
    </row>
    <row r="3" spans="1:23" s="61" customFormat="1" x14ac:dyDescent="0.25">
      <c r="A3" s="9"/>
    </row>
    <row r="4" spans="1:23" ht="40.5" customHeight="1" x14ac:dyDescent="0.25">
      <c r="B4" s="290" t="s">
        <v>84</v>
      </c>
      <c r="C4" s="290"/>
    </row>
    <row r="5" spans="1:23" ht="45" x14ac:dyDescent="0.25">
      <c r="B5" s="86" t="s">
        <v>87</v>
      </c>
      <c r="C5" s="6" t="s">
        <v>34</v>
      </c>
    </row>
    <row r="6" spans="1:23" x14ac:dyDescent="0.25">
      <c r="A6" s="22" t="s">
        <v>29</v>
      </c>
      <c r="B6" s="34">
        <f>+'[2]Missouri West Monthly TD Calc'!BG357</f>
        <v>43350123.934527777</v>
      </c>
      <c r="C6" s="107">
        <f>ROUND('[2]Missouri West Monthly TD Calc'!BG326,2)</f>
        <v>2319169.4</v>
      </c>
    </row>
    <row r="7" spans="1:23" x14ac:dyDescent="0.25">
      <c r="A7" s="43" t="s">
        <v>30</v>
      </c>
      <c r="B7" s="34">
        <f>+'[2]Missouri West Monthly TD Calc'!BG358</f>
        <v>61764026.791700043</v>
      </c>
      <c r="C7" s="107">
        <f>ROUND('[2]Missouri West Monthly TD Calc'!BG327,2)</f>
        <v>1985006.73</v>
      </c>
    </row>
    <row r="8" spans="1:23" x14ac:dyDescent="0.25">
      <c r="A8" s="22" t="s">
        <v>6</v>
      </c>
      <c r="B8" s="35">
        <f>SUM(B6:B7)</f>
        <v>105114150.72622782</v>
      </c>
      <c r="C8" s="24">
        <f>SUM(C6:C7)</f>
        <v>4304176.13</v>
      </c>
    </row>
    <row r="9" spans="1:23" x14ac:dyDescent="0.25">
      <c r="B9" s="33"/>
      <c r="C9" s="61"/>
    </row>
    <row r="10" spans="1:23" s="61" customFormat="1" x14ac:dyDescent="0.25">
      <c r="A10" s="22" t="s">
        <v>137</v>
      </c>
      <c r="B10" s="34">
        <f>+'[2]Missouri West Monthly TD Calc'!$BG$361</f>
        <v>19714107.74492605</v>
      </c>
      <c r="C10" s="107">
        <f>ROUND('[2]Missouri West Monthly TD Calc'!BG336,2)</f>
        <v>957037.38</v>
      </c>
    </row>
    <row r="11" spans="1:23" s="61" customFormat="1" x14ac:dyDescent="0.25">
      <c r="A11" s="22" t="s">
        <v>138</v>
      </c>
      <c r="B11" s="34">
        <f>+'[2]Missouri West Monthly TD Calc'!$BG$363</f>
        <v>27919918.019444458</v>
      </c>
      <c r="C11" s="107">
        <f>ROUND('[2]Missouri West Monthly TD Calc'!BG338,2)</f>
        <v>826182.21</v>
      </c>
    </row>
    <row r="12" spans="1:23" s="61" customFormat="1" x14ac:dyDescent="0.25">
      <c r="A12" s="22" t="s">
        <v>139</v>
      </c>
      <c r="B12" s="34">
        <f>+'[2]Missouri West Monthly TD Calc'!$BG$364</f>
        <v>14130001.027329529</v>
      </c>
      <c r="C12" s="107">
        <f>ROUND('[2]Missouri West Monthly TD Calc'!BG339,2)</f>
        <v>201787.14</v>
      </c>
    </row>
    <row r="13" spans="1:23" s="61" customFormat="1" x14ac:dyDescent="0.25">
      <c r="A13" s="43" t="s">
        <v>140</v>
      </c>
      <c r="B13" s="35">
        <f>SUM(B10:B12)</f>
        <v>61764026.791700035</v>
      </c>
      <c r="C13" s="24">
        <f>SUM(C10:C12)</f>
        <v>1985006.73</v>
      </c>
    </row>
    <row r="14" spans="1:23" x14ac:dyDescent="0.25">
      <c r="A14" s="61"/>
      <c r="B14" s="61"/>
      <c r="C14" s="61"/>
    </row>
    <row r="15" spans="1:23" x14ac:dyDescent="0.25">
      <c r="A15" s="85" t="s">
        <v>35</v>
      </c>
      <c r="B15" s="22"/>
      <c r="C15" s="23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295" t="s">
        <v>160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</row>
    <row r="17" spans="1:12" x14ac:dyDescent="0.25">
      <c r="A17" s="295" t="s">
        <v>161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</row>
    <row r="37" spans="2:3" x14ac:dyDescent="0.25">
      <c r="B37" s="8"/>
      <c r="C37" s="8"/>
    </row>
    <row r="41" spans="2:3" x14ac:dyDescent="0.25">
      <c r="B41" s="8"/>
      <c r="C41" s="8"/>
    </row>
  </sheetData>
  <mergeCells count="3">
    <mergeCell ref="B4:C4"/>
    <mergeCell ref="A16:L16"/>
    <mergeCell ref="A17:L17"/>
  </mergeCells>
  <pageMargins left="0.2" right="0.2" top="0.75" bottom="0.2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AD7F-3966-4576-BB3E-0A97F277074D}">
  <sheetPr>
    <pageSetUpPr fitToPage="1"/>
  </sheetPr>
  <dimension ref="A1:W39"/>
  <sheetViews>
    <sheetView workbookViewId="0"/>
  </sheetViews>
  <sheetFormatPr defaultRowHeight="15" x14ac:dyDescent="0.25"/>
  <cols>
    <col min="1" max="1" width="22.42578125" style="61" customWidth="1"/>
    <col min="2" max="2" width="16.140625" style="61" customWidth="1"/>
    <col min="3" max="3" width="15.140625" style="61" customWidth="1"/>
    <col min="4" max="16384" width="9.140625" style="61"/>
  </cols>
  <sheetData>
    <row r="1" spans="1:23" x14ac:dyDescent="0.25">
      <c r="A1" s="3" t="str">
        <f>+'PPC Cycle 2'!A1</f>
        <v>Evergy Missouri West, Inc. - DSIM Rider Update MEEIA 3 Filed 1-10-2020</v>
      </c>
    </row>
    <row r="2" spans="1:23" x14ac:dyDescent="0.25">
      <c r="A2" s="9" t="str">
        <f>+'PPC Cycle 3'!A2</f>
        <v>Projections for Cycle 3 January - December 2020 DSIM</v>
      </c>
    </row>
    <row r="3" spans="1:23" x14ac:dyDescent="0.25">
      <c r="A3" s="9"/>
    </row>
    <row r="4" spans="1:23" ht="40.5" customHeight="1" x14ac:dyDescent="0.25">
      <c r="B4" s="290" t="s">
        <v>147</v>
      </c>
      <c r="C4" s="290"/>
    </row>
    <row r="5" spans="1:23" ht="45" x14ac:dyDescent="0.25">
      <c r="B5" s="86" t="s">
        <v>87</v>
      </c>
      <c r="C5" s="63" t="s">
        <v>34</v>
      </c>
    </row>
    <row r="6" spans="1:23" x14ac:dyDescent="0.25">
      <c r="A6" s="22" t="s">
        <v>29</v>
      </c>
      <c r="B6" s="34">
        <f>SUM('[4]Monthly TD Calc'!E492:P492)</f>
        <v>33994549.65147005</v>
      </c>
      <c r="C6" s="107">
        <f>ROUND(SUM('[4]Monthly TD Calc'!G608:H608),2)</f>
        <v>2152258.27</v>
      </c>
    </row>
    <row r="7" spans="1:23" x14ac:dyDescent="0.25">
      <c r="A7" s="22" t="s">
        <v>137</v>
      </c>
      <c r="B7" s="34">
        <f>SUM('[4]Monthly TD Calc'!E493:P493)</f>
        <v>2192140.8642289024</v>
      </c>
      <c r="C7" s="107">
        <f>ROUND(SUM('[4]Monthly TD Calc'!G609:H609),2)</f>
        <v>115049.97</v>
      </c>
    </row>
    <row r="8" spans="1:23" x14ac:dyDescent="0.25">
      <c r="A8" s="22" t="s">
        <v>138</v>
      </c>
      <c r="B8" s="34">
        <f>SUM('[4]Monthly TD Calc'!E495:P495)</f>
        <v>3403999.7902647657</v>
      </c>
      <c r="C8" s="107">
        <f>ROUND(SUM('[4]Monthly TD Calc'!G611:H611),2)</f>
        <v>103234.13</v>
      </c>
    </row>
    <row r="9" spans="1:23" x14ac:dyDescent="0.25">
      <c r="A9" s="22" t="s">
        <v>139</v>
      </c>
      <c r="B9" s="34">
        <f>SUM('[4]Monthly TD Calc'!E496:P496)</f>
        <v>2579327.1588441287</v>
      </c>
      <c r="C9" s="107">
        <f>ROUND(SUM('[4]Monthly TD Calc'!G612:H612),2)</f>
        <v>31403.37</v>
      </c>
    </row>
    <row r="10" spans="1:23" x14ac:dyDescent="0.25">
      <c r="A10" s="22" t="s">
        <v>6</v>
      </c>
      <c r="B10" s="35">
        <f>SUM(B6:B9)</f>
        <v>42170017.464807846</v>
      </c>
      <c r="C10" s="24">
        <f>SUM(C6:C9)</f>
        <v>2401945.7400000002</v>
      </c>
    </row>
    <row r="11" spans="1:23" x14ac:dyDescent="0.25">
      <c r="B11" s="33"/>
    </row>
    <row r="13" spans="1:23" x14ac:dyDescent="0.25">
      <c r="A13" s="85" t="s">
        <v>35</v>
      </c>
      <c r="B13" s="22"/>
      <c r="C13" s="23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295" t="s">
        <v>149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</row>
    <row r="15" spans="1:23" x14ac:dyDescent="0.25">
      <c r="A15" s="295" t="s">
        <v>150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</row>
    <row r="35" spans="2:3" x14ac:dyDescent="0.25">
      <c r="B35" s="8"/>
      <c r="C35" s="8"/>
    </row>
    <row r="39" spans="2:3" x14ac:dyDescent="0.25">
      <c r="B39" s="8"/>
      <c r="C39" s="8"/>
    </row>
  </sheetData>
  <mergeCells count="3">
    <mergeCell ref="B4:C4"/>
    <mergeCell ref="A14:L14"/>
    <mergeCell ref="A15:L15"/>
  </mergeCells>
  <pageMargins left="0.2" right="0.2" top="0.75" bottom="0.2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58"/>
  <sheetViews>
    <sheetView zoomScaleNormal="100" workbookViewId="0"/>
  </sheetViews>
  <sheetFormatPr defaultRowHeight="15" outlineLevelRow="1" x14ac:dyDescent="0.25"/>
  <cols>
    <col min="1" max="1" width="37.7109375" customWidth="1"/>
    <col min="2" max="2" width="12.28515625" style="61" bestFit="1" customWidth="1"/>
    <col min="3" max="3" width="12.42578125" style="61" customWidth="1"/>
    <col min="4" max="4" width="15.42578125" customWidth="1"/>
    <col min="5" max="5" width="15.85546875" customWidth="1"/>
    <col min="6" max="6" width="12.28515625" style="61" customWidth="1"/>
    <col min="7" max="8" width="13.28515625" style="61" customWidth="1"/>
    <col min="9" max="9" width="12.28515625" bestFit="1" customWidth="1"/>
    <col min="10" max="10" width="12.28515625" style="61" bestFit="1" customWidth="1"/>
    <col min="11" max="11" width="13" style="61" customWidth="1"/>
    <col min="12" max="12" width="16" style="61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+'PPC Cycle 2'!A1</f>
        <v>Evergy Missouri West, Inc. - DSIM Rider Update MEEIA 3 Filed 1-10-2020</v>
      </c>
      <c r="B1" s="3"/>
      <c r="C1" s="3"/>
    </row>
    <row r="2" spans="1:34" x14ac:dyDescent="0.25">
      <c r="D2" s="3" t="s">
        <v>86</v>
      </c>
      <c r="K2"/>
      <c r="M2" s="61"/>
      <c r="O2" s="61"/>
      <c r="P2" s="61"/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70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SUM(C18:L18)</f>
        <v>1573.6390599999988</v>
      </c>
      <c r="E4" s="168">
        <f>M22</f>
        <v>0</v>
      </c>
      <c r="F4" s="24">
        <f>SUM(C26:K26)</f>
        <v>0</v>
      </c>
      <c r="G4" s="24">
        <f>F4-D4</f>
        <v>-1573.6390599999988</v>
      </c>
      <c r="H4" s="24">
        <f>+B36+B41</f>
        <v>1112.2699999999313</v>
      </c>
      <c r="I4" s="24">
        <f>SUM(C41:K41)</f>
        <v>461.37</v>
      </c>
      <c r="J4" s="36">
        <f>SUM(G4:I4)</f>
        <v>9.3999993248417013E-4</v>
      </c>
      <c r="K4" s="4">
        <f>+J4-L36-M41</f>
        <v>0</v>
      </c>
    </row>
    <row r="5" spans="1:34" ht="15.75" thickBot="1" x14ac:dyDescent="0.3">
      <c r="A5" s="22" t="s">
        <v>30</v>
      </c>
      <c r="B5" s="22"/>
      <c r="C5" s="22"/>
      <c r="D5" s="24">
        <f>SUM(C19:L19)</f>
        <v>13559.07293</v>
      </c>
      <c r="E5" s="168">
        <f>M23</f>
        <v>0</v>
      </c>
      <c r="F5" s="24">
        <f>SUM(C27:K27)</f>
        <v>0</v>
      </c>
      <c r="G5" s="24">
        <f>F5-D5</f>
        <v>-13559.07293</v>
      </c>
      <c r="H5" s="24">
        <f>+B37+B42</f>
        <v>13123.699999999953</v>
      </c>
      <c r="I5" s="24">
        <f>SUM(C42:K42)</f>
        <v>435.37000000000006</v>
      </c>
      <c r="J5" s="36">
        <f>SUM(G5:I5)</f>
        <v>-2.9300000467742393E-3</v>
      </c>
      <c r="K5" s="62">
        <f>+J5-L37-M42</f>
        <v>0</v>
      </c>
    </row>
    <row r="6" spans="1:34" ht="16.5" thickTop="1" thickBot="1" x14ac:dyDescent="0.3">
      <c r="D6" s="40">
        <f t="shared" ref="D6" si="0">SUM(D4:D5)</f>
        <v>15132.71199</v>
      </c>
      <c r="E6" s="169">
        <f t="shared" ref="E6:H6" si="1">SUM(E4:E5)</f>
        <v>0</v>
      </c>
      <c r="F6" s="40">
        <f t="shared" si="1"/>
        <v>0</v>
      </c>
      <c r="G6" s="40">
        <f t="shared" si="1"/>
        <v>-15132.71199</v>
      </c>
      <c r="H6" s="40">
        <f t="shared" si="1"/>
        <v>14235.969999999885</v>
      </c>
      <c r="I6" s="40">
        <f>SUM(I4:I5)</f>
        <v>896.74</v>
      </c>
      <c r="J6" s="40">
        <f>SUM(J4:J5)</f>
        <v>-1.9900001142900692E-3</v>
      </c>
      <c r="K6"/>
      <c r="S6" s="5"/>
    </row>
    <row r="7" spans="1:34" s="61" customFormat="1" ht="45.75" thickTop="1" x14ac:dyDescent="0.25">
      <c r="J7" s="271"/>
      <c r="K7" s="266" t="s">
        <v>162</v>
      </c>
    </row>
    <row r="8" spans="1:34" s="61" customFormat="1" x14ac:dyDescent="0.25">
      <c r="A8" s="22" t="s">
        <v>137</v>
      </c>
      <c r="J8" s="36">
        <f>ROUND($J$5*K8,2)</f>
        <v>0</v>
      </c>
      <c r="K8" s="267">
        <f>+'PPC Cycle 2'!D10</f>
        <v>0.39423672897243034</v>
      </c>
    </row>
    <row r="9" spans="1:34" s="61" customFormat="1" x14ac:dyDescent="0.25">
      <c r="A9" s="22" t="s">
        <v>138</v>
      </c>
      <c r="J9" s="36">
        <f t="shared" ref="J9:J10" si="2">ROUND($J$5*K9,2)</f>
        <v>0</v>
      </c>
      <c r="K9" s="267">
        <f>+'PPC Cycle 2'!D11</f>
        <v>0.45277339225375463</v>
      </c>
    </row>
    <row r="10" spans="1:34" s="61" customFormat="1" ht="15.75" thickBot="1" x14ac:dyDescent="0.3">
      <c r="A10" s="22" t="s">
        <v>139</v>
      </c>
      <c r="J10" s="36">
        <f t="shared" si="2"/>
        <v>0</v>
      </c>
      <c r="K10" s="267">
        <f>+'PPC Cycle 2'!D12</f>
        <v>0.15298987877381515</v>
      </c>
    </row>
    <row r="11" spans="1:34" s="61" customFormat="1" ht="16.5" thickTop="1" thickBot="1" x14ac:dyDescent="0.3">
      <c r="A11" s="22" t="s">
        <v>140</v>
      </c>
      <c r="J11" s="40">
        <f>SUM(J8:J10)</f>
        <v>0</v>
      </c>
      <c r="K11" s="268">
        <f>SUM(K8:K10)</f>
        <v>1</v>
      </c>
    </row>
    <row r="12" spans="1:34" ht="16.5" thickTop="1" thickBot="1" x14ac:dyDescent="0.3"/>
    <row r="13" spans="1:34" ht="90.75" thickBot="1" x14ac:dyDescent="0.3">
      <c r="B13" s="145" t="str">
        <f>+'PCR Cycle 1'!B13</f>
        <v>Cumulative Over/Under Carryover From 06/01/2019 Filing</v>
      </c>
      <c r="C13" s="217" t="str">
        <f>+'PCR Cycle 1'!C13</f>
        <v>Reverse May-19 - October-19  Forecast From 06/01/2019 Filing</v>
      </c>
      <c r="D13" s="300" t="s">
        <v>39</v>
      </c>
      <c r="E13" s="300"/>
      <c r="F13" s="301"/>
      <c r="G13" s="307" t="s">
        <v>39</v>
      </c>
      <c r="H13" s="308"/>
      <c r="I13" s="309"/>
      <c r="J13" s="305" t="s">
        <v>9</v>
      </c>
      <c r="K13" s="306"/>
      <c r="L13" s="304"/>
    </row>
    <row r="14" spans="1:34" x14ac:dyDescent="0.25">
      <c r="A14" t="s">
        <v>43</v>
      </c>
      <c r="C14" s="132"/>
      <c r="D14" s="20">
        <f>+'PCR Cycle 1'!D14</f>
        <v>43616</v>
      </c>
      <c r="E14" s="20">
        <f t="shared" ref="E14:L14" si="3">EOMONTH(D14,1)</f>
        <v>43646</v>
      </c>
      <c r="F14" s="20">
        <f t="shared" si="3"/>
        <v>43677</v>
      </c>
      <c r="G14" s="14">
        <f t="shared" si="3"/>
        <v>43708</v>
      </c>
      <c r="H14" s="20">
        <f t="shared" si="3"/>
        <v>43738</v>
      </c>
      <c r="I14" s="20">
        <f t="shared" si="3"/>
        <v>43769</v>
      </c>
      <c r="J14" s="14">
        <f t="shared" si="3"/>
        <v>43799</v>
      </c>
      <c r="K14" s="20">
        <f t="shared" si="3"/>
        <v>43830</v>
      </c>
      <c r="L14" s="15">
        <f t="shared" si="3"/>
        <v>43861</v>
      </c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A15" t="s">
        <v>6</v>
      </c>
      <c r="C15" s="124">
        <v>0</v>
      </c>
      <c r="D15" s="136">
        <f t="shared" ref="D15:H15" si="4">+D26+D27</f>
        <v>0</v>
      </c>
      <c r="E15" s="136">
        <f t="shared" si="4"/>
        <v>0</v>
      </c>
      <c r="F15" s="137">
        <f t="shared" si="4"/>
        <v>0</v>
      </c>
      <c r="G15" s="16">
        <f t="shared" si="4"/>
        <v>0</v>
      </c>
      <c r="H15" s="70">
        <f t="shared" si="4"/>
        <v>0</v>
      </c>
      <c r="I15" s="72">
        <f>+I26+I27</f>
        <v>0</v>
      </c>
      <c r="J15" s="186">
        <f t="shared" ref="J15:K15" si="5">+J26+J27</f>
        <v>0</v>
      </c>
      <c r="K15" s="97">
        <f t="shared" si="5"/>
        <v>0</v>
      </c>
      <c r="L15" s="98"/>
    </row>
    <row r="16" spans="1:34" x14ac:dyDescent="0.25">
      <c r="C16" s="126"/>
      <c r="D16" s="17"/>
      <c r="E16" s="17"/>
      <c r="F16" s="17"/>
      <c r="G16" s="10"/>
      <c r="H16" s="17"/>
      <c r="I16" s="17"/>
      <c r="J16" s="41"/>
      <c r="K16" s="44"/>
      <c r="L16" s="42"/>
    </row>
    <row r="17" spans="1:14" x14ac:dyDescent="0.25">
      <c r="A17" t="s">
        <v>17</v>
      </c>
      <c r="C17" s="126"/>
      <c r="D17" s="18"/>
      <c r="E17" s="18"/>
      <c r="F17" s="18"/>
      <c r="G17" s="118"/>
      <c r="H17" s="18"/>
      <c r="I17" s="18"/>
      <c r="J17" s="41"/>
      <c r="K17" s="44"/>
      <c r="L17" s="42"/>
      <c r="M17" s="3" t="s">
        <v>92</v>
      </c>
      <c r="N17" s="52"/>
    </row>
    <row r="18" spans="1:14" x14ac:dyDescent="0.25">
      <c r="A18" t="s">
        <v>29</v>
      </c>
      <c r="C18" s="124">
        <v>-8360.2109400000008</v>
      </c>
      <c r="D18" s="166">
        <f>ROUND('[5]May 2019 Combined'!$F$18,2)</f>
        <v>1944.82</v>
      </c>
      <c r="E18" s="166">
        <f>ROUND('[5]June 2019 Combined'!$F$18,2)</f>
        <v>2594.52</v>
      </c>
      <c r="F18" s="220">
        <f>ROUND('[5]July 2019 Combined'!$F$18,2)</f>
        <v>3635.81</v>
      </c>
      <c r="G18" s="16">
        <f>ROUND('[5]August 2019 Combined'!$F$18,2)</f>
        <v>1758.7</v>
      </c>
      <c r="H18" s="148">
        <f>ROUND('[5]September 2019 Combined'!$F$18,2)</f>
        <v>0</v>
      </c>
      <c r="I18" s="208">
        <f>ROUND('[5]October 2019 Combined'!$F$18,2)</f>
        <v>0</v>
      </c>
      <c r="J18" s="187">
        <f>'PCR Cycle 1'!J26*'TDR Cycle 1'!$M18</f>
        <v>0</v>
      </c>
      <c r="K18" s="175">
        <f>'PCR Cycle 1'!K26*'TDR Cycle 1'!$M18</f>
        <v>0</v>
      </c>
      <c r="L18" s="102">
        <f>'PCR Cycle 1'!L26*'TDR Cycle 1'!$M18</f>
        <v>0</v>
      </c>
      <c r="M18" s="88">
        <v>0</v>
      </c>
      <c r="N18" s="4"/>
    </row>
    <row r="19" spans="1:14" x14ac:dyDescent="0.25">
      <c r="A19" t="s">
        <v>30</v>
      </c>
      <c r="C19" s="124">
        <v>8897.9229300000006</v>
      </c>
      <c r="D19" s="166">
        <f>ROUND('[5]May 2019 Combined'!$F$19,2)</f>
        <v>-1859.05</v>
      </c>
      <c r="E19" s="166">
        <f>ROUND('[5]June 2019 Combined'!$F$19,2)</f>
        <v>-2623.41</v>
      </c>
      <c r="F19" s="220">
        <f>ROUND('[5]July 2019 Combined'!$F$19,2)</f>
        <v>-3366.05</v>
      </c>
      <c r="G19" s="16">
        <f>ROUND('[5]August 2019 Combined'!$F$19,2)</f>
        <v>12509.66</v>
      </c>
      <c r="H19" s="148">
        <f>ROUND('[5]September 2019 Combined'!$F$19,2)</f>
        <v>0</v>
      </c>
      <c r="I19" s="208">
        <f>ROUND('[5]October 2019 Combined'!$F$19,2)</f>
        <v>0</v>
      </c>
      <c r="J19" s="187">
        <f>'PCR Cycle 1'!J27*'TDR Cycle 1'!$M19</f>
        <v>0</v>
      </c>
      <c r="K19" s="175">
        <f>'PCR Cycle 1'!K27*'TDR Cycle 1'!$M19</f>
        <v>0</v>
      </c>
      <c r="L19" s="102">
        <f>'PCR Cycle 1'!L27*'TDR Cycle 1'!$M19</f>
        <v>0</v>
      </c>
      <c r="M19" s="88">
        <v>0</v>
      </c>
      <c r="N19" s="4"/>
    </row>
    <row r="20" spans="1:14" x14ac:dyDescent="0.25">
      <c r="C20" s="83"/>
      <c r="D20" s="84"/>
      <c r="E20" s="84"/>
      <c r="F20" s="84"/>
      <c r="G20" s="83"/>
      <c r="H20" s="84"/>
      <c r="I20" s="84"/>
      <c r="J20" s="12"/>
      <c r="K20" s="71"/>
      <c r="L20" s="13"/>
      <c r="N20" s="4"/>
    </row>
    <row r="21" spans="1:14" x14ac:dyDescent="0.25">
      <c r="A21" s="52" t="s">
        <v>36</v>
      </c>
      <c r="B21" s="52"/>
      <c r="C21" s="83"/>
      <c r="D21" s="71"/>
      <c r="E21" s="71"/>
      <c r="F21" s="71"/>
      <c r="G21" s="12"/>
      <c r="H21" s="71"/>
      <c r="I21" s="111"/>
      <c r="J21" s="12"/>
      <c r="K21" s="71"/>
      <c r="L21" s="13"/>
      <c r="M21" s="7"/>
      <c r="N21" s="61"/>
    </row>
    <row r="22" spans="1:14" x14ac:dyDescent="0.25">
      <c r="A22" s="61" t="s">
        <v>29</v>
      </c>
      <c r="C22" s="129">
        <v>0</v>
      </c>
      <c r="D22" s="138">
        <v>0</v>
      </c>
      <c r="E22" s="138">
        <v>0</v>
      </c>
      <c r="F22" s="152">
        <v>0</v>
      </c>
      <c r="G22" s="92">
        <v>0</v>
      </c>
      <c r="H22" s="93">
        <v>0</v>
      </c>
      <c r="I22" s="205">
        <v>0</v>
      </c>
      <c r="J22" s="188">
        <v>0</v>
      </c>
      <c r="K22" s="176">
        <v>0</v>
      </c>
      <c r="L22" s="99"/>
      <c r="M22" s="75">
        <f>SUM(C22:K22)</f>
        <v>0</v>
      </c>
      <c r="N22" s="61"/>
    </row>
    <row r="23" spans="1:14" x14ac:dyDescent="0.25">
      <c r="A23" t="s">
        <v>30</v>
      </c>
      <c r="C23" s="129">
        <v>0</v>
      </c>
      <c r="D23" s="138">
        <v>0</v>
      </c>
      <c r="E23" s="138">
        <v>0</v>
      </c>
      <c r="F23" s="152">
        <v>0</v>
      </c>
      <c r="G23" s="92">
        <v>0</v>
      </c>
      <c r="H23" s="93">
        <v>0</v>
      </c>
      <c r="I23" s="205">
        <v>0</v>
      </c>
      <c r="J23" s="188">
        <v>0</v>
      </c>
      <c r="K23" s="176">
        <v>0</v>
      </c>
      <c r="L23" s="99"/>
      <c r="M23" s="75">
        <f>SUM(C23:K23)</f>
        <v>0</v>
      </c>
      <c r="N23" s="61"/>
    </row>
    <row r="24" spans="1:14" s="61" customFormat="1" x14ac:dyDescent="0.25">
      <c r="C24" s="83"/>
      <c r="D24" s="84"/>
      <c r="E24" s="84"/>
      <c r="F24" s="84"/>
      <c r="G24" s="83"/>
      <c r="H24" s="84"/>
      <c r="I24" s="84"/>
      <c r="J24" s="12"/>
      <c r="K24" s="71"/>
      <c r="L24" s="13"/>
    </row>
    <row r="25" spans="1:14" x14ac:dyDescent="0.25">
      <c r="A25" s="61" t="s">
        <v>88</v>
      </c>
      <c r="C25" s="49"/>
      <c r="D25" s="50"/>
      <c r="E25" s="50"/>
      <c r="F25" s="50"/>
      <c r="G25" s="49"/>
      <c r="H25" s="50"/>
      <c r="I25" s="50"/>
      <c r="J25" s="189"/>
      <c r="K25" s="67"/>
      <c r="L25" s="51"/>
      <c r="M25" s="61"/>
      <c r="N25" s="61"/>
    </row>
    <row r="26" spans="1:14" x14ac:dyDescent="0.25">
      <c r="A26" s="61" t="s">
        <v>29</v>
      </c>
      <c r="C26" s="124">
        <v>0</v>
      </c>
      <c r="D26" s="136">
        <v>0</v>
      </c>
      <c r="E26" s="136">
        <v>0</v>
      </c>
      <c r="F26" s="137">
        <v>0</v>
      </c>
      <c r="G26" s="16">
        <v>0</v>
      </c>
      <c r="H26" s="70">
        <v>0</v>
      </c>
      <c r="I26" s="72">
        <v>0</v>
      </c>
      <c r="J26" s="190">
        <v>0</v>
      </c>
      <c r="K26" s="174">
        <v>0</v>
      </c>
      <c r="L26" s="98"/>
    </row>
    <row r="27" spans="1:14" x14ac:dyDescent="0.25">
      <c r="A27" s="61" t="s">
        <v>30</v>
      </c>
      <c r="C27" s="124">
        <v>0</v>
      </c>
      <c r="D27" s="136">
        <v>0</v>
      </c>
      <c r="E27" s="136">
        <v>0</v>
      </c>
      <c r="F27" s="137">
        <v>0</v>
      </c>
      <c r="G27" s="16">
        <v>0</v>
      </c>
      <c r="H27" s="70">
        <v>0</v>
      </c>
      <c r="I27" s="72">
        <v>0</v>
      </c>
      <c r="J27" s="190">
        <v>0</v>
      </c>
      <c r="K27" s="174">
        <v>0</v>
      </c>
      <c r="L27" s="98"/>
      <c r="N27" s="62"/>
    </row>
    <row r="28" spans="1:14" s="61" customFormat="1" x14ac:dyDescent="0.25">
      <c r="C28" s="126"/>
      <c r="D28" s="18"/>
      <c r="E28" s="18"/>
      <c r="F28" s="18"/>
      <c r="G28" s="118"/>
      <c r="H28" s="18"/>
      <c r="I28" s="18"/>
      <c r="J28" s="12"/>
      <c r="K28" s="71"/>
      <c r="L28" s="13"/>
    </row>
    <row r="29" spans="1:14" ht="15.75" thickBot="1" x14ac:dyDescent="0.3">
      <c r="A29" s="3" t="s">
        <v>18</v>
      </c>
      <c r="B29" s="3"/>
      <c r="C29" s="130">
        <v>-1832.31</v>
      </c>
      <c r="D29" s="166">
        <v>914.45999999999992</v>
      </c>
      <c r="E29" s="166">
        <v>914.36999999999989</v>
      </c>
      <c r="F29" s="167">
        <v>914</v>
      </c>
      <c r="G29" s="39">
        <v>0</v>
      </c>
      <c r="H29" s="149">
        <v>0</v>
      </c>
      <c r="I29" s="209">
        <v>0</v>
      </c>
      <c r="J29" s="191">
        <v>0</v>
      </c>
      <c r="K29" s="177">
        <v>0</v>
      </c>
      <c r="L29" s="101"/>
    </row>
    <row r="30" spans="1:14" x14ac:dyDescent="0.25">
      <c r="C30" s="80"/>
      <c r="D30" s="82"/>
      <c r="E30" s="82"/>
      <c r="F30" s="46"/>
      <c r="G30" s="80"/>
      <c r="H30" s="46"/>
      <c r="I30" s="46"/>
      <c r="J30" s="192"/>
      <c r="K30" s="47"/>
      <c r="L30" s="76"/>
    </row>
    <row r="31" spans="1:14" x14ac:dyDescent="0.25">
      <c r="A31" t="s">
        <v>68</v>
      </c>
      <c r="C31" s="81"/>
      <c r="D31" s="48"/>
      <c r="E31" s="48"/>
      <c r="F31" s="48"/>
      <c r="G31" s="81"/>
      <c r="H31" s="48"/>
      <c r="I31" s="48"/>
      <c r="J31" s="192"/>
      <c r="K31" s="47"/>
      <c r="L31" s="76"/>
    </row>
    <row r="32" spans="1:14" x14ac:dyDescent="0.25">
      <c r="A32" s="61" t="s">
        <v>29</v>
      </c>
      <c r="C32" s="127">
        <f t="shared" ref="C32:C33" si="6">C26-C18</f>
        <v>8360.2109400000008</v>
      </c>
      <c r="D32" s="54">
        <f t="shared" ref="D32:I33" si="7">D26-D18</f>
        <v>-1944.82</v>
      </c>
      <c r="E32" s="54">
        <f t="shared" si="7"/>
        <v>-2594.52</v>
      </c>
      <c r="F32" s="135">
        <f t="shared" ref="F32:H32" si="8">F26-F18</f>
        <v>-3635.81</v>
      </c>
      <c r="G32" s="53">
        <f t="shared" si="8"/>
        <v>-1758.7</v>
      </c>
      <c r="H32" s="54">
        <f t="shared" si="8"/>
        <v>0</v>
      </c>
      <c r="I32" s="135">
        <f t="shared" si="7"/>
        <v>0</v>
      </c>
      <c r="J32" s="53">
        <f t="shared" ref="J32:K32" si="9">J26-J18</f>
        <v>0</v>
      </c>
      <c r="K32" s="54">
        <f t="shared" si="9"/>
        <v>0</v>
      </c>
      <c r="L32" s="77">
        <f t="shared" ref="L32" si="10">L26-L18</f>
        <v>0</v>
      </c>
    </row>
    <row r="33" spans="1:13" x14ac:dyDescent="0.25">
      <c r="A33" t="s">
        <v>30</v>
      </c>
      <c r="C33" s="127">
        <f t="shared" si="6"/>
        <v>-8897.9229300000006</v>
      </c>
      <c r="D33" s="54">
        <f t="shared" si="7"/>
        <v>1859.05</v>
      </c>
      <c r="E33" s="54">
        <f t="shared" si="7"/>
        <v>2623.41</v>
      </c>
      <c r="F33" s="135">
        <f t="shared" ref="F33:H33" si="11">F27-F19</f>
        <v>3366.05</v>
      </c>
      <c r="G33" s="53">
        <f t="shared" si="11"/>
        <v>-12509.66</v>
      </c>
      <c r="H33" s="54">
        <f t="shared" si="11"/>
        <v>0</v>
      </c>
      <c r="I33" s="135">
        <f t="shared" si="7"/>
        <v>0</v>
      </c>
      <c r="J33" s="53">
        <f t="shared" ref="J33:K33" si="12">J27-J19</f>
        <v>0</v>
      </c>
      <c r="K33" s="54">
        <f t="shared" si="12"/>
        <v>0</v>
      </c>
      <c r="L33" s="77">
        <f t="shared" ref="L33" si="13">L27-L19</f>
        <v>0</v>
      </c>
    </row>
    <row r="34" spans="1:13" x14ac:dyDescent="0.25">
      <c r="C34" s="126"/>
      <c r="D34" s="17"/>
      <c r="E34" s="17"/>
      <c r="F34" s="17"/>
      <c r="G34" s="10"/>
      <c r="H34" s="17"/>
      <c r="I34" s="17"/>
      <c r="J34" s="10"/>
      <c r="K34" s="17"/>
      <c r="L34" s="11"/>
    </row>
    <row r="35" spans="1:13" ht="15.75" thickBot="1" x14ac:dyDescent="0.3">
      <c r="A35" t="s">
        <v>69</v>
      </c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3" x14ac:dyDescent="0.25">
      <c r="A36" s="61" t="s">
        <v>29</v>
      </c>
      <c r="B36" s="143">
        <f>168709.73-6483.33+59.18-0.54</f>
        <v>162285.04</v>
      </c>
      <c r="C36" s="127">
        <f>B36+C32</f>
        <v>170645.25094</v>
      </c>
      <c r="D36" s="54">
        <f t="shared" ref="D36:L36" si="14">C36+D32</f>
        <v>168700.43093999999</v>
      </c>
      <c r="E36" s="54">
        <f t="shared" si="14"/>
        <v>166105.91094</v>
      </c>
      <c r="F36" s="135">
        <f t="shared" si="14"/>
        <v>162470.10094</v>
      </c>
      <c r="G36" s="53">
        <f t="shared" si="14"/>
        <v>160711.40093999999</v>
      </c>
      <c r="H36" s="54">
        <f t="shared" si="14"/>
        <v>160711.40093999999</v>
      </c>
      <c r="I36" s="135">
        <f t="shared" si="14"/>
        <v>160711.40093999999</v>
      </c>
      <c r="J36" s="53">
        <f t="shared" si="14"/>
        <v>160711.40093999999</v>
      </c>
      <c r="K36" s="54">
        <f t="shared" si="14"/>
        <v>160711.40093999999</v>
      </c>
      <c r="L36" s="77">
        <f t="shared" si="14"/>
        <v>160711.40093999999</v>
      </c>
    </row>
    <row r="37" spans="1:13" ht="15.75" thickBot="1" x14ac:dyDescent="0.3">
      <c r="A37" t="s">
        <v>30</v>
      </c>
      <c r="B37" s="144">
        <f>132483.55+4959.28-45.27+0.42</f>
        <v>137397.98000000001</v>
      </c>
      <c r="C37" s="127">
        <f>B37+C33</f>
        <v>128500.05707000001</v>
      </c>
      <c r="D37" s="54">
        <f t="shared" ref="D37:L37" si="15">C37+D33</f>
        <v>130359.10707000001</v>
      </c>
      <c r="E37" s="54">
        <f t="shared" si="15"/>
        <v>132982.51707</v>
      </c>
      <c r="F37" s="135">
        <f t="shared" si="15"/>
        <v>136348.56706999999</v>
      </c>
      <c r="G37" s="53">
        <f t="shared" si="15"/>
        <v>123838.90706999999</v>
      </c>
      <c r="H37" s="54">
        <f t="shared" si="15"/>
        <v>123838.90706999999</v>
      </c>
      <c r="I37" s="135">
        <f t="shared" si="15"/>
        <v>123838.90706999999</v>
      </c>
      <c r="J37" s="53">
        <f t="shared" si="15"/>
        <v>123838.90706999999</v>
      </c>
      <c r="K37" s="54">
        <f t="shared" si="15"/>
        <v>123838.90706999999</v>
      </c>
      <c r="L37" s="77">
        <f t="shared" si="15"/>
        <v>123838.90706999999</v>
      </c>
    </row>
    <row r="38" spans="1:13" x14ac:dyDescent="0.25">
      <c r="C38" s="126"/>
      <c r="D38" s="17"/>
      <c r="E38" s="17"/>
      <c r="F38" s="17"/>
      <c r="G38" s="10"/>
      <c r="H38" s="17"/>
      <c r="I38" s="17"/>
      <c r="J38" s="10"/>
      <c r="K38" s="17"/>
      <c r="L38" s="11"/>
    </row>
    <row r="39" spans="1:13" x14ac:dyDescent="0.25">
      <c r="A39" s="52" t="s">
        <v>90</v>
      </c>
      <c r="B39" s="52"/>
      <c r="C39" s="131"/>
      <c r="D39" s="200">
        <f>+'[8]MO West AFUDC Rate Jan Oct 2019'!$I$31</f>
        <v>3.0419833333333334E-3</v>
      </c>
      <c r="E39" s="200">
        <f>+'[8]MO West AFUDC Rate Jan Oct 2019'!$I$32</f>
        <v>3.0419833333333334E-3</v>
      </c>
      <c r="F39" s="200">
        <f>+'[8]MO West AFUDC Rate Jan Oct 2019'!$I$33</f>
        <v>3.0419833333333334E-3</v>
      </c>
      <c r="G39" s="201">
        <f>+'[8]MO West AFUDC Rate Jan Oct 2019'!$I$34</f>
        <v>3.0419833333333334E-3</v>
      </c>
      <c r="H39" s="200">
        <f>+'[8]MO West AFUDC Rate Jan Oct 2019'!$I$35</f>
        <v>3.0419833333333334E-3</v>
      </c>
      <c r="I39" s="200">
        <f>+'[8]MO West AFUDC Rate Jan Oct 2019'!$I$36</f>
        <v>3.0419833333333334E-3</v>
      </c>
      <c r="J39" s="105">
        <f>+I39</f>
        <v>3.0419833333333334E-3</v>
      </c>
      <c r="K39" s="103">
        <f>+J39</f>
        <v>3.0419833333333334E-3</v>
      </c>
      <c r="L39" s="106"/>
    </row>
    <row r="40" spans="1:13" s="61" customFormat="1" ht="15.75" thickBot="1" x14ac:dyDescent="0.3">
      <c r="A40" s="52" t="s">
        <v>101</v>
      </c>
      <c r="B40" s="52"/>
      <c r="C40" s="133"/>
      <c r="D40" s="103"/>
      <c r="E40" s="103"/>
      <c r="F40" s="103"/>
      <c r="G40" s="105"/>
      <c r="H40" s="103"/>
      <c r="I40" s="103"/>
      <c r="J40" s="105"/>
      <c r="K40" s="103"/>
      <c r="L40" s="106"/>
    </row>
    <row r="41" spans="1:13" x14ac:dyDescent="0.25">
      <c r="A41" s="61" t="s">
        <v>29</v>
      </c>
      <c r="B41" s="143">
        <v>-161172.77000000008</v>
      </c>
      <c r="C41" s="127">
        <v>-1063.77</v>
      </c>
      <c r="D41" s="54">
        <f t="shared" ref="D41:D42" si="16">ROUND((C36+D32/2)*D$39,2)</f>
        <v>516.14</v>
      </c>
      <c r="E41" s="54">
        <f t="shared" ref="E41:E42" si="17">ROUND((D36+E32/2)*E$39,2)</f>
        <v>509.24</v>
      </c>
      <c r="F41" s="135">
        <f t="shared" ref="F41:F42" si="18">ROUND((E36+F32/2)*F$39,2)</f>
        <v>499.76</v>
      </c>
      <c r="G41" s="53">
        <f>ROUND((F36+G32/2)*G$39,2)*0</f>
        <v>0</v>
      </c>
      <c r="H41" s="150">
        <f t="shared" ref="H41:K41" si="19">ROUND((G36+H32/2)*H$39,2)*0</f>
        <v>0</v>
      </c>
      <c r="I41" s="207">
        <f t="shared" si="19"/>
        <v>0</v>
      </c>
      <c r="J41" s="183">
        <f t="shared" si="19"/>
        <v>0</v>
      </c>
      <c r="K41" s="135">
        <f t="shared" si="19"/>
        <v>0</v>
      </c>
      <c r="L41" s="77">
        <f t="shared" ref="L41" si="20">ROUND((K36+L32/2)*L$39,2)</f>
        <v>0</v>
      </c>
      <c r="M41" s="195">
        <f>SUM(B41:L41)</f>
        <v>-160711.40000000005</v>
      </c>
    </row>
    <row r="42" spans="1:13" ht="15.75" thickBot="1" x14ac:dyDescent="0.3">
      <c r="A42" t="s">
        <v>30</v>
      </c>
      <c r="B42" s="144">
        <v>-124274.28000000006</v>
      </c>
      <c r="C42" s="127">
        <v>-768.54</v>
      </c>
      <c r="D42" s="54">
        <f t="shared" si="16"/>
        <v>393.72</v>
      </c>
      <c r="E42" s="54">
        <f t="shared" si="17"/>
        <v>400.54</v>
      </c>
      <c r="F42" s="135">
        <f t="shared" si="18"/>
        <v>409.65</v>
      </c>
      <c r="G42" s="53">
        <f>ROUND((F37+G33/2)*G$39,2)*0</f>
        <v>0</v>
      </c>
      <c r="H42" s="150">
        <f t="shared" ref="H42:K42" si="21">ROUND((G37+H33/2)*H$39,2)*0</f>
        <v>0</v>
      </c>
      <c r="I42" s="207">
        <f t="shared" si="21"/>
        <v>0</v>
      </c>
      <c r="J42" s="183">
        <f t="shared" si="21"/>
        <v>0</v>
      </c>
      <c r="K42" s="135">
        <f t="shared" si="21"/>
        <v>0</v>
      </c>
      <c r="L42" s="77">
        <f t="shared" ref="L42" si="22">ROUND((K37+L33/2)*L$39,2)</f>
        <v>0</v>
      </c>
      <c r="M42" s="195">
        <f>SUM(B42:L42)</f>
        <v>-123838.91000000006</v>
      </c>
    </row>
    <row r="43" spans="1:13" ht="16.5" thickTop="1" thickBot="1" x14ac:dyDescent="0.3">
      <c r="A43" s="69" t="s">
        <v>25</v>
      </c>
      <c r="B43" s="69"/>
      <c r="C43" s="134">
        <v>0</v>
      </c>
      <c r="D43" s="55">
        <f>SUM($B41:D42)+SUM(D36:D37)-D46</f>
        <v>1.6370904631912708E-11</v>
      </c>
      <c r="E43" s="55">
        <f>SUM($B41:E42)+SUM(E36:E37)-E46</f>
        <v>0</v>
      </c>
      <c r="F43" s="65">
        <f>SUM($B41:F42)+SUM(F36:F37)-F46</f>
        <v>2.3646862246096134E-11</v>
      </c>
      <c r="G43" s="185">
        <f>SUM($B41:G42)+SUM(G36:G37)-G46</f>
        <v>-2.0008883439004421E-11</v>
      </c>
      <c r="H43" s="65">
        <f>SUM($B41:H42)+SUM(H36:H37)-H46</f>
        <v>-2.0008883439004421E-11</v>
      </c>
      <c r="I43" s="65">
        <f>SUM($B41:I42)+SUM(I36:I37)-I46</f>
        <v>-2.0008883439004421E-11</v>
      </c>
      <c r="J43" s="193">
        <f>SUM($B41:J42)+SUM(J36:J37)-J46</f>
        <v>-2.0008883439004421E-11</v>
      </c>
      <c r="K43" s="65">
        <f>SUM($B41:K42)+SUM(K36:K37)-K46</f>
        <v>-2.0008883439004421E-11</v>
      </c>
      <c r="L43" s="78">
        <f>SUM($B41:L42)+SUM(L36:L37)-L46</f>
        <v>-2.0008883439004421E-11</v>
      </c>
    </row>
    <row r="44" spans="1:13" s="61" customFormat="1" ht="16.5" thickTop="1" thickBot="1" x14ac:dyDescent="0.3">
      <c r="A44" s="69" t="s">
        <v>26</v>
      </c>
      <c r="B44" s="69"/>
      <c r="C44" s="134">
        <v>0</v>
      </c>
      <c r="D44" s="55">
        <f t="shared" ref="D44:I44" si="23">SUM(D41:D42)-D29</f>
        <v>-4.5999999999999091</v>
      </c>
      <c r="E44" s="55">
        <f t="shared" si="23"/>
        <v>-4.5899999999999181</v>
      </c>
      <c r="F44" s="65">
        <f t="shared" ref="F44:H44" si="24">SUM(F41:F42)-F29</f>
        <v>-4.5900000000000318</v>
      </c>
      <c r="G44" s="185">
        <f t="shared" si="24"/>
        <v>0</v>
      </c>
      <c r="H44" s="65">
        <f t="shared" si="24"/>
        <v>0</v>
      </c>
      <c r="I44" s="65">
        <f t="shared" si="23"/>
        <v>0</v>
      </c>
      <c r="J44" s="66">
        <f t="shared" ref="J44:L44" si="25">SUM(J41:J42)-J29</f>
        <v>0</v>
      </c>
      <c r="K44" s="55">
        <f t="shared" si="25"/>
        <v>0</v>
      </c>
      <c r="L44" s="55">
        <f t="shared" si="25"/>
        <v>0</v>
      </c>
    </row>
    <row r="45" spans="1:13" ht="16.5" thickTop="1" thickBot="1" x14ac:dyDescent="0.3">
      <c r="C45" s="126"/>
      <c r="D45" s="17"/>
      <c r="E45" s="17"/>
      <c r="F45" s="17"/>
      <c r="G45" s="10"/>
      <c r="H45" s="17"/>
      <c r="I45" s="17"/>
      <c r="J45" s="10"/>
      <c r="K45" s="17"/>
      <c r="L45" s="11"/>
    </row>
    <row r="46" spans="1:13" ht="15.75" thickBot="1" x14ac:dyDescent="0.3">
      <c r="A46" t="s">
        <v>42</v>
      </c>
      <c r="B46" s="146">
        <f>SUM(B36:B37,B41:B42)</f>
        <v>14235.969999999885</v>
      </c>
      <c r="C46" s="127">
        <f t="shared" ref="C46" si="26">(C15-SUM(C18:C19))+SUM(C41:C42)+B46</f>
        <v>11865.948009999885</v>
      </c>
      <c r="D46" s="54">
        <f t="shared" ref="D46:I46" si="27">(D15-SUM(D18:D19))+SUM(D41:D42)+C46</f>
        <v>12690.038009999886</v>
      </c>
      <c r="E46" s="54">
        <f t="shared" si="27"/>
        <v>13628.708009999886</v>
      </c>
      <c r="F46" s="135">
        <f t="shared" si="27"/>
        <v>14268.358009999885</v>
      </c>
      <c r="G46" s="53">
        <f t="shared" si="27"/>
        <v>-1.9900001152564073E-3</v>
      </c>
      <c r="H46" s="54">
        <f t="shared" si="27"/>
        <v>-1.9900001152564073E-3</v>
      </c>
      <c r="I46" s="135">
        <f t="shared" si="27"/>
        <v>-1.9900001152564073E-3</v>
      </c>
      <c r="J46" s="183">
        <f t="shared" ref="J46" si="28">(J15-SUM(J18:J19))+SUM(J41:J42)+I46</f>
        <v>-1.9900001152564073E-3</v>
      </c>
      <c r="K46" s="135">
        <f t="shared" ref="K46" si="29">(K15-SUM(K18:K19))+SUM(K41:K42)+J46</f>
        <v>-1.9900001152564073E-3</v>
      </c>
      <c r="L46" s="77">
        <f t="shared" ref="L46" si="30">(L15-SUM(L18:L19))+SUM(L41:L42)+K46</f>
        <v>-1.9900001152564073E-3</v>
      </c>
    </row>
    <row r="47" spans="1:13" x14ac:dyDescent="0.25">
      <c r="A47" t="s">
        <v>14</v>
      </c>
      <c r="C47" s="147"/>
      <c r="D47" s="17"/>
      <c r="E47" s="223"/>
      <c r="F47" s="17"/>
      <c r="G47" s="10"/>
      <c r="H47" s="17"/>
      <c r="I47" s="223"/>
      <c r="J47" s="10"/>
      <c r="K47" s="17"/>
      <c r="L47" s="11"/>
    </row>
    <row r="48" spans="1:13" ht="15.75" thickBot="1" x14ac:dyDescent="0.3">
      <c r="A48" s="50"/>
      <c r="B48" s="50"/>
      <c r="C48" s="194"/>
      <c r="D48" s="57"/>
      <c r="E48" s="57"/>
      <c r="F48" s="57"/>
      <c r="G48" s="56"/>
      <c r="H48" s="57"/>
      <c r="I48" s="57"/>
      <c r="J48" s="56"/>
      <c r="K48" s="57"/>
      <c r="L48" s="58"/>
    </row>
    <row r="49" spans="1:35" x14ac:dyDescent="0.25">
      <c r="A49" s="61"/>
      <c r="D49" s="61"/>
      <c r="E49" s="61"/>
      <c r="I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</row>
    <row r="50" spans="1:35" x14ac:dyDescent="0.25">
      <c r="A50" s="85" t="s">
        <v>13</v>
      </c>
      <c r="B50" s="85"/>
      <c r="C50" s="85"/>
      <c r="D50" s="61"/>
      <c r="E50" s="61"/>
      <c r="I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</row>
    <row r="51" spans="1:35" ht="23.25" customHeight="1" outlineLevel="1" x14ac:dyDescent="0.25">
      <c r="A51" s="298" t="s">
        <v>102</v>
      </c>
      <c r="B51" s="298"/>
      <c r="C51" s="298"/>
      <c r="D51" s="298"/>
      <c r="E51" s="298"/>
      <c r="F51" s="298"/>
      <c r="G51" s="298"/>
      <c r="H51" s="298"/>
      <c r="I51" s="298"/>
      <c r="J51" s="170"/>
      <c r="K51" s="170"/>
      <c r="L51" s="117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</row>
    <row r="52" spans="1:35" ht="43.5" customHeight="1" outlineLevel="1" x14ac:dyDescent="0.25">
      <c r="A52" s="299" t="s">
        <v>155</v>
      </c>
      <c r="B52" s="299"/>
      <c r="C52" s="299"/>
      <c r="D52" s="299"/>
      <c r="E52" s="299"/>
      <c r="F52" s="299"/>
      <c r="G52" s="299"/>
      <c r="H52" s="299"/>
      <c r="I52" s="299"/>
      <c r="J52" s="170"/>
      <c r="K52" s="170"/>
      <c r="L52" s="117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</row>
    <row r="53" spans="1:35" ht="29.25" customHeight="1" outlineLevel="1" x14ac:dyDescent="0.25">
      <c r="A53" s="298" t="s">
        <v>164</v>
      </c>
      <c r="B53" s="298"/>
      <c r="C53" s="298"/>
      <c r="D53" s="298"/>
      <c r="E53" s="298"/>
      <c r="F53" s="298"/>
      <c r="G53" s="298"/>
      <c r="H53" s="298"/>
      <c r="I53" s="298"/>
      <c r="J53" s="170"/>
      <c r="K53" s="170"/>
      <c r="L53" s="117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</row>
    <row r="54" spans="1:35" outlineLevel="1" x14ac:dyDescent="0.25">
      <c r="A54" s="3" t="s">
        <v>89</v>
      </c>
      <c r="B54" s="3"/>
      <c r="C54" s="3"/>
      <c r="D54" s="61"/>
      <c r="E54" s="61"/>
      <c r="I54" s="61"/>
    </row>
    <row r="55" spans="1:35" outlineLevel="1" x14ac:dyDescent="0.25">
      <c r="A55" s="79" t="s">
        <v>165</v>
      </c>
      <c r="B55" s="3"/>
      <c r="C55" s="3"/>
      <c r="D55" s="61"/>
      <c r="E55" s="61"/>
      <c r="I55" s="61"/>
    </row>
    <row r="56" spans="1:35" outlineLevel="1" x14ac:dyDescent="0.25">
      <c r="A56" s="3" t="s">
        <v>91</v>
      </c>
      <c r="B56" s="3"/>
      <c r="C56" s="3"/>
      <c r="D56" s="61"/>
      <c r="E56" s="61"/>
      <c r="I56" s="61"/>
    </row>
    <row r="57" spans="1:35" outlineLevel="1" x14ac:dyDescent="0.25">
      <c r="A57" s="3" t="s">
        <v>163</v>
      </c>
      <c r="B57" s="3"/>
      <c r="C57" s="3"/>
      <c r="D57" s="214"/>
      <c r="E57" s="214"/>
      <c r="F57" s="214"/>
      <c r="G57" s="214"/>
      <c r="H57" s="214"/>
    </row>
    <row r="58" spans="1:35" x14ac:dyDescent="0.25">
      <c r="D58" s="214"/>
      <c r="E58" s="214"/>
      <c r="F58" s="214"/>
      <c r="G58" s="214"/>
      <c r="H58" s="214"/>
    </row>
  </sheetData>
  <mergeCells count="6">
    <mergeCell ref="J13:L13"/>
    <mergeCell ref="A51:I51"/>
    <mergeCell ref="A52:I52"/>
    <mergeCell ref="A53:I53"/>
    <mergeCell ref="D13:F13"/>
    <mergeCell ref="G13:I13"/>
  </mergeCells>
  <pageMargins left="0.2" right="0.2" top="0.75" bottom="0.25" header="0.3" footer="0.3"/>
  <pageSetup scale="57" orientation="landscape" r:id="rId1"/>
  <headerFooter>
    <oddHeader>&amp;C&amp;F &amp;A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62"/>
  <sheetViews>
    <sheetView zoomScaleNormal="100" workbookViewId="0">
      <pane xSplit="1" ySplit="2" topLeftCell="B3" activePane="bottomRight" state="frozen"/>
      <selection activeCell="F17" sqref="F17"/>
      <selection pane="topRight" activeCell="F17" sqref="F17"/>
      <selection pane="bottomLeft" activeCell="F17" sqref="F17"/>
      <selection pane="bottomRight" activeCell="B3" sqref="B3"/>
    </sheetView>
  </sheetViews>
  <sheetFormatPr defaultRowHeight="15" x14ac:dyDescent="0.25"/>
  <cols>
    <col min="1" max="1" width="55.28515625" style="61" customWidth="1"/>
    <col min="2" max="2" width="13.28515625" style="61" customWidth="1"/>
    <col min="3" max="4" width="14.85546875" style="61" customWidth="1"/>
    <col min="5" max="5" width="15.42578125" style="61" customWidth="1"/>
    <col min="6" max="6" width="15.85546875" style="61" customWidth="1"/>
    <col min="7" max="7" width="12.28515625" style="61" customWidth="1"/>
    <col min="8" max="9" width="13.28515625" style="61" customWidth="1"/>
    <col min="10" max="10" width="12.5703125" style="61" bestFit="1" customWidth="1"/>
    <col min="11" max="11" width="12.7109375" style="61" customWidth="1"/>
    <col min="12" max="12" width="13.7109375" style="61" customWidth="1"/>
    <col min="13" max="13" width="16" style="61" customWidth="1"/>
    <col min="14" max="14" width="15" style="61" bestFit="1" customWidth="1"/>
    <col min="15" max="15" width="16" style="61" bestFit="1" customWidth="1"/>
    <col min="16" max="16" width="15.28515625" style="61" bestFit="1" customWidth="1"/>
    <col min="17" max="17" width="17.42578125" style="61" bestFit="1" customWidth="1"/>
    <col min="18" max="18" width="16.28515625" style="61" bestFit="1" customWidth="1"/>
    <col min="19" max="19" width="15.28515625" style="61" bestFit="1" customWidth="1"/>
    <col min="20" max="20" width="12.42578125" style="61" customWidth="1"/>
    <col min="21" max="22" width="14.28515625" style="61" bestFit="1" customWidth="1"/>
    <col min="23" max="16384" width="9.140625" style="61"/>
  </cols>
  <sheetData>
    <row r="1" spans="1:35" x14ac:dyDescent="0.25">
      <c r="A1" s="3" t="str">
        <f>+'PPC Cycle 2'!A1</f>
        <v>Evergy Missouri West, Inc. - DSIM Rider Update MEEIA 3 Filed 1-10-2020</v>
      </c>
      <c r="B1" s="3"/>
      <c r="C1" s="3"/>
      <c r="D1" s="3"/>
    </row>
    <row r="2" spans="1:35" x14ac:dyDescent="0.25">
      <c r="E2" s="3" t="s">
        <v>81</v>
      </c>
    </row>
    <row r="3" spans="1:35" ht="30" x14ac:dyDescent="0.25">
      <c r="E3" s="63" t="s">
        <v>62</v>
      </c>
      <c r="F3" s="86" t="s">
        <v>97</v>
      </c>
      <c r="G3" s="86" t="s">
        <v>98</v>
      </c>
      <c r="H3" s="63" t="s">
        <v>3</v>
      </c>
      <c r="I3" s="86" t="s">
        <v>70</v>
      </c>
      <c r="J3" s="63" t="s">
        <v>11</v>
      </c>
      <c r="K3" s="63" t="s">
        <v>10</v>
      </c>
      <c r="S3" s="63"/>
    </row>
    <row r="4" spans="1:35" x14ac:dyDescent="0.25">
      <c r="A4" s="22" t="s">
        <v>29</v>
      </c>
      <c r="B4" s="22"/>
      <c r="C4" s="22"/>
      <c r="D4" s="22"/>
      <c r="E4" s="24">
        <f>SUM(C18:M18)</f>
        <v>950645.50982000004</v>
      </c>
      <c r="F4" s="168">
        <f>N22</f>
        <v>23788486.762424797</v>
      </c>
      <c r="G4" s="24">
        <f>SUM(C26:L26)</f>
        <v>1523628.63</v>
      </c>
      <c r="H4" s="24">
        <f>G4-E4</f>
        <v>572983.12017999985</v>
      </c>
      <c r="I4" s="24">
        <f>+B36</f>
        <v>91980.68</v>
      </c>
      <c r="J4" s="24">
        <f>SUM(C41:L41)</f>
        <v>12071.34</v>
      </c>
      <c r="K4" s="36">
        <f>SUM(H4:J4)</f>
        <v>677035.14017999975</v>
      </c>
      <c r="L4" s="62">
        <f>+K4-M36</f>
        <v>0</v>
      </c>
    </row>
    <row r="5" spans="1:35" ht="15.75" thickBot="1" x14ac:dyDescent="0.3">
      <c r="A5" s="22" t="s">
        <v>30</v>
      </c>
      <c r="B5" s="22"/>
      <c r="C5" s="22"/>
      <c r="D5" s="22"/>
      <c r="E5" s="24">
        <f>SUM(C19:M19)</f>
        <v>561582.96023000008</v>
      </c>
      <c r="F5" s="168">
        <f>N23</f>
        <v>24278015.822477676</v>
      </c>
      <c r="G5" s="24">
        <f>SUM(C27:L27)</f>
        <v>785024.92999999993</v>
      </c>
      <c r="H5" s="24">
        <f>G5-E5</f>
        <v>223441.96976999985</v>
      </c>
      <c r="I5" s="24">
        <f>+B37</f>
        <v>-106428.26</v>
      </c>
      <c r="J5" s="24">
        <f>SUM(C42:L42)</f>
        <v>655.13999999999987</v>
      </c>
      <c r="K5" s="36">
        <f>SUM(H5:J5)</f>
        <v>117668.84976999986</v>
      </c>
      <c r="L5" s="62">
        <f>+K5-M37</f>
        <v>-1.4551915228366852E-10</v>
      </c>
    </row>
    <row r="6" spans="1:35" ht="16.5" thickTop="1" thickBot="1" x14ac:dyDescent="0.3">
      <c r="E6" s="40">
        <f t="shared" ref="E6" si="0">SUM(E4:E5)</f>
        <v>1512228.4700500001</v>
      </c>
      <c r="F6" s="169">
        <f t="shared" ref="F6:I6" si="1">SUM(F4:F5)</f>
        <v>48066502.584902473</v>
      </c>
      <c r="G6" s="40">
        <f t="shared" si="1"/>
        <v>2308653.5599999996</v>
      </c>
      <c r="H6" s="40">
        <f t="shared" si="1"/>
        <v>796425.0899499997</v>
      </c>
      <c r="I6" s="40">
        <f t="shared" si="1"/>
        <v>-14447.580000000002</v>
      </c>
      <c r="J6" s="40">
        <f>SUM(J4:J5)</f>
        <v>12726.48</v>
      </c>
      <c r="K6" s="40">
        <f>SUM(K4:K5)</f>
        <v>794703.98994999961</v>
      </c>
      <c r="T6" s="5"/>
    </row>
    <row r="7" spans="1:35" ht="45.75" thickTop="1" x14ac:dyDescent="0.25">
      <c r="K7" s="271"/>
      <c r="L7" s="266" t="s">
        <v>162</v>
      </c>
    </row>
    <row r="8" spans="1:35" x14ac:dyDescent="0.25">
      <c r="A8" s="22" t="s">
        <v>137</v>
      </c>
      <c r="K8" s="36">
        <f t="shared" ref="K8:K10" si="2">ROUND($K$5*L8,2)</f>
        <v>46389.38</v>
      </c>
      <c r="L8" s="267">
        <f>+'PPC Cycle 2'!D10</f>
        <v>0.39423672897243034</v>
      </c>
    </row>
    <row r="9" spans="1:35" x14ac:dyDescent="0.25">
      <c r="A9" s="22" t="s">
        <v>138</v>
      </c>
      <c r="K9" s="36">
        <f t="shared" si="2"/>
        <v>53277.32</v>
      </c>
      <c r="L9" s="267">
        <f>+'PPC Cycle 2'!D11</f>
        <v>0.45277339225375463</v>
      </c>
    </row>
    <row r="10" spans="1:35" ht="15.75" thickBot="1" x14ac:dyDescent="0.3">
      <c r="A10" s="22" t="s">
        <v>139</v>
      </c>
      <c r="J10" s="4"/>
      <c r="K10" s="36">
        <f t="shared" si="2"/>
        <v>18002.14</v>
      </c>
      <c r="L10" s="267">
        <f>+'PPC Cycle 2'!D12</f>
        <v>0.15298987877381515</v>
      </c>
      <c r="V10" s="4"/>
    </row>
    <row r="11" spans="1:35" ht="16.5" thickTop="1" thickBot="1" x14ac:dyDescent="0.3">
      <c r="A11" s="22" t="s">
        <v>140</v>
      </c>
      <c r="K11" s="40">
        <f>SUM(K8:K10)</f>
        <v>117668.84</v>
      </c>
      <c r="L11" s="268">
        <f>SUM(L8:L10)</f>
        <v>1</v>
      </c>
      <c r="V11" s="4"/>
      <c r="W11" s="5"/>
    </row>
    <row r="12" spans="1:35" ht="16.5" thickTop="1" thickBot="1" x14ac:dyDescent="0.3"/>
    <row r="13" spans="1:35" ht="90.75" thickBot="1" x14ac:dyDescent="0.3">
      <c r="B13" s="145" t="str">
        <f>+'PCR Cycle 1'!B13</f>
        <v>Cumulative Over/Under Carryover From 06/01/2019 Filing</v>
      </c>
      <c r="C13" s="217" t="str">
        <f>+'PCR Cycle 1'!C13</f>
        <v>Reverse May-19 - October-19  Forecast From 06/01/2019 Filing</v>
      </c>
      <c r="D13" s="231" t="s">
        <v>112</v>
      </c>
      <c r="E13" s="300" t="s">
        <v>39</v>
      </c>
      <c r="F13" s="300"/>
      <c r="G13" s="301"/>
      <c r="H13" s="307" t="s">
        <v>39</v>
      </c>
      <c r="I13" s="308"/>
      <c r="J13" s="309"/>
      <c r="K13" s="305" t="s">
        <v>9</v>
      </c>
      <c r="L13" s="306"/>
      <c r="M13" s="304"/>
    </row>
    <row r="14" spans="1:35" x14ac:dyDescent="0.25">
      <c r="A14" s="61" t="s">
        <v>83</v>
      </c>
      <c r="C14" s="132"/>
      <c r="D14" s="232"/>
      <c r="E14" s="20">
        <f>+'PCR Cycle 1'!D14</f>
        <v>43616</v>
      </c>
      <c r="F14" s="20">
        <f t="shared" ref="F14:M14" si="3">EOMONTH(E14,1)</f>
        <v>43646</v>
      </c>
      <c r="G14" s="20">
        <f t="shared" si="3"/>
        <v>43677</v>
      </c>
      <c r="H14" s="14">
        <f t="shared" si="3"/>
        <v>43708</v>
      </c>
      <c r="I14" s="20">
        <f t="shared" si="3"/>
        <v>43738</v>
      </c>
      <c r="J14" s="20">
        <f t="shared" si="3"/>
        <v>43769</v>
      </c>
      <c r="K14" s="14">
        <f t="shared" si="3"/>
        <v>43799</v>
      </c>
      <c r="L14" s="20">
        <f t="shared" si="3"/>
        <v>43830</v>
      </c>
      <c r="M14" s="15">
        <f t="shared" si="3"/>
        <v>43861</v>
      </c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25">
      <c r="A15" s="61" t="s">
        <v>6</v>
      </c>
      <c r="C15" s="124">
        <v>-478463.11</v>
      </c>
      <c r="D15" s="233">
        <f>+D26+D27</f>
        <v>0</v>
      </c>
      <c r="E15" s="136">
        <f t="shared" ref="E15:I15" si="4">+E26+E27</f>
        <v>212821.59</v>
      </c>
      <c r="F15" s="136">
        <f t="shared" si="4"/>
        <v>384896.11</v>
      </c>
      <c r="G15" s="137">
        <f t="shared" si="4"/>
        <v>474138.34</v>
      </c>
      <c r="H15" s="16">
        <f t="shared" si="4"/>
        <v>482333.19</v>
      </c>
      <c r="I15" s="70">
        <f t="shared" si="4"/>
        <v>445839.14999999997</v>
      </c>
      <c r="J15" s="72">
        <f t="shared" ref="J15:L15" si="5">+J26+J27</f>
        <v>293093.40999999997</v>
      </c>
      <c r="K15" s="186">
        <f t="shared" si="5"/>
        <v>228267.11</v>
      </c>
      <c r="L15" s="97">
        <f t="shared" si="5"/>
        <v>265727.77</v>
      </c>
      <c r="M15" s="98"/>
    </row>
    <row r="16" spans="1:35" x14ac:dyDescent="0.25">
      <c r="C16" s="126"/>
      <c r="D16" s="234"/>
      <c r="E16" s="17"/>
      <c r="F16" s="17"/>
      <c r="G16" s="17"/>
      <c r="H16" s="10"/>
      <c r="I16" s="17"/>
      <c r="J16" s="17"/>
      <c r="K16" s="41"/>
      <c r="L16" s="44"/>
      <c r="M16" s="42"/>
    </row>
    <row r="17" spans="1:15" x14ac:dyDescent="0.25">
      <c r="A17" s="61" t="s">
        <v>82</v>
      </c>
      <c r="C17" s="126"/>
      <c r="D17" s="234"/>
      <c r="E17" s="18"/>
      <c r="F17" s="18"/>
      <c r="G17" s="18"/>
      <c r="H17" s="118"/>
      <c r="I17" s="18"/>
      <c r="J17" s="18"/>
      <c r="K17" s="41"/>
      <c r="L17" s="44"/>
      <c r="M17" s="42"/>
      <c r="N17" s="3" t="s">
        <v>92</v>
      </c>
      <c r="O17" s="52"/>
    </row>
    <row r="18" spans="1:15" x14ac:dyDescent="0.25">
      <c r="A18" s="61" t="s">
        <v>29</v>
      </c>
      <c r="C18" s="124">
        <v>0</v>
      </c>
      <c r="D18" s="233">
        <v>0</v>
      </c>
      <c r="E18" s="166">
        <f>ROUND('[5]May 2019 Combined'!$F$38,2)</f>
        <v>19.78</v>
      </c>
      <c r="F18" s="166">
        <f>ROUND('[5]June 2019 Combined'!$F$38,2)</f>
        <v>40.68</v>
      </c>
      <c r="G18" s="166">
        <f>ROUND('[5]July 2019 Combined'!$F$38,2)</f>
        <v>30.63</v>
      </c>
      <c r="H18" s="16">
        <f>ROUND('[5]August 2019 Combined'!$F$43,2)</f>
        <v>195497.73</v>
      </c>
      <c r="I18" s="148">
        <f>ROUND('[5]September 2019 Combined'!$F$38,2)</f>
        <v>174501.11</v>
      </c>
      <c r="J18" s="208">
        <f>ROUND('[5]October 2019 Combined'!$F$38,2)</f>
        <v>137464.4</v>
      </c>
      <c r="K18" s="53">
        <f>'PCR Cycle 1'!J26*'TDR Cycle 2'!$N18</f>
        <v>109847.93832999999</v>
      </c>
      <c r="L18" s="54">
        <f>'PCR Cycle 1'!K26*'TDR Cycle 2'!$N18</f>
        <v>141315.59652999998</v>
      </c>
      <c r="M18" s="77">
        <f>'PCR Cycle 1'!L26*'TDR Cycle 2'!$N18</f>
        <v>191927.64496000001</v>
      </c>
      <c r="N18" s="88">
        <v>5.2999999999999998E-4</v>
      </c>
      <c r="O18" s="4"/>
    </row>
    <row r="19" spans="1:15" x14ac:dyDescent="0.25">
      <c r="A19" s="61" t="s">
        <v>30</v>
      </c>
      <c r="C19" s="124">
        <v>-347018.99426999997</v>
      </c>
      <c r="D19" s="233">
        <v>0</v>
      </c>
      <c r="E19" s="166">
        <f>ROUND('[5]May 2019 Combined'!$F$39,2)</f>
        <v>105829.48</v>
      </c>
      <c r="F19" s="166">
        <f>ROUND('[5]June 2019 Combined'!$F$39,2)</f>
        <v>102437.12</v>
      </c>
      <c r="G19" s="166">
        <f>ROUND('[5]July 2019 Combined'!$F$39,2)</f>
        <v>131709.12</v>
      </c>
      <c r="H19" s="16">
        <f>ROUND('[5]August 2019 Combined'!$F$44,2)</f>
        <v>149581.99</v>
      </c>
      <c r="I19" s="148">
        <f>ROUND('[5]September 2019 Combined'!$F$39,2)</f>
        <v>149955.21</v>
      </c>
      <c r="J19" s="208">
        <f>ROUND('[5]October 2019 Combined'!$F$39,2)</f>
        <v>148653.29</v>
      </c>
      <c r="K19" s="53">
        <f>'PCR Cycle 1'!J27*'TDR Cycle 2'!$N19</f>
        <v>35960.350499999993</v>
      </c>
      <c r="L19" s="54">
        <f>'PCR Cycle 1'!K27*'TDR Cycle 2'!$N19</f>
        <v>40273.86299999999</v>
      </c>
      <c r="M19" s="77">
        <f>'PCR Cycle 1'!L27*'TDR Cycle 2'!$N19</f>
        <v>44201.530999999988</v>
      </c>
      <c r="N19" s="88">
        <v>4.999999999999999E-4</v>
      </c>
      <c r="O19" s="4"/>
    </row>
    <row r="20" spans="1:15" x14ac:dyDescent="0.25">
      <c r="C20" s="83"/>
      <c r="D20" s="235"/>
      <c r="E20" s="84"/>
      <c r="F20" s="84"/>
      <c r="G20" s="84"/>
      <c r="H20" s="83"/>
      <c r="I20" s="84"/>
      <c r="J20" s="84"/>
      <c r="K20" s="12"/>
      <c r="L20" s="71"/>
      <c r="M20" s="13"/>
      <c r="O20" s="4"/>
    </row>
    <row r="21" spans="1:15" x14ac:dyDescent="0.25">
      <c r="A21" s="52" t="s">
        <v>96</v>
      </c>
      <c r="B21" s="52"/>
      <c r="C21" s="83"/>
      <c r="D21" s="235"/>
      <c r="E21" s="71"/>
      <c r="F21" s="71"/>
      <c r="G21" s="71"/>
      <c r="H21" s="12"/>
      <c r="I21" s="71"/>
      <c r="J21" s="111"/>
      <c r="K21" s="12"/>
      <c r="L21" s="71"/>
      <c r="M21" s="13"/>
      <c r="N21" s="7"/>
    </row>
    <row r="22" spans="1:15" x14ac:dyDescent="0.25">
      <c r="A22" s="61" t="s">
        <v>29</v>
      </c>
      <c r="C22" s="129">
        <v>-3582869.6930082091</v>
      </c>
      <c r="D22" s="236"/>
      <c r="E22" s="138">
        <f>+'[3]Monthly TD Calc'!AN285</f>
        <v>2292149.8453767812</v>
      </c>
      <c r="F22" s="138">
        <f>+'[3]Monthly TD Calc'!AO285</f>
        <v>3094646.2726273248</v>
      </c>
      <c r="G22" s="152">
        <f>+'[3]Monthly TD Calc'!AP285</f>
        <v>4109655.1399542545</v>
      </c>
      <c r="H22" s="92">
        <f>+'[3]Monthly TD Calc'!AQ285</f>
        <v>4115929.8321298803</v>
      </c>
      <c r="I22" s="93">
        <f>+'[3]Monthly TD Calc'!AR285</f>
        <v>3800218.3907751157</v>
      </c>
      <c r="J22" s="205">
        <f>+'[3]Monthly TD Calc'!AS285</f>
        <v>3953849.6123330332</v>
      </c>
      <c r="K22" s="188">
        <f>+'[2]Missouri West Monthly TD Calc'!AT352</f>
        <v>2564623.1041083457</v>
      </c>
      <c r="L22" s="176">
        <f>+'[2]Missouri West Monthly TD Calc'!AU352</f>
        <v>3440284.2581282724</v>
      </c>
      <c r="M22" s="99"/>
      <c r="N22" s="75">
        <f>SUM(C22:L22)</f>
        <v>23788486.762424797</v>
      </c>
    </row>
    <row r="23" spans="1:15" x14ac:dyDescent="0.25">
      <c r="A23" s="61" t="s">
        <v>30</v>
      </c>
      <c r="C23" s="129">
        <v>-7448415.173729673</v>
      </c>
      <c r="D23" s="236"/>
      <c r="E23" s="138">
        <f>+'[3]Monthly TD Calc'!AN286</f>
        <v>3662298.8116327953</v>
      </c>
      <c r="F23" s="138">
        <f>+'[3]Monthly TD Calc'!AO286</f>
        <v>3672482.183625096</v>
      </c>
      <c r="G23" s="152">
        <f>+'[3]Monthly TD Calc'!AP286</f>
        <v>3848580.0725345118</v>
      </c>
      <c r="H23" s="92">
        <f>+'[3]Monthly TD Calc'!AQ286</f>
        <v>4028371.8211139892</v>
      </c>
      <c r="I23" s="93">
        <f>+'[3]Monthly TD Calc'!AR286</f>
        <v>3786521.1280836337</v>
      </c>
      <c r="J23" s="205">
        <f>+'[3]Monthly TD Calc'!AS286</f>
        <v>4104068.9999347143</v>
      </c>
      <c r="K23" s="188">
        <f>+'[2]Missouri West Monthly TD Calc'!AT353</f>
        <v>4029147.1139081805</v>
      </c>
      <c r="L23" s="176">
        <f>+'[2]Missouri West Monthly TD Calc'!AU353</f>
        <v>4594960.8653744254</v>
      </c>
      <c r="M23" s="99"/>
      <c r="N23" s="75">
        <f>SUM(C23:L23)</f>
        <v>24278015.822477676</v>
      </c>
    </row>
    <row r="24" spans="1:15" x14ac:dyDescent="0.25">
      <c r="C24" s="83"/>
      <c r="D24" s="235"/>
      <c r="E24" s="84"/>
      <c r="F24" s="84"/>
      <c r="G24" s="84"/>
      <c r="H24" s="83"/>
      <c r="I24" s="84"/>
      <c r="J24" s="84"/>
      <c r="K24" s="12"/>
      <c r="L24" s="71"/>
      <c r="M24" s="13"/>
    </row>
    <row r="25" spans="1:15" x14ac:dyDescent="0.25">
      <c r="A25" s="61" t="s">
        <v>93</v>
      </c>
      <c r="C25" s="49"/>
      <c r="D25" s="237"/>
      <c r="E25" s="50"/>
      <c r="F25" s="50"/>
      <c r="G25" s="50"/>
      <c r="H25" s="49"/>
      <c r="I25" s="50"/>
      <c r="J25" s="50"/>
      <c r="K25" s="189"/>
      <c r="L25" s="67"/>
      <c r="M25" s="51"/>
    </row>
    <row r="26" spans="1:15" x14ac:dyDescent="0.25">
      <c r="A26" s="61" t="s">
        <v>29</v>
      </c>
      <c r="C26" s="124">
        <v>-215629.92</v>
      </c>
      <c r="D26" s="233"/>
      <c r="E26" s="136">
        <f>ROUND('[3]Monthly TD Calc'!AN318,2)</f>
        <v>109164.79</v>
      </c>
      <c r="F26" s="136">
        <f>ROUND('[3]Monthly TD Calc'!AO318,2)</f>
        <v>243316.56</v>
      </c>
      <c r="G26" s="137">
        <f>ROUND('[3]Monthly TD Calc'!AP318,2)</f>
        <v>327418.28000000003</v>
      </c>
      <c r="H26" s="16">
        <f>ROUND('[3]Monthly TD Calc'!AQ318,2)</f>
        <v>327918.19</v>
      </c>
      <c r="I26" s="70">
        <f>ROUND('[3]Monthly TD Calc'!AR318,2)</f>
        <v>299567.40999999997</v>
      </c>
      <c r="J26" s="205">
        <f>ROUND('[3]Monthly TD Calc'!AS318,2)</f>
        <v>180910.36</v>
      </c>
      <c r="K26" s="190">
        <f>ROUND('[2]Missouri West Monthly TD Calc'!AT322,2)</f>
        <v>111769.92</v>
      </c>
      <c r="L26" s="174">
        <f>ROUND('[2]Missouri West Monthly TD Calc'!AU322,2)</f>
        <v>139193.04</v>
      </c>
      <c r="M26" s="98"/>
    </row>
    <row r="27" spans="1:15" x14ac:dyDescent="0.25">
      <c r="A27" s="61" t="s">
        <v>30</v>
      </c>
      <c r="C27" s="124">
        <v>-262833.19</v>
      </c>
      <c r="D27" s="233"/>
      <c r="E27" s="136">
        <f>ROUND('[3]Monthly TD Calc'!AN319,2)</f>
        <v>103656.8</v>
      </c>
      <c r="F27" s="136">
        <f>ROUND('[3]Monthly TD Calc'!AO319,2)</f>
        <v>141579.54999999999</v>
      </c>
      <c r="G27" s="137">
        <f>ROUND('[3]Monthly TD Calc'!AP319,2)</f>
        <v>146720.06</v>
      </c>
      <c r="H27" s="16">
        <f>ROUND('[3]Monthly TD Calc'!AQ319,2)</f>
        <v>154415</v>
      </c>
      <c r="I27" s="70">
        <f>ROUND('[3]Monthly TD Calc'!AR319,2)</f>
        <v>146271.74</v>
      </c>
      <c r="J27" s="205">
        <f>ROUND('[3]Monthly TD Calc'!AS319,2)</f>
        <v>112183.05</v>
      </c>
      <c r="K27" s="190">
        <f>ROUND('[2]Missouri West Monthly TD Calc'!AT323,2)</f>
        <v>116497.19</v>
      </c>
      <c r="L27" s="174">
        <f>ROUND('[2]Missouri West Monthly TD Calc'!AU323,2)</f>
        <v>126534.73</v>
      </c>
      <c r="M27" s="98"/>
      <c r="O27" s="62"/>
    </row>
    <row r="28" spans="1:15" x14ac:dyDescent="0.25">
      <c r="C28" s="126"/>
      <c r="D28" s="234"/>
      <c r="E28" s="233"/>
      <c r="F28" s="212"/>
      <c r="G28" s="212"/>
      <c r="H28" s="118"/>
      <c r="I28" s="18"/>
      <c r="J28" s="18"/>
      <c r="K28" s="12"/>
      <c r="L28" s="71"/>
      <c r="M28" s="13"/>
    </row>
    <row r="29" spans="1:15" ht="15.75" thickBot="1" x14ac:dyDescent="0.3">
      <c r="A29" s="3" t="s">
        <v>18</v>
      </c>
      <c r="B29" s="3"/>
      <c r="C29" s="130">
        <v>289.2</v>
      </c>
      <c r="D29" s="238"/>
      <c r="E29" s="166">
        <v>-283.63</v>
      </c>
      <c r="F29" s="166">
        <v>311.48999999999995</v>
      </c>
      <c r="G29" s="167">
        <v>1229.24</v>
      </c>
      <c r="H29" s="39">
        <v>1871.3999999999999</v>
      </c>
      <c r="I29" s="149">
        <v>2160.13</v>
      </c>
      <c r="J29" s="209">
        <v>2226.7599999999998</v>
      </c>
      <c r="K29" s="191">
        <v>2221.2000000000003</v>
      </c>
      <c r="L29" s="177">
        <v>2172.91</v>
      </c>
      <c r="M29" s="101"/>
    </row>
    <row r="30" spans="1:15" x14ac:dyDescent="0.25">
      <c r="C30" s="80"/>
      <c r="D30" s="239"/>
      <c r="E30" s="82"/>
      <c r="F30" s="82"/>
      <c r="G30" s="46"/>
      <c r="H30" s="80"/>
      <c r="I30" s="46"/>
      <c r="J30" s="46"/>
      <c r="K30" s="192"/>
      <c r="L30" s="47"/>
      <c r="M30" s="76"/>
    </row>
    <row r="31" spans="1:15" x14ac:dyDescent="0.25">
      <c r="A31" s="61" t="s">
        <v>68</v>
      </c>
      <c r="C31" s="81"/>
      <c r="D31" s="240"/>
      <c r="E31" s="202"/>
      <c r="F31" s="202"/>
      <c r="G31" s="202"/>
      <c r="H31" s="203"/>
      <c r="I31" s="202"/>
      <c r="J31" s="202"/>
      <c r="K31" s="192"/>
      <c r="L31" s="47"/>
      <c r="M31" s="76"/>
    </row>
    <row r="32" spans="1:15" x14ac:dyDescent="0.25">
      <c r="A32" s="61" t="s">
        <v>29</v>
      </c>
      <c r="C32" s="127">
        <f>(C26-C18)-0</f>
        <v>-215629.92</v>
      </c>
      <c r="D32" s="241">
        <f t="shared" ref="D32:D33" si="6">D26-D18</f>
        <v>0</v>
      </c>
      <c r="E32" s="54">
        <f t="shared" ref="E32:M33" si="7">E26-E18</f>
        <v>109145.01</v>
      </c>
      <c r="F32" s="54">
        <f t="shared" si="7"/>
        <v>243275.88</v>
      </c>
      <c r="G32" s="135">
        <f t="shared" si="7"/>
        <v>327387.65000000002</v>
      </c>
      <c r="H32" s="53">
        <f t="shared" si="7"/>
        <v>132420.46</v>
      </c>
      <c r="I32" s="54">
        <f t="shared" si="7"/>
        <v>125066.29999999999</v>
      </c>
      <c r="J32" s="135">
        <f t="shared" si="7"/>
        <v>43445.959999999992</v>
      </c>
      <c r="K32" s="53">
        <f t="shared" si="7"/>
        <v>1921.9816700000083</v>
      </c>
      <c r="L32" s="54">
        <f t="shared" si="7"/>
        <v>-2122.5565299999726</v>
      </c>
      <c r="M32" s="77">
        <f>M26-M18</f>
        <v>-191927.64496000001</v>
      </c>
    </row>
    <row r="33" spans="1:13" x14ac:dyDescent="0.25">
      <c r="A33" s="61" t="s">
        <v>30</v>
      </c>
      <c r="C33" s="127">
        <f>(C27-C19)-0</f>
        <v>84185.804269999964</v>
      </c>
      <c r="D33" s="241">
        <f t="shared" si="6"/>
        <v>0</v>
      </c>
      <c r="E33" s="54">
        <f t="shared" si="7"/>
        <v>-2172.679999999993</v>
      </c>
      <c r="F33" s="54">
        <f t="shared" si="7"/>
        <v>39142.429999999993</v>
      </c>
      <c r="G33" s="135">
        <f t="shared" si="7"/>
        <v>15010.940000000002</v>
      </c>
      <c r="H33" s="53">
        <f t="shared" si="7"/>
        <v>4833.0100000000093</v>
      </c>
      <c r="I33" s="54">
        <f t="shared" si="7"/>
        <v>-3683.4700000000012</v>
      </c>
      <c r="J33" s="135">
        <f t="shared" si="7"/>
        <v>-36470.240000000005</v>
      </c>
      <c r="K33" s="53">
        <f t="shared" si="7"/>
        <v>80536.839500000002</v>
      </c>
      <c r="L33" s="54">
        <f t="shared" si="7"/>
        <v>86260.866999999998</v>
      </c>
      <c r="M33" s="77">
        <f t="shared" si="7"/>
        <v>-44201.530999999988</v>
      </c>
    </row>
    <row r="34" spans="1:13" x14ac:dyDescent="0.25">
      <c r="C34" s="126"/>
      <c r="D34" s="234"/>
      <c r="E34" s="71"/>
      <c r="F34" s="71"/>
      <c r="G34" s="71"/>
      <c r="H34" s="10"/>
      <c r="I34" s="17"/>
      <c r="J34" s="17"/>
      <c r="K34" s="10"/>
      <c r="L34" s="17"/>
      <c r="M34" s="11"/>
    </row>
    <row r="35" spans="1:13" ht="15.75" thickBot="1" x14ac:dyDescent="0.3">
      <c r="A35" s="61" t="s">
        <v>69</v>
      </c>
      <c r="C35" s="126"/>
      <c r="D35" s="234"/>
      <c r="E35" s="71"/>
      <c r="F35" s="17"/>
      <c r="G35" s="17"/>
      <c r="H35" s="10"/>
      <c r="I35" s="17"/>
      <c r="J35" s="17"/>
      <c r="K35" s="10"/>
      <c r="L35" s="17"/>
      <c r="M35" s="11"/>
    </row>
    <row r="36" spans="1:13" x14ac:dyDescent="0.25">
      <c r="A36" s="61" t="s">
        <v>29</v>
      </c>
      <c r="B36" s="143">
        <v>91980.68</v>
      </c>
      <c r="C36" s="127">
        <f>(B36+B41+C32)-0</f>
        <v>-123649.24000000002</v>
      </c>
      <c r="D36" s="241">
        <f t="shared" ref="D36:D37" si="8">+C36+D32+C41</f>
        <v>-123420.16000000002</v>
      </c>
      <c r="E36" s="54">
        <f>D36+D41+E32</f>
        <v>-14275.150000000023</v>
      </c>
      <c r="F36" s="54">
        <f t="shared" ref="F36:M36" si="9">E36+E41+F32</f>
        <v>228788.74</v>
      </c>
      <c r="G36" s="135">
        <f t="shared" si="9"/>
        <v>556502.67000000004</v>
      </c>
      <c r="H36" s="53">
        <f t="shared" si="9"/>
        <v>690086.6</v>
      </c>
      <c r="I36" s="54">
        <f t="shared" si="9"/>
        <v>816932.48</v>
      </c>
      <c r="J36" s="135">
        <f t="shared" si="9"/>
        <v>862448.40999999992</v>
      </c>
      <c r="K36" s="53">
        <f t="shared" si="9"/>
        <v>866563.57166999998</v>
      </c>
      <c r="L36" s="54">
        <f t="shared" si="9"/>
        <v>866699.08513999998</v>
      </c>
      <c r="M36" s="77">
        <f t="shared" si="9"/>
        <v>677035.14017999987</v>
      </c>
    </row>
    <row r="37" spans="1:13" ht="15.75" thickBot="1" x14ac:dyDescent="0.3">
      <c r="A37" s="61" t="s">
        <v>30</v>
      </c>
      <c r="B37" s="144">
        <v>-106428.26</v>
      </c>
      <c r="C37" s="127">
        <f>(B37+B42+C33)-0</f>
        <v>-22242.455730000031</v>
      </c>
      <c r="D37" s="241">
        <f t="shared" si="8"/>
        <v>-22182.335730000032</v>
      </c>
      <c r="E37" s="54">
        <f>D37+D42+E33</f>
        <v>-24355.015730000025</v>
      </c>
      <c r="F37" s="54">
        <f t="shared" ref="F37:M37" si="10">E37+E42+F33</f>
        <v>14715.764269999967</v>
      </c>
      <c r="G37" s="135">
        <f t="shared" si="10"/>
        <v>29711.924269999967</v>
      </c>
      <c r="H37" s="53">
        <f t="shared" si="10"/>
        <v>34610.704269999973</v>
      </c>
      <c r="I37" s="54">
        <f t="shared" si="10"/>
        <v>31019.064269999973</v>
      </c>
      <c r="J37" s="135">
        <f t="shared" si="10"/>
        <v>-5361.0057300000335</v>
      </c>
      <c r="K37" s="53">
        <f t="shared" si="10"/>
        <v>75209.41376999997</v>
      </c>
      <c r="L37" s="54">
        <f t="shared" si="10"/>
        <v>161561.43076999998</v>
      </c>
      <c r="M37" s="77">
        <f t="shared" si="10"/>
        <v>117668.84977</v>
      </c>
    </row>
    <row r="38" spans="1:13" x14ac:dyDescent="0.25">
      <c r="C38" s="126"/>
      <c r="D38" s="234"/>
      <c r="E38" s="17"/>
      <c r="F38" s="17"/>
      <c r="G38" s="17"/>
      <c r="H38" s="10"/>
      <c r="I38" s="17"/>
      <c r="J38" s="17"/>
      <c r="K38" s="10"/>
      <c r="L38" s="17"/>
      <c r="M38" s="11"/>
    </row>
    <row r="39" spans="1:13" x14ac:dyDescent="0.25">
      <c r="A39" s="52" t="s">
        <v>95</v>
      </c>
      <c r="B39" s="52"/>
      <c r="C39" s="131"/>
      <c r="D39" s="242"/>
      <c r="E39" s="103">
        <f>+'PCR Cycle 2'!D43</f>
        <v>3.0790499999999998E-3</v>
      </c>
      <c r="F39" s="103">
        <f>+'PCR Cycle 2'!E43</f>
        <v>3.0450199999999998E-3</v>
      </c>
      <c r="G39" s="103">
        <f>+'PCR Cycle 2'!F43</f>
        <v>2.9619300000000002E-3</v>
      </c>
      <c r="H39" s="105">
        <f>+'PCR Cycle 2'!G43</f>
        <v>2.8524499999999999E-3</v>
      </c>
      <c r="I39" s="103">
        <f>+'PCR Cycle 2'!H43</f>
        <v>2.7438599999999999E-3</v>
      </c>
      <c r="J39" s="104">
        <f>+'PCR Cycle 2'!I43</f>
        <v>2.60867E-3</v>
      </c>
      <c r="K39" s="105">
        <f>+'PCR Cycle 2'!J43</f>
        <v>2.60867E-3</v>
      </c>
      <c r="L39" s="103">
        <f>+'PCR Cycle 2'!K43</f>
        <v>2.60867E-3</v>
      </c>
      <c r="M39" s="106"/>
    </row>
    <row r="40" spans="1:13" x14ac:dyDescent="0.25">
      <c r="A40" s="52" t="s">
        <v>44</v>
      </c>
      <c r="B40" s="52"/>
      <c r="C40" s="133"/>
      <c r="D40" s="243"/>
      <c r="E40" s="103"/>
      <c r="F40" s="103"/>
      <c r="G40" s="103"/>
      <c r="H40" s="105"/>
      <c r="I40" s="103"/>
      <c r="J40" s="103"/>
      <c r="K40" s="105"/>
      <c r="L40" s="103"/>
      <c r="M40" s="106"/>
    </row>
    <row r="41" spans="1:13" x14ac:dyDescent="0.25">
      <c r="A41" s="61" t="s">
        <v>29</v>
      </c>
      <c r="C41" s="127">
        <v>229.07999999999998</v>
      </c>
      <c r="D41" s="241"/>
      <c r="E41" s="213">
        <f>ROUND((D36+D41+E32/2)*E$39,2)</f>
        <v>-211.99</v>
      </c>
      <c r="F41" s="213">
        <f t="shared" ref="F41:M41" si="11">ROUND((E36+E41+F32/2)*F$39,2)</f>
        <v>326.27999999999997</v>
      </c>
      <c r="G41" s="216">
        <f t="shared" si="11"/>
        <v>1163.47</v>
      </c>
      <c r="H41" s="53">
        <f t="shared" si="11"/>
        <v>1779.58</v>
      </c>
      <c r="I41" s="150">
        <f t="shared" si="11"/>
        <v>2069.9699999999998</v>
      </c>
      <c r="J41" s="135">
        <f t="shared" si="11"/>
        <v>2193.1799999999998</v>
      </c>
      <c r="K41" s="183">
        <f t="shared" si="11"/>
        <v>2258.0700000000002</v>
      </c>
      <c r="L41" s="135">
        <f t="shared" si="11"/>
        <v>2263.6999999999998</v>
      </c>
      <c r="M41" s="77">
        <f t="shared" si="11"/>
        <v>0</v>
      </c>
    </row>
    <row r="42" spans="1:13" ht="15.75" thickBot="1" x14ac:dyDescent="0.3">
      <c r="A42" s="61" t="s">
        <v>30</v>
      </c>
      <c r="C42" s="127">
        <v>60.12</v>
      </c>
      <c r="D42" s="241"/>
      <c r="E42" s="213">
        <f>ROUND((D37+D42+E33/2)*E$39,2)</f>
        <v>-71.650000000000006</v>
      </c>
      <c r="F42" s="213">
        <f t="shared" ref="F42:M42" si="12">ROUND((E37+E42+F33/2)*F$39,2)</f>
        <v>-14.78</v>
      </c>
      <c r="G42" s="216">
        <f t="shared" si="12"/>
        <v>65.77</v>
      </c>
      <c r="H42" s="53">
        <f t="shared" si="12"/>
        <v>91.83</v>
      </c>
      <c r="I42" s="150">
        <f t="shared" si="12"/>
        <v>90.17</v>
      </c>
      <c r="J42" s="135">
        <f t="shared" si="12"/>
        <v>33.58</v>
      </c>
      <c r="K42" s="183">
        <f t="shared" si="12"/>
        <v>91.15</v>
      </c>
      <c r="L42" s="135">
        <f t="shared" si="12"/>
        <v>308.95</v>
      </c>
      <c r="M42" s="77">
        <f t="shared" si="12"/>
        <v>0</v>
      </c>
    </row>
    <row r="43" spans="1:13" ht="16.5" thickTop="1" thickBot="1" x14ac:dyDescent="0.3">
      <c r="A43" s="69" t="s">
        <v>25</v>
      </c>
      <c r="B43" s="69"/>
      <c r="C43" s="134">
        <v>0</v>
      </c>
      <c r="D43" s="244"/>
      <c r="E43" s="55">
        <f>SUM(E41:E42)+SUM(E36:E37)-E46</f>
        <v>0</v>
      </c>
      <c r="F43" s="55">
        <f t="shared" ref="F43:M43" si="13">SUM(F41:F42)+SUM(F36:F37)-F46</f>
        <v>0</v>
      </c>
      <c r="G43" s="65">
        <f t="shared" si="13"/>
        <v>0</v>
      </c>
      <c r="H43" s="66">
        <f t="shared" si="13"/>
        <v>0</v>
      </c>
      <c r="I43" s="55">
        <f t="shared" si="13"/>
        <v>0</v>
      </c>
      <c r="J43" s="65">
        <f t="shared" si="13"/>
        <v>0</v>
      </c>
      <c r="K43" s="193">
        <f t="shared" si="13"/>
        <v>0</v>
      </c>
      <c r="L43" s="65">
        <f t="shared" si="13"/>
        <v>0</v>
      </c>
      <c r="M43" s="78">
        <f t="shared" si="13"/>
        <v>0</v>
      </c>
    </row>
    <row r="44" spans="1:13" ht="16.5" thickTop="1" thickBot="1" x14ac:dyDescent="0.3">
      <c r="A44" s="69" t="s">
        <v>26</v>
      </c>
      <c r="B44" s="69"/>
      <c r="C44" s="134">
        <v>0</v>
      </c>
      <c r="D44" s="244"/>
      <c r="E44" s="55">
        <f>SUM(E41:E42)-E29</f>
        <v>-9.9999999999909051E-3</v>
      </c>
      <c r="F44" s="55">
        <f t="shared" ref="F44:J44" si="14">SUM(F41:F42)-F29</f>
        <v>1.0000000000047748E-2</v>
      </c>
      <c r="G44" s="65">
        <f t="shared" ref="G44:I44" si="15">SUM(G41:G42)-G29</f>
        <v>0</v>
      </c>
      <c r="H44" s="66">
        <f t="shared" si="15"/>
        <v>9.9999999999909051E-3</v>
      </c>
      <c r="I44" s="55">
        <f t="shared" si="15"/>
        <v>9.9999999997635314E-3</v>
      </c>
      <c r="J44" s="65">
        <f t="shared" si="14"/>
        <v>0</v>
      </c>
      <c r="K44" s="66">
        <f t="shared" ref="K44:M44" si="16">SUM(K41:K42)-K29</f>
        <v>128.01999999999998</v>
      </c>
      <c r="L44" s="55">
        <f t="shared" si="16"/>
        <v>399.73999999999978</v>
      </c>
      <c r="M44" s="55">
        <f t="shared" si="16"/>
        <v>0</v>
      </c>
    </row>
    <row r="45" spans="1:13" ht="16.5" thickTop="1" thickBot="1" x14ac:dyDescent="0.3">
      <c r="C45" s="126"/>
      <c r="D45" s="234"/>
      <c r="E45" s="17"/>
      <c r="F45" s="17"/>
      <c r="G45" s="17"/>
      <c r="H45" s="10"/>
      <c r="I45" s="17"/>
      <c r="J45" s="17"/>
      <c r="K45" s="10"/>
      <c r="L45" s="17"/>
      <c r="M45" s="11"/>
    </row>
    <row r="46" spans="1:13" ht="15.75" thickBot="1" x14ac:dyDescent="0.3">
      <c r="A46" s="61" t="s">
        <v>42</v>
      </c>
      <c r="B46" s="146">
        <f>+B36+B37</f>
        <v>-14447.580000000002</v>
      </c>
      <c r="C46" s="127">
        <f t="shared" ref="C46" si="17">(C15-SUM(C18:C19))+SUM(C41:C42)+B46</f>
        <v>-145602.49573000002</v>
      </c>
      <c r="D46" s="241">
        <f>(D15-SUM(D18:D19))+SUM(D41:D42)+C46</f>
        <v>-145602.49573000002</v>
      </c>
      <c r="E46" s="54">
        <f>(E15-SUM(E18:E19))+SUM(E41:E42)+D46</f>
        <v>-38913.805730000022</v>
      </c>
      <c r="F46" s="54">
        <f t="shared" ref="F46:M46" si="18">(F15-SUM(F18:F19))+SUM(F41:F42)+E46</f>
        <v>243816.00426999998</v>
      </c>
      <c r="G46" s="135">
        <f t="shared" si="18"/>
        <v>587443.83426999999</v>
      </c>
      <c r="H46" s="53">
        <f t="shared" si="18"/>
        <v>726568.71427</v>
      </c>
      <c r="I46" s="54">
        <f t="shared" si="18"/>
        <v>850111.68426999997</v>
      </c>
      <c r="J46" s="135">
        <f t="shared" si="18"/>
        <v>859314.16426999995</v>
      </c>
      <c r="K46" s="183">
        <f t="shared" si="18"/>
        <v>944122.20543999993</v>
      </c>
      <c r="L46" s="135">
        <f t="shared" si="18"/>
        <v>1030833.16591</v>
      </c>
      <c r="M46" s="77">
        <f t="shared" si="18"/>
        <v>794703.98994999996</v>
      </c>
    </row>
    <row r="47" spans="1:13" x14ac:dyDescent="0.25">
      <c r="A47" s="61" t="s">
        <v>14</v>
      </c>
      <c r="C47" s="147"/>
      <c r="D47" s="17"/>
      <c r="E47" s="17"/>
      <c r="F47" s="17"/>
      <c r="G47" s="17"/>
      <c r="H47" s="10"/>
      <c r="I47" s="17"/>
      <c r="J47" s="17"/>
      <c r="K47" s="10"/>
      <c r="L47" s="17"/>
      <c r="M47" s="11"/>
    </row>
    <row r="48" spans="1:13" ht="15.75" thickBot="1" x14ac:dyDescent="0.3">
      <c r="A48" s="50"/>
      <c r="B48" s="50"/>
      <c r="C48" s="194"/>
      <c r="D48" s="230"/>
      <c r="E48" s="57"/>
      <c r="F48" s="57"/>
      <c r="G48" s="57"/>
      <c r="H48" s="56"/>
      <c r="I48" s="57"/>
      <c r="J48" s="57"/>
      <c r="K48" s="56"/>
      <c r="L48" s="57"/>
      <c r="M48" s="58"/>
    </row>
    <row r="50" spans="1:13" x14ac:dyDescent="0.25">
      <c r="A50" s="85" t="s">
        <v>13</v>
      </c>
      <c r="B50" s="85"/>
      <c r="C50" s="85"/>
      <c r="D50" s="85"/>
    </row>
    <row r="51" spans="1:13" ht="43.5" customHeight="1" x14ac:dyDescent="0.25">
      <c r="A51" s="299" t="s">
        <v>166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</row>
    <row r="52" spans="1:13" ht="35.25" customHeight="1" x14ac:dyDescent="0.25">
      <c r="A52" s="298" t="s">
        <v>155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</row>
    <row r="53" spans="1:13" ht="33" customHeight="1" x14ac:dyDescent="0.25">
      <c r="A53" s="299" t="s">
        <v>135</v>
      </c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</row>
    <row r="54" spans="1:13" x14ac:dyDescent="0.25">
      <c r="A54" s="3" t="s">
        <v>89</v>
      </c>
      <c r="B54" s="3"/>
      <c r="C54" s="3"/>
      <c r="D54" s="3"/>
    </row>
    <row r="55" spans="1:13" x14ac:dyDescent="0.25">
      <c r="A55" s="3" t="s">
        <v>157</v>
      </c>
      <c r="B55" s="3"/>
      <c r="C55" s="3"/>
      <c r="D55" s="3"/>
    </row>
    <row r="56" spans="1:13" x14ac:dyDescent="0.25">
      <c r="A56" s="3" t="s">
        <v>94</v>
      </c>
      <c r="B56" s="3"/>
      <c r="C56" s="3"/>
      <c r="D56" s="3"/>
    </row>
    <row r="57" spans="1:13" x14ac:dyDescent="0.25">
      <c r="A57" s="3" t="s">
        <v>163</v>
      </c>
      <c r="B57" s="3"/>
      <c r="C57" s="3"/>
      <c r="D57" s="3"/>
      <c r="E57" s="4"/>
      <c r="F57" s="4"/>
      <c r="G57" s="4"/>
      <c r="H57" s="4"/>
      <c r="I57" s="4"/>
      <c r="J57" s="4"/>
    </row>
    <row r="58" spans="1:13" x14ac:dyDescent="0.25">
      <c r="E58" s="4"/>
      <c r="F58" s="4"/>
      <c r="G58" s="4"/>
      <c r="H58" s="4"/>
      <c r="I58" s="4"/>
      <c r="J58" s="4"/>
    </row>
    <row r="59" spans="1:13" x14ac:dyDescent="0.25">
      <c r="E59" s="4"/>
      <c r="F59" s="4"/>
      <c r="G59" s="4"/>
      <c r="H59" s="4"/>
      <c r="I59" s="4"/>
      <c r="J59" s="4"/>
      <c r="K59" s="214"/>
    </row>
    <row r="60" spans="1:13" x14ac:dyDescent="0.25">
      <c r="J60" s="214"/>
      <c r="K60" s="214"/>
      <c r="L60" s="215"/>
      <c r="M60" s="215"/>
    </row>
    <row r="61" spans="1:13" x14ac:dyDescent="0.25">
      <c r="E61" s="211"/>
    </row>
    <row r="62" spans="1:13" x14ac:dyDescent="0.25">
      <c r="E62" s="211"/>
    </row>
  </sheetData>
  <mergeCells count="6">
    <mergeCell ref="A53:M53"/>
    <mergeCell ref="E13:G13"/>
    <mergeCell ref="A51:M51"/>
    <mergeCell ref="A52:M52"/>
    <mergeCell ref="H13:J13"/>
    <mergeCell ref="K13:M13"/>
  </mergeCells>
  <pageMargins left="0.2" right="0.2" top="0.75" bottom="0.25" header="0.3" footer="0.3"/>
  <pageSetup scale="50" orientation="landscape" r:id="rId1"/>
  <headerFooter>
    <oddHeader>&amp;C&amp;F &amp;A</oddHead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25DDD79CB154991C6089F2A32D6FE" ma:contentTypeVersion="" ma:contentTypeDescription="Create a new document." ma:contentTypeScope="" ma:versionID="3441e2133dc23d47401545fc31bad8af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c85253b9-0a55-49a1-98ad-b5b6252d7079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F17AB4-066A-4D20-B6BC-2548C2D00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tariff tables</vt:lpstr>
      <vt:lpstr>PPC Cycle 2</vt:lpstr>
      <vt:lpstr>PPC Cycle 3</vt:lpstr>
      <vt:lpstr>PCR Cycle 1</vt:lpstr>
      <vt:lpstr>PCR Cycle 2</vt:lpstr>
      <vt:lpstr>PTD Cycle 2</vt:lpstr>
      <vt:lpstr>PTD Cycle 3</vt:lpstr>
      <vt:lpstr>TDR Cycle 1</vt:lpstr>
      <vt:lpstr>TDR Cycle 2</vt:lpstr>
      <vt:lpstr>EO Cycle 2</vt:lpstr>
      <vt:lpstr>EOR Cycle 1</vt:lpstr>
      <vt:lpstr>OA Cycle 2</vt:lpstr>
      <vt:lpstr>OAR Cycle 2</vt:lpstr>
      <vt:lpstr>'OAR Cycle 2'!Print_Area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Shelley Jordan</cp:lastModifiedBy>
  <cp:lastPrinted>2019-11-15T22:27:01Z</cp:lastPrinted>
  <dcterms:created xsi:type="dcterms:W3CDTF">2013-08-12T19:20:10Z</dcterms:created>
  <dcterms:modified xsi:type="dcterms:W3CDTF">2020-01-09T20:35:29Z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0x01010065925DDD79CB154991C6089F2A32D6FE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2018-11-19T15:35:58.2008381Z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