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R:\Regulatory\Regulatory Accounting\Projects\KCPL-MO and GMO MEEIA Cycle 3\Cycle 3 semi-annual filing 2021-06 substitute\"/>
    </mc:Choice>
  </mc:AlternateContent>
  <xr:revisionPtr revIDLastSave="0" documentId="8_{EB42F7FC-8C57-46AE-8BD1-A1DD10FA2E2F}" xr6:coauthVersionLast="45" xr6:coauthVersionMax="45" xr10:uidLastSave="{00000000-0000-0000-0000-000000000000}"/>
  <bookViews>
    <workbookView xWindow="28680" yWindow="-120" windowWidth="29040" windowHeight="15840" xr2:uid="{00000000-000D-0000-FFFF-FFFF00000000}"/>
  </bookViews>
  <sheets>
    <sheet name="tariff tables" sheetId="5" r:id="rId1"/>
    <sheet name="DSIM Cycle Tables" sheetId="20" r:id="rId2"/>
    <sheet name="PPC Cycle 3" sheetId="18" r:id="rId3"/>
    <sheet name="PCR Cycle 2" sheetId="15" r:id="rId4"/>
    <sheet name="PCR Cycle 3" sheetId="22" r:id="rId5"/>
    <sheet name="PTD Cycle 2" sheetId="12" r:id="rId6"/>
    <sheet name="PTD Cycle 3" sheetId="19" r:id="rId7"/>
    <sheet name="TDR Cycle 2" sheetId="16" r:id="rId8"/>
    <sheet name="TDR Cycle 3" sheetId="24" r:id="rId9"/>
    <sheet name="EO Cycle 2" sheetId="8" r:id="rId10"/>
    <sheet name="EOR Cycle 2" sheetId="23" r:id="rId11"/>
    <sheet name="OA Cycle 2" sheetId="10" r:id="rId12"/>
    <sheet name="OAR Cycle 2"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Print_Area" localSheetId="3">'PCR Cycle 2'!$A$1:$N$64</definedName>
    <definedName name="_xlnm.Print_Area" localSheetId="4">'PCR Cycle 3'!$A$1:$O$64</definedName>
    <definedName name="solver_adj" localSheetId="3" hidden="1">'PCR Cycle 2'!$E$47</definedName>
    <definedName name="solver_adj" localSheetId="4" hidden="1">'PCR Cycle 3'!$F$45</definedName>
    <definedName name="solver_adj" localSheetId="7" hidden="1">'TDR Cycle 2'!#REF!</definedName>
    <definedName name="solver_adj" localSheetId="8" hidden="1">'TDR Cycle 3'!#REF!</definedName>
    <definedName name="solver_cvg" localSheetId="3" hidden="1">0.0001</definedName>
    <definedName name="solver_cvg" localSheetId="4" hidden="1">0.0001</definedName>
    <definedName name="solver_cvg" localSheetId="7" hidden="1">0.0001</definedName>
    <definedName name="solver_cvg" localSheetId="8" hidden="1">0.0001</definedName>
    <definedName name="solver_drv" localSheetId="3" hidden="1">1</definedName>
    <definedName name="solver_drv" localSheetId="4" hidden="1">1</definedName>
    <definedName name="solver_drv" localSheetId="7" hidden="1">2</definedName>
    <definedName name="solver_drv" localSheetId="8" hidden="1">2</definedName>
    <definedName name="solver_eng" localSheetId="3" hidden="1">1</definedName>
    <definedName name="solver_eng" localSheetId="4" hidden="1">1</definedName>
    <definedName name="solver_eng" localSheetId="7" hidden="1">1</definedName>
    <definedName name="solver_eng" localSheetId="8" hidden="1">1</definedName>
    <definedName name="solver_est" localSheetId="3" hidden="1">1</definedName>
    <definedName name="solver_est" localSheetId="4" hidden="1">1</definedName>
    <definedName name="solver_est" localSheetId="7" hidden="1">1</definedName>
    <definedName name="solver_est" localSheetId="8" hidden="1">1</definedName>
    <definedName name="solver_itr" localSheetId="3" hidden="1">2147483647</definedName>
    <definedName name="solver_itr" localSheetId="4" hidden="1">2147483647</definedName>
    <definedName name="solver_itr" localSheetId="7" hidden="1">2147483647</definedName>
    <definedName name="solver_itr" localSheetId="8" hidden="1">2147483647</definedName>
    <definedName name="solver_mip" localSheetId="3" hidden="1">2147483647</definedName>
    <definedName name="solver_mip" localSheetId="4" hidden="1">2147483647</definedName>
    <definedName name="solver_mip" localSheetId="7" hidden="1">2147483647</definedName>
    <definedName name="solver_mip" localSheetId="8" hidden="1">2147483647</definedName>
    <definedName name="solver_mni" localSheetId="3" hidden="1">30</definedName>
    <definedName name="solver_mni" localSheetId="4" hidden="1">30</definedName>
    <definedName name="solver_mni" localSheetId="7" hidden="1">30</definedName>
    <definedName name="solver_mni" localSheetId="8" hidden="1">30</definedName>
    <definedName name="solver_mrt" localSheetId="3" hidden="1">0.075</definedName>
    <definedName name="solver_mrt" localSheetId="4" hidden="1">0.075</definedName>
    <definedName name="solver_mrt" localSheetId="7" hidden="1">0.075</definedName>
    <definedName name="solver_mrt" localSheetId="8" hidden="1">0.075</definedName>
    <definedName name="solver_msl" localSheetId="3" hidden="1">2</definedName>
    <definedName name="solver_msl" localSheetId="4" hidden="1">2</definedName>
    <definedName name="solver_msl" localSheetId="7" hidden="1">2</definedName>
    <definedName name="solver_msl" localSheetId="8" hidden="1">2</definedName>
    <definedName name="solver_neg" localSheetId="3" hidden="1">1</definedName>
    <definedName name="solver_neg" localSheetId="4" hidden="1">1</definedName>
    <definedName name="solver_neg" localSheetId="7" hidden="1">1</definedName>
    <definedName name="solver_neg" localSheetId="8" hidden="1">1</definedName>
    <definedName name="solver_nod" localSheetId="3" hidden="1">2147483647</definedName>
    <definedName name="solver_nod" localSheetId="4" hidden="1">2147483647</definedName>
    <definedName name="solver_nod" localSheetId="7" hidden="1">2147483647</definedName>
    <definedName name="solver_nod" localSheetId="8" hidden="1">2147483647</definedName>
    <definedName name="solver_num" localSheetId="3" hidden="1">0</definedName>
    <definedName name="solver_num" localSheetId="4" hidden="1">0</definedName>
    <definedName name="solver_num" localSheetId="7" hidden="1">0</definedName>
    <definedName name="solver_num" localSheetId="8" hidden="1">0</definedName>
    <definedName name="solver_nwt" localSheetId="3" hidden="1">1</definedName>
    <definedName name="solver_nwt" localSheetId="4" hidden="1">1</definedName>
    <definedName name="solver_nwt" localSheetId="7" hidden="1">1</definedName>
    <definedName name="solver_nwt" localSheetId="8" hidden="1">1</definedName>
    <definedName name="solver_opt" localSheetId="3" hidden="1">'PCR Cycle 2'!$E$52</definedName>
    <definedName name="solver_opt" localSheetId="4" hidden="1">'PCR Cycle 3'!$F$52</definedName>
    <definedName name="solver_opt" localSheetId="7" hidden="1">'TDR Cycle 2'!#REF!</definedName>
    <definedName name="solver_opt" localSheetId="8" hidden="1">'TDR Cycle 3'!#REF!</definedName>
    <definedName name="solver_pre" localSheetId="3" hidden="1">0.000001</definedName>
    <definedName name="solver_pre" localSheetId="4" hidden="1">0.000001</definedName>
    <definedName name="solver_pre" localSheetId="7" hidden="1">0.000001</definedName>
    <definedName name="solver_pre" localSheetId="8" hidden="1">0.000001</definedName>
    <definedName name="solver_rbv" localSheetId="3" hidden="1">1</definedName>
    <definedName name="solver_rbv" localSheetId="4" hidden="1">1</definedName>
    <definedName name="solver_rbv" localSheetId="7" hidden="1">2</definedName>
    <definedName name="solver_rbv" localSheetId="8" hidden="1">2</definedName>
    <definedName name="solver_rlx" localSheetId="3" hidden="1">2</definedName>
    <definedName name="solver_rlx" localSheetId="4" hidden="1">2</definedName>
    <definedName name="solver_rlx" localSheetId="7" hidden="1">2</definedName>
    <definedName name="solver_rlx" localSheetId="8" hidden="1">2</definedName>
    <definedName name="solver_rsd" localSheetId="3" hidden="1">0</definedName>
    <definedName name="solver_rsd" localSheetId="4" hidden="1">0</definedName>
    <definedName name="solver_rsd" localSheetId="7" hidden="1">0</definedName>
    <definedName name="solver_rsd" localSheetId="8" hidden="1">0</definedName>
    <definedName name="solver_scl" localSheetId="3" hidden="1">1</definedName>
    <definedName name="solver_scl" localSheetId="4" hidden="1">1</definedName>
    <definedName name="solver_scl" localSheetId="7" hidden="1">2</definedName>
    <definedName name="solver_scl" localSheetId="8" hidden="1">2</definedName>
    <definedName name="solver_sho" localSheetId="3" hidden="1">2</definedName>
    <definedName name="solver_sho" localSheetId="4" hidden="1">2</definedName>
    <definedName name="solver_sho" localSheetId="7" hidden="1">2</definedName>
    <definedName name="solver_sho" localSheetId="8" hidden="1">2</definedName>
    <definedName name="solver_ssz" localSheetId="3" hidden="1">100</definedName>
    <definedName name="solver_ssz" localSheetId="4" hidden="1">100</definedName>
    <definedName name="solver_ssz" localSheetId="7" hidden="1">100</definedName>
    <definedName name="solver_ssz" localSheetId="8" hidden="1">100</definedName>
    <definedName name="solver_tim" localSheetId="3" hidden="1">2147483647</definedName>
    <definedName name="solver_tim" localSheetId="4" hidden="1">2147483647</definedName>
    <definedName name="solver_tim" localSheetId="7" hidden="1">2147483647</definedName>
    <definedName name="solver_tim" localSheetId="8" hidden="1">2147483647</definedName>
    <definedName name="solver_tol" localSheetId="3" hidden="1">0.01</definedName>
    <definedName name="solver_tol" localSheetId="4" hidden="1">0.01</definedName>
    <definedName name="solver_tol" localSheetId="7" hidden="1">0.01</definedName>
    <definedName name="solver_tol" localSheetId="8" hidden="1">0.01</definedName>
    <definedName name="solver_typ" localSheetId="3" hidden="1">3</definedName>
    <definedName name="solver_typ" localSheetId="4" hidden="1">3</definedName>
    <definedName name="solver_typ" localSheetId="7" hidden="1">3</definedName>
    <definedName name="solver_typ" localSheetId="8" hidden="1">3</definedName>
    <definedName name="solver_val" localSheetId="3" hidden="1">0</definedName>
    <definedName name="solver_val" localSheetId="4" hidden="1">0</definedName>
    <definedName name="solver_val" localSheetId="7" hidden="1">23888.44</definedName>
    <definedName name="solver_val" localSheetId="8" hidden="1">23888.44</definedName>
    <definedName name="solver_ver" localSheetId="3" hidden="1">3</definedName>
    <definedName name="solver_ver" localSheetId="4" hidden="1">3</definedName>
    <definedName name="solver_ver" localSheetId="7" hidden="1">3</definedName>
    <definedName name="solver_ver" localSheetId="8"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22" l="1"/>
  <c r="D50" i="22" l="1"/>
  <c r="D49" i="22"/>
  <c r="D48" i="22"/>
  <c r="D47" i="22"/>
  <c r="D17" i="22"/>
  <c r="D37" i="22" s="1"/>
  <c r="D16" i="22"/>
  <c r="D36" i="22" s="1"/>
  <c r="D15" i="22"/>
  <c r="D35" i="22" s="1"/>
  <c r="D14" i="22"/>
  <c r="D34" i="22" s="1"/>
  <c r="J17" i="22" l="1"/>
  <c r="J16" i="22"/>
  <c r="J15" i="22"/>
  <c r="J14" i="22"/>
  <c r="I14" i="22" l="1"/>
  <c r="I16" i="22" l="1"/>
  <c r="I15" i="22" l="1"/>
  <c r="I17" i="22" l="1"/>
  <c r="H14" i="22" l="1"/>
  <c r="H16" i="22" l="1"/>
  <c r="H15" i="22" l="1"/>
  <c r="H17" i="22" l="1"/>
  <c r="G14" i="22" l="1"/>
  <c r="G16" i="22" l="1"/>
  <c r="G15" i="22" l="1"/>
  <c r="G17" i="22" l="1"/>
  <c r="F14" i="22" l="1"/>
  <c r="F16" i="22" l="1"/>
  <c r="F15" i="22" l="1"/>
  <c r="F17" i="22" l="1"/>
  <c r="E16" i="22" l="1"/>
  <c r="E15" i="22" l="1"/>
  <c r="E17" i="22" l="1"/>
  <c r="E9" i="10" l="1"/>
  <c r="D9" i="10"/>
  <c r="E8" i="10"/>
  <c r="E10" i="10" s="1"/>
  <c r="E11" i="10" s="1"/>
  <c r="D8" i="10"/>
  <c r="D10" i="10" s="1"/>
  <c r="D6" i="10"/>
  <c r="D5" i="10" l="1"/>
  <c r="D11" i="10" s="1"/>
  <c r="E29" i="13" l="1"/>
  <c r="E29" i="24" l="1"/>
  <c r="F29" i="22"/>
  <c r="C29" i="8" l="1"/>
  <c r="D29" i="8" l="1"/>
  <c r="D34" i="8"/>
  <c r="C34" i="8"/>
  <c r="C35" i="8"/>
  <c r="D35" i="8" l="1"/>
  <c r="C33" i="8" l="1"/>
  <c r="C30" i="8" s="1"/>
  <c r="D33" i="8" l="1"/>
  <c r="D30" i="8" s="1"/>
  <c r="C22" i="8" l="1"/>
  <c r="C24" i="8"/>
  <c r="C23" i="8"/>
  <c r="C19" i="8" l="1"/>
  <c r="C18" i="8"/>
  <c r="D22" i="8" l="1"/>
  <c r="D24" i="8"/>
  <c r="D23" i="8"/>
  <c r="D19" i="8" l="1"/>
  <c r="D18" i="8"/>
  <c r="E24" i="8" l="1"/>
  <c r="E23" i="8"/>
  <c r="E22" i="8"/>
  <c r="E19" i="8" l="1"/>
  <c r="E18" i="8"/>
  <c r="E33" i="8" l="1"/>
  <c r="E34" i="8"/>
  <c r="E35" i="8" l="1"/>
  <c r="E30" i="8" l="1"/>
  <c r="E29" i="8" l="1"/>
  <c r="B42" i="8" l="1"/>
  <c r="B47" i="8" l="1"/>
  <c r="D40" i="8" l="1"/>
  <c r="C40" i="8"/>
  <c r="C46" i="8"/>
  <c r="C45" i="8"/>
  <c r="D45" i="8" l="1"/>
  <c r="D46" i="8" l="1"/>
  <c r="C44" i="8" l="1"/>
  <c r="D44" i="8" l="1"/>
  <c r="D41" i="8" l="1"/>
  <c r="D42" i="8" s="1"/>
  <c r="D47" i="8"/>
  <c r="C41" i="8"/>
  <c r="C47" i="8"/>
  <c r="C42" i="8" l="1"/>
  <c r="E44" i="8" l="1"/>
  <c r="F44" i="8" l="1"/>
  <c r="E45" i="8"/>
  <c r="G44" i="8" l="1"/>
  <c r="E46" i="8"/>
  <c r="F46" i="8" l="1"/>
  <c r="G46" i="8" s="1"/>
  <c r="E40" i="8"/>
  <c r="F40" i="8" l="1"/>
  <c r="F45" i="8" l="1"/>
  <c r="E47" i="8"/>
  <c r="E41" i="8"/>
  <c r="G40" i="8"/>
  <c r="F41" i="8" l="1"/>
  <c r="E42" i="8"/>
  <c r="G45" i="8"/>
  <c r="F47" i="8"/>
  <c r="G47" i="8" l="1"/>
  <c r="G41" i="8"/>
  <c r="F42" i="8"/>
  <c r="G42" i="8" l="1"/>
  <c r="L17" i="22" l="1"/>
  <c r="L16" i="22"/>
  <c r="L15" i="22"/>
  <c r="L14" i="22"/>
  <c r="K17" i="22"/>
  <c r="K16" i="22"/>
  <c r="K15" i="22"/>
  <c r="K14" i="22"/>
  <c r="C8" i="18"/>
  <c r="C7" i="18"/>
  <c r="C6" i="18"/>
  <c r="C5" i="18"/>
  <c r="L22" i="24" l="1"/>
  <c r="K22" i="24"/>
  <c r="L28" i="24"/>
  <c r="K28" i="24" l="1"/>
  <c r="K21" i="24" l="1"/>
  <c r="K23" i="24"/>
  <c r="L21" i="24" l="1"/>
  <c r="L23" i="24"/>
  <c r="K27" i="24" l="1"/>
  <c r="L29" i="24"/>
  <c r="K24" i="24"/>
  <c r="K29" i="24" l="1"/>
  <c r="L27" i="24"/>
  <c r="L24" i="24"/>
  <c r="K30" i="24" l="1"/>
  <c r="L30" i="24" l="1"/>
  <c r="B7" i="19" l="1"/>
  <c r="C7" i="19" l="1"/>
  <c r="B6" i="19" l="1"/>
  <c r="B8" i="19"/>
  <c r="C6" i="19" l="1"/>
  <c r="C8" i="19" l="1"/>
  <c r="B9" i="19"/>
  <c r="C9" i="19" l="1"/>
  <c r="B12" i="12" l="1"/>
  <c r="B11" i="12"/>
  <c r="B10" i="12"/>
  <c r="B6" i="12"/>
  <c r="C12" i="12"/>
  <c r="C11" i="12"/>
  <c r="C10" i="12"/>
  <c r="C6" i="12" l="1"/>
  <c r="L27" i="16" l="1"/>
  <c r="K27" i="16"/>
  <c r="L26" i="16"/>
  <c r="K26" i="16"/>
  <c r="L25" i="16"/>
  <c r="K25" i="16"/>
  <c r="L24" i="16"/>
  <c r="K24" i="16"/>
  <c r="L33" i="16"/>
  <c r="K33" i="16"/>
  <c r="L32" i="16"/>
  <c r="K32" i="16"/>
  <c r="L31" i="16"/>
  <c r="K31" i="16"/>
  <c r="L30" i="16"/>
  <c r="K30" i="16"/>
  <c r="E33" i="16" l="1"/>
  <c r="E32" i="16"/>
  <c r="E26" i="16"/>
  <c r="E31" i="16"/>
  <c r="E25" i="16"/>
  <c r="E27" i="16"/>
  <c r="E24" i="16"/>
  <c r="F33" i="16" l="1"/>
  <c r="F31" i="16"/>
  <c r="F27" i="16"/>
  <c r="F25" i="16"/>
  <c r="F32" i="16"/>
  <c r="F26" i="16"/>
  <c r="F24" i="16"/>
  <c r="G32" i="16" l="1"/>
  <c r="G26" i="16"/>
  <c r="G33" i="16"/>
  <c r="G27" i="16"/>
  <c r="G31" i="16"/>
  <c r="G25" i="16"/>
  <c r="G24" i="16"/>
  <c r="E30" i="16" l="1"/>
  <c r="H31" i="16"/>
  <c r="F30" i="16"/>
  <c r="H25" i="16"/>
  <c r="H33" i="16"/>
  <c r="H27" i="16"/>
  <c r="H32" i="16"/>
  <c r="H26" i="16"/>
  <c r="H24" i="16"/>
  <c r="I32" i="16" l="1"/>
  <c r="I26" i="16"/>
  <c r="I33" i="16"/>
  <c r="I27" i="16"/>
  <c r="I31" i="16"/>
  <c r="I25" i="16"/>
  <c r="I24" i="16"/>
  <c r="G30" i="16" l="1"/>
  <c r="J33" i="16"/>
  <c r="J31" i="16"/>
  <c r="J25" i="16"/>
  <c r="J27" i="16"/>
  <c r="J32" i="16"/>
  <c r="J26" i="16"/>
  <c r="J24" i="16"/>
  <c r="H30" i="16" l="1"/>
  <c r="I30" i="16" l="1"/>
  <c r="J30" i="16" l="1"/>
  <c r="E23" i="24" l="1"/>
  <c r="E21" i="24"/>
  <c r="E24" i="24"/>
  <c r="F24" i="24" l="1"/>
  <c r="F23" i="24"/>
  <c r="F21" i="24"/>
  <c r="E30" i="24"/>
  <c r="E27" i="24"/>
  <c r="E22" i="24" l="1"/>
  <c r="G21" i="24"/>
  <c r="G23" i="24"/>
  <c r="G24" i="24"/>
  <c r="F29" i="24"/>
  <c r="F30" i="24"/>
  <c r="F27" i="24"/>
  <c r="F22" i="24" l="1"/>
  <c r="H24" i="24"/>
  <c r="H23" i="24"/>
  <c r="H21" i="24"/>
  <c r="G30" i="24"/>
  <c r="G29" i="24"/>
  <c r="G27" i="24"/>
  <c r="G22" i="24" l="1"/>
  <c r="E28" i="24"/>
  <c r="I21" i="24"/>
  <c r="I23" i="24"/>
  <c r="H30" i="24"/>
  <c r="I24" i="24"/>
  <c r="H27" i="24"/>
  <c r="H22" i="24" l="1"/>
  <c r="F28" i="24"/>
  <c r="J23" i="24"/>
  <c r="I27" i="24"/>
  <c r="J24" i="24"/>
  <c r="J21" i="24"/>
  <c r="H29" i="24"/>
  <c r="I29" i="24"/>
  <c r="I22" i="24" l="1"/>
  <c r="I30" i="24"/>
  <c r="G28" i="24"/>
  <c r="J29" i="24"/>
  <c r="J22" i="24" l="1"/>
  <c r="J30" i="24"/>
  <c r="H28" i="24"/>
  <c r="J27" i="24" l="1"/>
  <c r="I28" i="24"/>
  <c r="J28" i="24" l="1"/>
  <c r="J29" i="22" l="1"/>
  <c r="J28" i="22"/>
  <c r="J27" i="22"/>
  <c r="J26" i="22"/>
  <c r="I29" i="22"/>
  <c r="I28" i="22"/>
  <c r="I27" i="22"/>
  <c r="I26" i="22"/>
  <c r="H29" i="22"/>
  <c r="H28" i="22"/>
  <c r="H27" i="22"/>
  <c r="H26" i="22"/>
  <c r="G29" i="22"/>
  <c r="G28" i="22"/>
  <c r="G27" i="22"/>
  <c r="G26" i="22"/>
  <c r="F28" i="22"/>
  <c r="F27" i="22"/>
  <c r="F26" i="22"/>
  <c r="E29" i="22"/>
  <c r="E28" i="22"/>
  <c r="E27" i="22"/>
  <c r="E26" i="22"/>
  <c r="I47" i="15" l="1"/>
  <c r="H47" i="15"/>
  <c r="G47" i="15"/>
  <c r="F47" i="15"/>
  <c r="E47" i="15"/>
  <c r="D47" i="15"/>
  <c r="F18" i="15" l="1"/>
  <c r="F17" i="15"/>
  <c r="F16" i="15"/>
  <c r="F15" i="15"/>
  <c r="E18" i="15"/>
  <c r="E17" i="15"/>
  <c r="E16" i="15"/>
  <c r="E15" i="15"/>
  <c r="I21" i="23" l="1"/>
  <c r="I20" i="23"/>
  <c r="I19" i="23"/>
  <c r="I18" i="23"/>
  <c r="H21" i="23"/>
  <c r="H20" i="23"/>
  <c r="H19" i="23"/>
  <c r="H18" i="23"/>
  <c r="G21" i="23"/>
  <c r="G20" i="23"/>
  <c r="G19" i="23"/>
  <c r="G18" i="23"/>
  <c r="F21" i="23"/>
  <c r="F20" i="23"/>
  <c r="F19" i="23"/>
  <c r="F18" i="23"/>
  <c r="E21" i="23"/>
  <c r="E20" i="23"/>
  <c r="E19" i="23"/>
  <c r="E18" i="23"/>
  <c r="D21" i="23"/>
  <c r="D20" i="23"/>
  <c r="D19" i="23"/>
  <c r="D18" i="23"/>
  <c r="F18" i="24"/>
  <c r="F17" i="24"/>
  <c r="F16" i="24"/>
  <c r="F15" i="24"/>
  <c r="G18" i="24"/>
  <c r="G17" i="24"/>
  <c r="G16" i="24"/>
  <c r="G15" i="24"/>
  <c r="H18" i="24"/>
  <c r="H17" i="24"/>
  <c r="H16" i="24"/>
  <c r="H15" i="24"/>
  <c r="I18" i="24"/>
  <c r="I17" i="24"/>
  <c r="I16" i="24"/>
  <c r="I15" i="24"/>
  <c r="J18" i="24"/>
  <c r="J17" i="24"/>
  <c r="J16" i="24"/>
  <c r="J15" i="24"/>
  <c r="E18" i="24"/>
  <c r="E17" i="24"/>
  <c r="E16" i="24"/>
  <c r="E15" i="24"/>
  <c r="J21" i="16"/>
  <c r="J20" i="16"/>
  <c r="J19" i="16"/>
  <c r="J18" i="16"/>
  <c r="I21" i="16"/>
  <c r="I20" i="16"/>
  <c r="I19" i="16"/>
  <c r="I18" i="16"/>
  <c r="H21" i="16"/>
  <c r="H20" i="16"/>
  <c r="H19" i="16"/>
  <c r="H18" i="16"/>
  <c r="G21" i="16"/>
  <c r="G20" i="16"/>
  <c r="G19" i="16"/>
  <c r="G18" i="16"/>
  <c r="F21" i="16"/>
  <c r="F20" i="16"/>
  <c r="F19" i="16"/>
  <c r="F18" i="16"/>
  <c r="E21" i="16"/>
  <c r="E20" i="16"/>
  <c r="E19" i="16"/>
  <c r="E18" i="16"/>
  <c r="I29" i="15"/>
  <c r="J23" i="22" s="1"/>
  <c r="I28" i="15"/>
  <c r="J22" i="22" s="1"/>
  <c r="I27" i="15"/>
  <c r="J21" i="22" s="1"/>
  <c r="I26" i="15"/>
  <c r="J20" i="22" s="1"/>
  <c r="H29" i="15"/>
  <c r="I23" i="22" s="1"/>
  <c r="H28" i="15"/>
  <c r="I22" i="22" s="1"/>
  <c r="H27" i="15"/>
  <c r="I21" i="22" s="1"/>
  <c r="H26" i="15"/>
  <c r="I20" i="22" s="1"/>
  <c r="G29" i="15"/>
  <c r="H23" i="22" s="1"/>
  <c r="G28" i="15"/>
  <c r="H22" i="22" s="1"/>
  <c r="G27" i="15"/>
  <c r="H21" i="22" s="1"/>
  <c r="G26" i="15"/>
  <c r="H20" i="22" s="1"/>
  <c r="F29" i="15"/>
  <c r="G23" i="22" s="1"/>
  <c r="F28" i="15"/>
  <c r="G22" i="22" s="1"/>
  <c r="F27" i="15"/>
  <c r="G21" i="22" s="1"/>
  <c r="F26" i="15"/>
  <c r="G20" i="22" s="1"/>
  <c r="E29" i="15"/>
  <c r="F23" i="22" s="1"/>
  <c r="E28" i="15"/>
  <c r="F22" i="22" s="1"/>
  <c r="E27" i="15"/>
  <c r="F21" i="22" s="1"/>
  <c r="E26" i="15"/>
  <c r="F20" i="22" s="1"/>
  <c r="D29" i="15"/>
  <c r="E23" i="22" s="1"/>
  <c r="D28" i="15"/>
  <c r="E22" i="22" s="1"/>
  <c r="D27" i="15"/>
  <c r="E21" i="22" s="1"/>
  <c r="D26" i="15"/>
  <c r="E20" i="22" s="1"/>
  <c r="I35" i="15"/>
  <c r="H35" i="15"/>
  <c r="G35" i="15"/>
  <c r="F35" i="15"/>
  <c r="E35" i="15"/>
  <c r="D35" i="15"/>
  <c r="I34" i="15"/>
  <c r="H34" i="15"/>
  <c r="G34" i="15"/>
  <c r="F34" i="15"/>
  <c r="E34" i="15"/>
  <c r="D34" i="15"/>
  <c r="I33" i="15"/>
  <c r="H33" i="15"/>
  <c r="G33" i="15"/>
  <c r="F33" i="15"/>
  <c r="E33" i="15"/>
  <c r="D33" i="15"/>
  <c r="I32" i="15"/>
  <c r="H32" i="15"/>
  <c r="G32" i="15"/>
  <c r="F32" i="15"/>
  <c r="E32" i="15"/>
  <c r="D32" i="15"/>
  <c r="C15" i="5" l="1"/>
  <c r="C14" i="5"/>
  <c r="C13" i="5"/>
  <c r="C12" i="5"/>
  <c r="J8" i="13"/>
  <c r="L8" i="16"/>
  <c r="K10" i="15"/>
  <c r="J10" i="23" s="1"/>
  <c r="K9" i="15"/>
  <c r="E14" i="10" s="1"/>
  <c r="K8" i="15"/>
  <c r="E13" i="10" s="1"/>
  <c r="L29" i="15"/>
  <c r="K29" i="15"/>
  <c r="J29" i="15"/>
  <c r="L28" i="15"/>
  <c r="K28" i="15"/>
  <c r="J28" i="15"/>
  <c r="L27" i="15"/>
  <c r="K27" i="15"/>
  <c r="J27" i="15"/>
  <c r="L26" i="15"/>
  <c r="K26" i="15"/>
  <c r="J26" i="15"/>
  <c r="E15" i="10" l="1"/>
  <c r="J9" i="13"/>
  <c r="J10" i="13"/>
  <c r="L9" i="16"/>
  <c r="L10" i="16"/>
  <c r="J8" i="23"/>
  <c r="J9" i="23"/>
  <c r="B8" i="18"/>
  <c r="B7" i="18"/>
  <c r="B6" i="18"/>
  <c r="B5" i="18"/>
  <c r="A1" i="13" l="1"/>
  <c r="A2" i="10"/>
  <c r="A1" i="10"/>
  <c r="A1" i="23"/>
  <c r="A2" i="8"/>
  <c r="A1" i="8"/>
  <c r="A1" i="24"/>
  <c r="A1" i="16"/>
  <c r="A1" i="19"/>
  <c r="A1" i="12"/>
  <c r="A1" i="22"/>
  <c r="A1" i="15"/>
  <c r="A1" i="5"/>
  <c r="B35" i="8" l="1"/>
  <c r="B34" i="8"/>
  <c r="B33" i="8"/>
  <c r="B30" i="8"/>
  <c r="B29" i="8"/>
  <c r="B24" i="8"/>
  <c r="B13" i="8" s="1"/>
  <c r="B23" i="8"/>
  <c r="B12" i="8" s="1"/>
  <c r="B22" i="8"/>
  <c r="B11" i="8" s="1"/>
  <c r="B19" i="8"/>
  <c r="B18" i="8"/>
  <c r="B7" i="8" l="1"/>
  <c r="B8" i="8"/>
  <c r="C12" i="8"/>
  <c r="C13" i="8"/>
  <c r="C11" i="8"/>
  <c r="C8" i="8"/>
  <c r="C7" i="8" l="1"/>
  <c r="D13" i="8" l="1"/>
  <c r="D12" i="8"/>
  <c r="D11" i="8"/>
  <c r="D8" i="8"/>
  <c r="D7" i="8" l="1"/>
  <c r="E11" i="8" l="1"/>
  <c r="E12" i="8" l="1"/>
  <c r="E13" i="8"/>
  <c r="E8" i="8" l="1"/>
  <c r="E7" i="8"/>
  <c r="B31" i="8" l="1"/>
  <c r="B9" i="8" l="1"/>
  <c r="A2" i="12" l="1"/>
  <c r="E6" i="18" l="1"/>
  <c r="E7" i="18" l="1"/>
  <c r="E8" i="18"/>
  <c r="G5" i="23" l="1"/>
  <c r="B52" i="23" l="1"/>
  <c r="B55" i="24"/>
  <c r="B54" i="22"/>
  <c r="G7" i="5" l="1"/>
  <c r="G6" i="5"/>
  <c r="G5" i="5"/>
  <c r="G4" i="5"/>
  <c r="B9" i="18" l="1"/>
  <c r="D39" i="16" l="1"/>
  <c r="C39" i="16"/>
  <c r="E25" i="8" l="1"/>
  <c r="B25" i="8"/>
  <c r="D25" i="8"/>
  <c r="E20" i="8"/>
  <c r="F23" i="8"/>
  <c r="G23" i="8" s="1"/>
  <c r="F19" i="8"/>
  <c r="G19" i="8" s="1"/>
  <c r="B20" i="8"/>
  <c r="C20" i="8"/>
  <c r="F22" i="8"/>
  <c r="G22" i="8" s="1"/>
  <c r="D20" i="8"/>
  <c r="C25" i="8"/>
  <c r="F24" i="8"/>
  <c r="G24" i="8" s="1"/>
  <c r="F18" i="8"/>
  <c r="G18" i="8" s="1"/>
  <c r="E24" i="23" l="1"/>
  <c r="F24" i="23"/>
  <c r="D24" i="23"/>
  <c r="D27" i="23"/>
  <c r="E27" i="23"/>
  <c r="F27" i="23"/>
  <c r="F26" i="23"/>
  <c r="E26" i="23"/>
  <c r="D26" i="23"/>
  <c r="F25" i="23"/>
  <c r="E25" i="23"/>
  <c r="D25" i="23"/>
  <c r="F25" i="8"/>
  <c r="F20" i="8"/>
  <c r="G20" i="8" l="1"/>
  <c r="G25" i="8"/>
  <c r="G5" i="16" l="1"/>
  <c r="I6" i="24" l="1"/>
  <c r="I5" i="24"/>
  <c r="C38" i="24" l="1"/>
  <c r="C44" i="24" s="1"/>
  <c r="C37" i="24"/>
  <c r="C43" i="24" s="1"/>
  <c r="C36" i="24"/>
  <c r="C42" i="24" s="1"/>
  <c r="C35" i="24"/>
  <c r="F15" i="16" l="1"/>
  <c r="H15" i="16" l="1"/>
  <c r="G15" i="16"/>
  <c r="I15" i="16" l="1"/>
  <c r="J15" i="16" l="1"/>
  <c r="K15" i="16" l="1"/>
  <c r="L15" i="16" l="1"/>
  <c r="N26" i="16" l="1"/>
  <c r="N25" i="16"/>
  <c r="J39" i="16" l="1"/>
  <c r="I39" i="16"/>
  <c r="H39" i="16"/>
  <c r="L34" i="15" l="1"/>
  <c r="L22" i="22"/>
  <c r="L28" i="22" s="1"/>
  <c r="L33" i="15"/>
  <c r="K33" i="15"/>
  <c r="L20" i="22"/>
  <c r="K21" i="22"/>
  <c r="K27" i="22" s="1"/>
  <c r="M21" i="22" l="1"/>
  <c r="M27" i="22" s="1"/>
  <c r="J33" i="15"/>
  <c r="L21" i="22"/>
  <c r="L27" i="22" s="1"/>
  <c r="J20" i="23"/>
  <c r="K17" i="24"/>
  <c r="K20" i="16"/>
  <c r="J21" i="23"/>
  <c r="K18" i="24"/>
  <c r="K21" i="16"/>
  <c r="K21" i="23"/>
  <c r="L18" i="24"/>
  <c r="L21" i="16"/>
  <c r="K34" i="15"/>
  <c r="K22" i="22"/>
  <c r="K28" i="22" s="1"/>
  <c r="L18" i="13"/>
  <c r="L18" i="23"/>
  <c r="M15" i="24"/>
  <c r="M35" i="24" s="1"/>
  <c r="M18" i="16"/>
  <c r="L20" i="23"/>
  <c r="M17" i="24"/>
  <c r="M37" i="24" s="1"/>
  <c r="M20" i="16"/>
  <c r="J34" i="15"/>
  <c r="J18" i="13"/>
  <c r="J18" i="23"/>
  <c r="K15" i="24"/>
  <c r="K18" i="16"/>
  <c r="K20" i="22"/>
  <c r="M22" i="22"/>
  <c r="M28" i="22" s="1"/>
  <c r="K23" i="22"/>
  <c r="K18" i="13"/>
  <c r="K18" i="23"/>
  <c r="L15" i="24"/>
  <c r="L18" i="16"/>
  <c r="L21" i="23"/>
  <c r="M18" i="24"/>
  <c r="M38" i="24" s="1"/>
  <c r="M21" i="16"/>
  <c r="K19" i="13"/>
  <c r="K19" i="23"/>
  <c r="L16" i="24"/>
  <c r="L19" i="16"/>
  <c r="L19" i="13"/>
  <c r="L19" i="23"/>
  <c r="M16" i="24"/>
  <c r="M36" i="24" s="1"/>
  <c r="M19" i="16"/>
  <c r="J19" i="13"/>
  <c r="J19" i="23"/>
  <c r="K16" i="24"/>
  <c r="K19" i="16"/>
  <c r="M20" i="22"/>
  <c r="L23" i="22"/>
  <c r="K20" i="23"/>
  <c r="L17" i="24"/>
  <c r="L20" i="16"/>
  <c r="M23" i="22"/>
  <c r="E5" i="16" l="1"/>
  <c r="D5" i="23"/>
  <c r="M39" i="16"/>
  <c r="E5" i="24"/>
  <c r="L39" i="16"/>
  <c r="K39" i="16"/>
  <c r="E6" i="24"/>
  <c r="I6" i="22" l="1"/>
  <c r="F6" i="22"/>
  <c r="E6" i="22"/>
  <c r="I5" i="22"/>
  <c r="F5" i="22"/>
  <c r="E5" i="22"/>
  <c r="M36" i="22" l="1"/>
  <c r="I36" i="22"/>
  <c r="H36" i="22"/>
  <c r="G36" i="22"/>
  <c r="F36" i="22"/>
  <c r="E36" i="22"/>
  <c r="C36" i="22"/>
  <c r="C42" i="22" s="1"/>
  <c r="D42" i="22" s="1"/>
  <c r="E42" i="22" s="1"/>
  <c r="M35" i="22"/>
  <c r="I35" i="22"/>
  <c r="H35" i="22"/>
  <c r="G35" i="22"/>
  <c r="F35" i="22"/>
  <c r="E35" i="22"/>
  <c r="C35" i="22"/>
  <c r="C41" i="22" s="1"/>
  <c r="D41" i="22" s="1"/>
  <c r="E41" i="22" s="1"/>
  <c r="L34" i="23" l="1"/>
  <c r="F34" i="23"/>
  <c r="E34" i="23"/>
  <c r="D34" i="23"/>
  <c r="C34" i="23"/>
  <c r="C40" i="23" s="1"/>
  <c r="L33" i="23"/>
  <c r="F33" i="23"/>
  <c r="E33" i="23"/>
  <c r="D33" i="23"/>
  <c r="C33" i="23"/>
  <c r="C39" i="23" s="1"/>
  <c r="C13" i="13"/>
  <c r="B13" i="13"/>
  <c r="C13" i="23"/>
  <c r="B13" i="23"/>
  <c r="C10" i="24"/>
  <c r="B10" i="24"/>
  <c r="C13" i="16"/>
  <c r="B13" i="16"/>
  <c r="C10" i="22"/>
  <c r="B10" i="22"/>
  <c r="D40" i="23" l="1"/>
  <c r="D39" i="23"/>
  <c r="J47" i="15"/>
  <c r="K47" i="15" s="1"/>
  <c r="G39" i="16" l="1"/>
  <c r="F39" i="16"/>
  <c r="E39" i="16"/>
  <c r="E15" i="16" l="1"/>
  <c r="N27" i="16" l="1"/>
  <c r="F5" i="16" s="1"/>
  <c r="C55" i="24" l="1"/>
  <c r="C41" i="24"/>
  <c r="E11" i="24"/>
  <c r="F11" i="24" s="1"/>
  <c r="G11" i="24" s="1"/>
  <c r="H11" i="24" s="1"/>
  <c r="I11" i="24" s="1"/>
  <c r="J11" i="24" s="1"/>
  <c r="K11" i="24" s="1"/>
  <c r="L11" i="24" s="1"/>
  <c r="M11" i="24" s="1"/>
  <c r="I7" i="24"/>
  <c r="I4" i="24"/>
  <c r="I8" i="24" l="1"/>
  <c r="E7" i="24"/>
  <c r="E4" i="24"/>
  <c r="E8" i="24" l="1"/>
  <c r="D14" i="13" l="1"/>
  <c r="D14" i="23"/>
  <c r="E14" i="23" s="1"/>
  <c r="F14" i="23" s="1"/>
  <c r="G14" i="23" s="1"/>
  <c r="H14" i="23" s="1"/>
  <c r="I14" i="23" s="1"/>
  <c r="J14" i="23" s="1"/>
  <c r="K14" i="23" s="1"/>
  <c r="L14" i="23" s="1"/>
  <c r="E14" i="16"/>
  <c r="E11" i="22"/>
  <c r="E14" i="15"/>
  <c r="F14" i="15" s="1"/>
  <c r="G14" i="15" s="1"/>
  <c r="H14" i="15" s="1"/>
  <c r="I14" i="15" s="1"/>
  <c r="J14" i="15" s="1"/>
  <c r="K14" i="15" s="1"/>
  <c r="L14" i="15" s="1"/>
  <c r="M11" i="22" s="1"/>
  <c r="C52" i="23"/>
  <c r="C35" i="23"/>
  <c r="C41" i="23" s="1"/>
  <c r="C32" i="23"/>
  <c r="C38" i="23" s="1"/>
  <c r="L35" i="23"/>
  <c r="E35" i="23"/>
  <c r="D35" i="23"/>
  <c r="L32" i="23"/>
  <c r="F32" i="23"/>
  <c r="D32" i="23"/>
  <c r="F15" i="23"/>
  <c r="E15" i="23"/>
  <c r="D15" i="23"/>
  <c r="G4" i="23"/>
  <c r="G6" i="23" s="1"/>
  <c r="C38" i="16"/>
  <c r="C54" i="22"/>
  <c r="M52" i="22"/>
  <c r="M29" i="22"/>
  <c r="L29" i="22"/>
  <c r="K29" i="22"/>
  <c r="M26" i="22"/>
  <c r="L26" i="22"/>
  <c r="K26" i="22"/>
  <c r="C37" i="22"/>
  <c r="C43" i="22" s="1"/>
  <c r="D43" i="22" s="1"/>
  <c r="H37" i="22"/>
  <c r="G37" i="22"/>
  <c r="G34" i="22"/>
  <c r="F34" i="22"/>
  <c r="I7" i="22"/>
  <c r="I4" i="22"/>
  <c r="I8" i="22" l="1"/>
  <c r="M34" i="22"/>
  <c r="H34" i="22"/>
  <c r="I34" i="22"/>
  <c r="F37" i="22"/>
  <c r="I37" i="22"/>
  <c r="J11" i="23"/>
  <c r="D38" i="23"/>
  <c r="F4" i="22"/>
  <c r="M37" i="22"/>
  <c r="F7" i="22"/>
  <c r="D4" i="23"/>
  <c r="F11" i="22"/>
  <c r="H11" i="22"/>
  <c r="G11" i="22"/>
  <c r="I11" i="22"/>
  <c r="J11" i="22"/>
  <c r="K11" i="22"/>
  <c r="L11" i="22"/>
  <c r="D41" i="23"/>
  <c r="E32" i="23"/>
  <c r="F35" i="23"/>
  <c r="E37" i="22"/>
  <c r="E43" i="22" s="1"/>
  <c r="E7" i="22"/>
  <c r="E4" i="22"/>
  <c r="C34" i="22"/>
  <c r="C40" i="22" s="1"/>
  <c r="D40" i="22" s="1"/>
  <c r="E34" i="22"/>
  <c r="E40" i="22" l="1"/>
  <c r="D6" i="23"/>
  <c r="F8" i="22"/>
  <c r="E8" i="22"/>
  <c r="A2" i="19" l="1"/>
  <c r="Z23" i="5" l="1"/>
  <c r="AA23" i="5"/>
  <c r="AA15" i="5"/>
  <c r="Z15" i="5"/>
  <c r="AA22" i="5"/>
  <c r="AA14" i="5"/>
  <c r="Z22" i="5"/>
  <c r="Z14" i="5"/>
  <c r="E16" i="20" l="1"/>
  <c r="E15" i="20"/>
  <c r="D16" i="20"/>
  <c r="AA13" i="5"/>
  <c r="Z13" i="5"/>
  <c r="Z21" i="5"/>
  <c r="AA21" i="5"/>
  <c r="D15" i="20"/>
  <c r="J11" i="13"/>
  <c r="E16" i="10" l="1"/>
  <c r="D14" i="20"/>
  <c r="E14" i="20"/>
  <c r="K11" i="15"/>
  <c r="L11" i="16"/>
  <c r="B13" i="12" l="1"/>
  <c r="B7" i="12" s="1"/>
  <c r="T15" i="5"/>
  <c r="T14" i="5"/>
  <c r="T13" i="5"/>
  <c r="C13" i="12" l="1"/>
  <c r="C7" i="12" s="1"/>
  <c r="F8" i="10" l="1"/>
  <c r="D38" i="16" l="1"/>
  <c r="D15" i="16"/>
  <c r="B52" i="16" l="1"/>
  <c r="B54" i="15"/>
  <c r="C10" i="10" l="1"/>
  <c r="C42" i="13" l="1"/>
  <c r="F29" i="13"/>
  <c r="D29" i="13"/>
  <c r="C29" i="13"/>
  <c r="C33" i="13" s="1"/>
  <c r="F28" i="13"/>
  <c r="E28" i="13"/>
  <c r="D28" i="13"/>
  <c r="C28" i="13"/>
  <c r="C32" i="13" s="1"/>
  <c r="H29" i="13"/>
  <c r="J15" i="13"/>
  <c r="I15" i="13"/>
  <c r="I28" i="13"/>
  <c r="H28" i="13"/>
  <c r="G28" i="13"/>
  <c r="K15" i="13"/>
  <c r="G15" i="13"/>
  <c r="F15" i="13"/>
  <c r="E15" i="13"/>
  <c r="D15" i="13"/>
  <c r="E14" i="13"/>
  <c r="F14" i="13" s="1"/>
  <c r="G14" i="13" s="1"/>
  <c r="H14" i="13" s="1"/>
  <c r="I14" i="13" s="1"/>
  <c r="J14" i="13" s="1"/>
  <c r="K14" i="13" s="1"/>
  <c r="L14" i="13" s="1"/>
  <c r="G5" i="13"/>
  <c r="G4" i="13"/>
  <c r="G6" i="13" l="1"/>
  <c r="D33" i="13"/>
  <c r="D32" i="13"/>
  <c r="I29" i="13"/>
  <c r="E5" i="13"/>
  <c r="E4" i="13"/>
  <c r="G29" i="13"/>
  <c r="H15" i="13"/>
  <c r="E6" i="13" l="1"/>
  <c r="L29" i="13" l="1"/>
  <c r="L28" i="13"/>
  <c r="K28" i="13"/>
  <c r="K29" i="13"/>
  <c r="J28" i="13" l="1"/>
  <c r="D4" i="13"/>
  <c r="J29" i="13"/>
  <c r="D5" i="13"/>
  <c r="F5" i="13" s="1"/>
  <c r="D6" i="13" l="1"/>
  <c r="F4" i="13"/>
  <c r="F6" i="13" l="1"/>
  <c r="C23" i="15" l="1"/>
  <c r="C41" i="15" s="1"/>
  <c r="C22" i="15"/>
  <c r="H46" i="24" l="1"/>
  <c r="G35" i="13"/>
  <c r="G43" i="23"/>
  <c r="H45" i="16"/>
  <c r="H45" i="22"/>
  <c r="E46" i="24"/>
  <c r="D35" i="13"/>
  <c r="E45" i="16"/>
  <c r="D43" i="23"/>
  <c r="E45" i="22"/>
  <c r="F46" i="24"/>
  <c r="E35" i="13"/>
  <c r="E43" i="23"/>
  <c r="F45" i="16"/>
  <c r="F45" i="22"/>
  <c r="G46" i="24"/>
  <c r="F35" i="13"/>
  <c r="F43" i="23"/>
  <c r="G45" i="16"/>
  <c r="G45" i="22"/>
  <c r="I46" i="24"/>
  <c r="H35" i="13"/>
  <c r="H43" i="23"/>
  <c r="I45" i="16"/>
  <c r="I45" i="22"/>
  <c r="E49" i="22" l="1"/>
  <c r="E48" i="22"/>
  <c r="E50" i="22"/>
  <c r="E47" i="22"/>
  <c r="D46" i="23"/>
  <c r="D47" i="23"/>
  <c r="D38" i="13"/>
  <c r="D37" i="13"/>
  <c r="J46" i="24"/>
  <c r="I43" i="23"/>
  <c r="J45" i="16"/>
  <c r="I35" i="13"/>
  <c r="J45" i="22"/>
  <c r="D48" i="23"/>
  <c r="D45" i="23"/>
  <c r="C52" i="16"/>
  <c r="D52" i="16" s="1"/>
  <c r="E54" i="22" l="1"/>
  <c r="E51" i="22" s="1"/>
  <c r="F42" i="22"/>
  <c r="F49" i="22"/>
  <c r="F41" i="22"/>
  <c r="F48" i="22"/>
  <c r="E47" i="23"/>
  <c r="E40" i="23"/>
  <c r="E46" i="23"/>
  <c r="E39" i="23"/>
  <c r="D52" i="23"/>
  <c r="D49" i="23" s="1"/>
  <c r="D50" i="23"/>
  <c r="E45" i="23"/>
  <c r="E38" i="23"/>
  <c r="E41" i="23"/>
  <c r="E48" i="23"/>
  <c r="F47" i="22"/>
  <c r="E52" i="22"/>
  <c r="F40" i="22"/>
  <c r="E37" i="13"/>
  <c r="E32" i="13"/>
  <c r="D40" i="13"/>
  <c r="D42" i="13"/>
  <c r="D39" i="13" s="1"/>
  <c r="F50" i="22"/>
  <c r="F43" i="22"/>
  <c r="E33" i="13"/>
  <c r="E38" i="13"/>
  <c r="L35" i="15"/>
  <c r="K35" i="15"/>
  <c r="J35" i="15"/>
  <c r="L32" i="15"/>
  <c r="K32" i="15"/>
  <c r="J32" i="15"/>
  <c r="F54" i="22" l="1"/>
  <c r="F51" i="22" s="1"/>
  <c r="G42" i="22"/>
  <c r="G41" i="22"/>
  <c r="G48" i="22"/>
  <c r="G49" i="22"/>
  <c r="F40" i="23"/>
  <c r="F47" i="23"/>
  <c r="F39" i="23"/>
  <c r="F46" i="23"/>
  <c r="E52" i="23"/>
  <c r="E49" i="23" s="1"/>
  <c r="G47" i="22"/>
  <c r="G40" i="22"/>
  <c r="F52" i="22"/>
  <c r="F33" i="13"/>
  <c r="F38" i="13"/>
  <c r="F41" i="23"/>
  <c r="F48" i="23"/>
  <c r="F32" i="13"/>
  <c r="F37" i="13"/>
  <c r="F45" i="23"/>
  <c r="F38" i="23"/>
  <c r="G43" i="22"/>
  <c r="G50" i="22"/>
  <c r="E40" i="13"/>
  <c r="E42" i="13"/>
  <c r="E39" i="13" s="1"/>
  <c r="E50" i="23"/>
  <c r="H49" i="22" l="1"/>
  <c r="G54" i="22"/>
  <c r="G51" i="22" s="1"/>
  <c r="H42" i="22"/>
  <c r="H41" i="22"/>
  <c r="H48" i="22"/>
  <c r="H50" i="22"/>
  <c r="H43" i="22"/>
  <c r="F50" i="23"/>
  <c r="F52" i="23"/>
  <c r="F49" i="23" s="1"/>
  <c r="H40" i="22"/>
  <c r="H47" i="22"/>
  <c r="G33" i="13"/>
  <c r="G38" i="13"/>
  <c r="G52" i="22"/>
  <c r="G32" i="13"/>
  <c r="G37" i="13"/>
  <c r="F42" i="13"/>
  <c r="F39" i="13" s="1"/>
  <c r="F40" i="13"/>
  <c r="H54" i="22" l="1"/>
  <c r="H51" i="22" s="1"/>
  <c r="I48" i="22"/>
  <c r="I41" i="22"/>
  <c r="I42" i="22"/>
  <c r="I49" i="22"/>
  <c r="H33" i="13"/>
  <c r="H38" i="13"/>
  <c r="I40" i="22"/>
  <c r="I47" i="22"/>
  <c r="G40" i="13"/>
  <c r="G42" i="13"/>
  <c r="G39" i="13" s="1"/>
  <c r="H37" i="13"/>
  <c r="H32" i="13"/>
  <c r="H52" i="22"/>
  <c r="I50" i="22"/>
  <c r="I43" i="22"/>
  <c r="C43" i="16"/>
  <c r="D43" i="16" s="1"/>
  <c r="C42" i="16"/>
  <c r="D42" i="16" s="1"/>
  <c r="M38" i="16"/>
  <c r="F14" i="16"/>
  <c r="G14" i="16" s="1"/>
  <c r="H14" i="16" s="1"/>
  <c r="I14" i="16" s="1"/>
  <c r="J14" i="16" s="1"/>
  <c r="K14" i="16" s="1"/>
  <c r="L14" i="16" s="1"/>
  <c r="M14" i="16" s="1"/>
  <c r="I5" i="16"/>
  <c r="I4" i="16"/>
  <c r="C54" i="15"/>
  <c r="L52" i="15"/>
  <c r="C45" i="15"/>
  <c r="C40" i="15"/>
  <c r="C44" i="15" s="1"/>
  <c r="L23" i="15"/>
  <c r="L41" i="15" s="1"/>
  <c r="L22" i="15"/>
  <c r="H5" i="15"/>
  <c r="H4" i="15"/>
  <c r="I54" i="22" l="1"/>
  <c r="I51" i="22" s="1"/>
  <c r="I52" i="22"/>
  <c r="K46" i="24"/>
  <c r="J43" i="23"/>
  <c r="K45" i="16"/>
  <c r="J35" i="13"/>
  <c r="K45" i="22"/>
  <c r="I32" i="13"/>
  <c r="I37" i="13"/>
  <c r="H40" i="13"/>
  <c r="H42" i="13"/>
  <c r="H39" i="13" s="1"/>
  <c r="I33" i="13"/>
  <c r="I38" i="13"/>
  <c r="H6" i="15"/>
  <c r="I6" i="16"/>
  <c r="L40" i="15"/>
  <c r="E4" i="16"/>
  <c r="J38" i="13" l="1"/>
  <c r="J33" i="13"/>
  <c r="I42" i="13"/>
  <c r="I39" i="13" s="1"/>
  <c r="I40" i="13"/>
  <c r="J32" i="13"/>
  <c r="J37" i="13"/>
  <c r="E6" i="16"/>
  <c r="K33" i="13" l="1"/>
  <c r="J42" i="13"/>
  <c r="J39" i="13" s="1"/>
  <c r="K32" i="13"/>
  <c r="J40" i="13"/>
  <c r="L46" i="24" l="1"/>
  <c r="K43" i="23"/>
  <c r="K35" i="13"/>
  <c r="K37" i="13" s="1"/>
  <c r="L45" i="22"/>
  <c r="L45" i="16"/>
  <c r="K38" i="13" l="1"/>
  <c r="L33" i="13" s="1"/>
  <c r="H4" i="13"/>
  <c r="L32" i="13"/>
  <c r="L37" i="13"/>
  <c r="K40" i="13" l="1"/>
  <c r="H5" i="13"/>
  <c r="I5" i="13" s="1"/>
  <c r="I9" i="13" s="1"/>
  <c r="K42" i="13"/>
  <c r="K39" i="13" s="1"/>
  <c r="L38" i="13"/>
  <c r="L40" i="13" s="1"/>
  <c r="I4" i="13"/>
  <c r="L42" i="13" l="1"/>
  <c r="L39" i="13" s="1"/>
  <c r="J5" i="13"/>
  <c r="I8" i="13"/>
  <c r="V21" i="5" s="1"/>
  <c r="I10" i="13"/>
  <c r="F23" i="5" s="1"/>
  <c r="H6" i="13"/>
  <c r="F22" i="5"/>
  <c r="V22" i="5"/>
  <c r="I6" i="13"/>
  <c r="F20" i="5"/>
  <c r="J4" i="13"/>
  <c r="V23" i="5" l="1"/>
  <c r="F21" i="5"/>
  <c r="I11" i="13"/>
  <c r="Z12" i="5" l="1"/>
  <c r="AA20" i="5"/>
  <c r="AA12" i="5"/>
  <c r="Z20" i="5"/>
  <c r="V20" i="5"/>
  <c r="E13" i="20" l="1"/>
  <c r="D13" i="20"/>
  <c r="F9" i="10" l="1"/>
  <c r="V12" i="5"/>
  <c r="E5" i="20" s="1"/>
  <c r="E21" i="20" s="1"/>
  <c r="D15" i="10" l="1"/>
  <c r="D13" i="10"/>
  <c r="D14" i="10"/>
  <c r="F12" i="5"/>
  <c r="F10" i="10"/>
  <c r="F11" i="10" s="1"/>
  <c r="V14" i="5" l="1"/>
  <c r="E7" i="20" s="1"/>
  <c r="E23" i="20" s="1"/>
  <c r="F14" i="5"/>
  <c r="F13" i="5"/>
  <c r="D16" i="10"/>
  <c r="V13" i="5"/>
  <c r="E6" i="20" s="1"/>
  <c r="E22" i="20" s="1"/>
  <c r="F15" i="5"/>
  <c r="V15" i="5"/>
  <c r="E8" i="20" s="1"/>
  <c r="E24" i="20" s="1"/>
  <c r="F4" i="5"/>
  <c r="M4" i="5"/>
  <c r="M7" i="5" l="1"/>
  <c r="E29" i="20" s="1"/>
  <c r="F7" i="5"/>
  <c r="F5" i="5"/>
  <c r="M5" i="5"/>
  <c r="F6" i="5"/>
  <c r="M6" i="5"/>
  <c r="E28" i="20" s="1"/>
  <c r="E26" i="20"/>
  <c r="K23" i="15"/>
  <c r="K41" i="15" s="1"/>
  <c r="E27" i="20" l="1"/>
  <c r="J22" i="15"/>
  <c r="J40" i="15" l="1"/>
  <c r="K22" i="15" l="1"/>
  <c r="K40" i="15" l="1"/>
  <c r="J23" i="15" l="1"/>
  <c r="J41" i="15" s="1"/>
  <c r="K38" i="16" l="1"/>
  <c r="L38" i="16" l="1"/>
  <c r="T12" i="5" l="1"/>
  <c r="B8" i="12" l="1"/>
  <c r="C8" i="12" l="1"/>
  <c r="E38" i="16" l="1"/>
  <c r="F38" i="16" l="1"/>
  <c r="E47" i="16"/>
  <c r="E42" i="16"/>
  <c r="F47" i="16" l="1"/>
  <c r="F42" i="16"/>
  <c r="G38" i="16"/>
  <c r="E48" i="16"/>
  <c r="E52" i="16" s="1"/>
  <c r="E43" i="16"/>
  <c r="E49" i="16" l="1"/>
  <c r="E50" i="16"/>
  <c r="H38" i="16"/>
  <c r="G42" i="16"/>
  <c r="G47" i="16"/>
  <c r="F48" i="16"/>
  <c r="F52" i="16" s="1"/>
  <c r="F43" i="16"/>
  <c r="N24" i="16"/>
  <c r="F4" i="16" s="1"/>
  <c r="F49" i="16" l="1"/>
  <c r="H47" i="16"/>
  <c r="H42" i="16"/>
  <c r="F6" i="16"/>
  <c r="I38" i="16"/>
  <c r="F50" i="16"/>
  <c r="G48" i="16"/>
  <c r="G50" i="16" s="1"/>
  <c r="G43" i="16"/>
  <c r="G52" i="16" l="1"/>
  <c r="G49" i="16" s="1"/>
  <c r="H43" i="16"/>
  <c r="H48" i="16"/>
  <c r="H50" i="16" s="1"/>
  <c r="J38" i="16"/>
  <c r="I47" i="16"/>
  <c r="I42" i="16"/>
  <c r="G4" i="16"/>
  <c r="H4" i="16" l="1"/>
  <c r="I48" i="16"/>
  <c r="I50" i="16" s="1"/>
  <c r="I43" i="16"/>
  <c r="H52" i="16"/>
  <c r="H49" i="16" s="1"/>
  <c r="H5" i="16"/>
  <c r="J42" i="16"/>
  <c r="J47" i="16"/>
  <c r="G6" i="16" l="1"/>
  <c r="J43" i="16"/>
  <c r="J48" i="16"/>
  <c r="J50" i="16" s="1"/>
  <c r="I52" i="16"/>
  <c r="I49" i="16" s="1"/>
  <c r="K47" i="16"/>
  <c r="K42" i="16"/>
  <c r="H6" i="16"/>
  <c r="J52" i="16" l="1"/>
  <c r="J49" i="16" s="1"/>
  <c r="L42" i="16"/>
  <c r="L47" i="16"/>
  <c r="J4" i="16" s="1"/>
  <c r="K43" i="16"/>
  <c r="K48" i="16"/>
  <c r="K52" i="16" l="1"/>
  <c r="L48" i="16"/>
  <c r="J5" i="16" s="1"/>
  <c r="L43" i="16"/>
  <c r="K4" i="16"/>
  <c r="K50" i="16"/>
  <c r="M47" i="16"/>
  <c r="M42" i="16"/>
  <c r="K5" i="16" l="1"/>
  <c r="L4" i="16"/>
  <c r="T20" i="5"/>
  <c r="J6" i="16"/>
  <c r="M43" i="16"/>
  <c r="M48" i="16"/>
  <c r="K49" i="16"/>
  <c r="L52" i="16"/>
  <c r="L50" i="16"/>
  <c r="C5" i="20" l="1"/>
  <c r="L5" i="16"/>
  <c r="K6" i="16"/>
  <c r="K8" i="16"/>
  <c r="T21" i="5" s="1"/>
  <c r="K9" i="16"/>
  <c r="T22" i="5" s="1"/>
  <c r="K10" i="16"/>
  <c r="T23" i="5" s="1"/>
  <c r="L49" i="16"/>
  <c r="M52" i="16"/>
  <c r="M49" i="16" s="1"/>
  <c r="M50" i="16"/>
  <c r="K11" i="16" l="1"/>
  <c r="C7" i="20" l="1"/>
  <c r="C6" i="20"/>
  <c r="C8" i="20"/>
  <c r="E5" i="15" l="1"/>
  <c r="E4" i="15" l="1"/>
  <c r="E6" i="15" s="1"/>
  <c r="D5" i="15" l="1"/>
  <c r="D4" i="15" l="1"/>
  <c r="D6" i="15" l="1"/>
  <c r="J37" i="22" l="1"/>
  <c r="J36" i="22" l="1"/>
  <c r="J43" i="22"/>
  <c r="J50" i="22"/>
  <c r="J34" i="22"/>
  <c r="J47" i="22" l="1"/>
  <c r="J40" i="22"/>
  <c r="J42" i="22"/>
  <c r="J49" i="22"/>
  <c r="J35" i="22" l="1"/>
  <c r="J48" i="22" l="1"/>
  <c r="J41" i="22"/>
  <c r="J52" i="22" l="1"/>
  <c r="J54" i="22"/>
  <c r="J51" i="22" s="1"/>
  <c r="F23" i="15" l="1"/>
  <c r="F41" i="15" s="1"/>
  <c r="D23" i="15"/>
  <c r="D41" i="15" s="1"/>
  <c r="G23" i="15"/>
  <c r="G41" i="15" s="1"/>
  <c r="D22" i="15"/>
  <c r="E23" i="15"/>
  <c r="E41" i="15" s="1"/>
  <c r="I22" i="15"/>
  <c r="I40" i="15" s="1"/>
  <c r="H22" i="15"/>
  <c r="H40" i="15" s="1"/>
  <c r="G22" i="15"/>
  <c r="G40" i="15" s="1"/>
  <c r="I23" i="15"/>
  <c r="I41" i="15" s="1"/>
  <c r="F22" i="15"/>
  <c r="F40" i="15" s="1"/>
  <c r="H23" i="15"/>
  <c r="H41" i="15" s="1"/>
  <c r="E22" i="15"/>
  <c r="E40" i="15" s="1"/>
  <c r="D45" i="15" l="1"/>
  <c r="D50" i="15"/>
  <c r="F5" i="15"/>
  <c r="G5" i="15" s="1"/>
  <c r="D40" i="15"/>
  <c r="F4" i="15"/>
  <c r="F6" i="15" l="1"/>
  <c r="G4" i="15"/>
  <c r="D49" i="15"/>
  <c r="D44" i="15"/>
  <c r="E50" i="15"/>
  <c r="E45" i="15"/>
  <c r="F45" i="15" l="1"/>
  <c r="F50" i="15"/>
  <c r="E44" i="15"/>
  <c r="E49" i="15"/>
  <c r="G6" i="15"/>
  <c r="D52" i="15"/>
  <c r="D54" i="15"/>
  <c r="D51" i="15" s="1"/>
  <c r="E52" i="15" l="1"/>
  <c r="E54" i="15"/>
  <c r="E51" i="15" s="1"/>
  <c r="F49" i="15"/>
  <c r="F44" i="15"/>
  <c r="G45" i="15"/>
  <c r="G50" i="15"/>
  <c r="H45" i="15" l="1"/>
  <c r="H50" i="15"/>
  <c r="F52" i="15"/>
  <c r="F54" i="15"/>
  <c r="F51" i="15" s="1"/>
  <c r="G44" i="15"/>
  <c r="G49" i="15"/>
  <c r="H44" i="15" l="1"/>
  <c r="H49" i="15"/>
  <c r="G52" i="15"/>
  <c r="G54" i="15"/>
  <c r="G51" i="15" s="1"/>
  <c r="I50" i="15"/>
  <c r="I45" i="15"/>
  <c r="J45" i="15" l="1"/>
  <c r="J50" i="15"/>
  <c r="H52" i="15"/>
  <c r="H54" i="15"/>
  <c r="H51" i="15" s="1"/>
  <c r="I44" i="15"/>
  <c r="I49" i="15"/>
  <c r="J44" i="15" l="1"/>
  <c r="J49" i="15"/>
  <c r="I52" i="15"/>
  <c r="I54" i="15"/>
  <c r="I51" i="15" s="1"/>
  <c r="K50" i="15"/>
  <c r="I5" i="15" s="1"/>
  <c r="J5" i="15" s="1"/>
  <c r="K45" i="15"/>
  <c r="J9" i="15" l="1"/>
  <c r="S22" i="5" s="1"/>
  <c r="J10" i="15"/>
  <c r="S23" i="5" s="1"/>
  <c r="J8" i="15"/>
  <c r="S21" i="5" s="1"/>
  <c r="L45" i="15"/>
  <c r="K5" i="15" s="1"/>
  <c r="J52" i="15"/>
  <c r="J54" i="15"/>
  <c r="J51" i="15" s="1"/>
  <c r="K49" i="15"/>
  <c r="K44" i="15"/>
  <c r="J11" i="15" l="1"/>
  <c r="K52" i="15"/>
  <c r="K54" i="15"/>
  <c r="L54" i="15" s="1"/>
  <c r="I4" i="15"/>
  <c r="L44" i="15"/>
  <c r="B7" i="20" l="1"/>
  <c r="L51" i="15"/>
  <c r="B8" i="20"/>
  <c r="I6" i="15"/>
  <c r="J4" i="15"/>
  <c r="S20" i="5" s="1"/>
  <c r="K51" i="15"/>
  <c r="B6" i="20"/>
  <c r="J6" i="15" l="1"/>
  <c r="K4" i="15"/>
  <c r="B5" i="20" l="1"/>
  <c r="L34" i="22" l="1"/>
  <c r="K34" i="22"/>
  <c r="G4" i="22"/>
  <c r="L37" i="22"/>
  <c r="L36" i="22"/>
  <c r="X15" i="5" l="1"/>
  <c r="H4" i="22"/>
  <c r="K37" i="22"/>
  <c r="G7" i="22"/>
  <c r="H7" i="22" s="1"/>
  <c r="K36" i="22"/>
  <c r="G6" i="22"/>
  <c r="H6" i="22" s="1"/>
  <c r="K40" i="22"/>
  <c r="K47" i="22"/>
  <c r="X12" i="5" l="1"/>
  <c r="X14" i="5"/>
  <c r="K50" i="22"/>
  <c r="K43" i="22"/>
  <c r="L40" i="22"/>
  <c r="L47" i="22"/>
  <c r="K49" i="22"/>
  <c r="K42" i="22"/>
  <c r="L43" i="22" l="1"/>
  <c r="L50" i="22"/>
  <c r="J4" i="22"/>
  <c r="L35" i="22"/>
  <c r="M40" i="22"/>
  <c r="K35" i="22"/>
  <c r="G5" i="22"/>
  <c r="L49" i="22"/>
  <c r="L42" i="22"/>
  <c r="J7" i="22" l="1"/>
  <c r="K7" i="22" s="1"/>
  <c r="X23" i="5" s="1"/>
  <c r="M42" i="22"/>
  <c r="H5" i="22"/>
  <c r="G8" i="22"/>
  <c r="K4" i="22"/>
  <c r="X20" i="5" s="1"/>
  <c r="M43" i="22"/>
  <c r="J6" i="22"/>
  <c r="K6" i="22" s="1"/>
  <c r="K41" i="22"/>
  <c r="K48" i="22"/>
  <c r="X13" i="5"/>
  <c r="C9" i="18"/>
  <c r="L7" i="22" l="1"/>
  <c r="C23" i="5"/>
  <c r="L4" i="22"/>
  <c r="C20" i="5"/>
  <c r="H8" i="22"/>
  <c r="K52" i="22"/>
  <c r="K54" i="22"/>
  <c r="K51" i="22" s="1"/>
  <c r="L41" i="22"/>
  <c r="L48" i="22"/>
  <c r="L6" i="22"/>
  <c r="X22" i="5"/>
  <c r="C22" i="5"/>
  <c r="J6" i="5" s="1"/>
  <c r="B16" i="20"/>
  <c r="B24" i="20" s="1"/>
  <c r="J4" i="5" l="1"/>
  <c r="J7" i="5"/>
  <c r="S28" i="5" s="1"/>
  <c r="C7" i="5"/>
  <c r="J5" i="22"/>
  <c r="L52" i="22"/>
  <c r="L54" i="22"/>
  <c r="M54" i="22" s="1"/>
  <c r="M41" i="22"/>
  <c r="B13" i="20"/>
  <c r="B21" i="20" s="1"/>
  <c r="S27" i="5"/>
  <c r="C6" i="5"/>
  <c r="C4" i="5"/>
  <c r="B15" i="20"/>
  <c r="B23" i="20" s="1"/>
  <c r="S25" i="5" l="1"/>
  <c r="B29" i="20"/>
  <c r="B26" i="20"/>
  <c r="B28" i="20"/>
  <c r="M51" i="22"/>
  <c r="L51" i="22"/>
  <c r="J8" i="22"/>
  <c r="K5" i="22"/>
  <c r="L5" i="22" l="1"/>
  <c r="X21" i="5"/>
  <c r="C21" i="5"/>
  <c r="K8" i="22"/>
  <c r="C5" i="5" l="1"/>
  <c r="J5" i="5"/>
  <c r="B14" i="20"/>
  <c r="B22" i="20" s="1"/>
  <c r="S26" i="5" l="1"/>
  <c r="B27" i="20"/>
  <c r="K37" i="24" l="1"/>
  <c r="K38" i="24"/>
  <c r="L38" i="24"/>
  <c r="L37" i="24"/>
  <c r="L35" i="24" l="1"/>
  <c r="K35" i="24"/>
  <c r="K36" i="24" l="1"/>
  <c r="K12" i="24"/>
  <c r="L36" i="24" l="1"/>
  <c r="L12" i="24"/>
  <c r="B10" i="19" l="1"/>
  <c r="Y14" i="5" l="1"/>
  <c r="Y12" i="5"/>
  <c r="D12" i="5"/>
  <c r="Y15" i="5"/>
  <c r="D15" i="5"/>
  <c r="D14" i="5" l="1"/>
  <c r="D13" i="5" l="1"/>
  <c r="Y13" i="5"/>
  <c r="C10" i="19"/>
  <c r="B36" i="8" l="1"/>
  <c r="B14" i="8" l="1"/>
  <c r="C31" i="8" l="1"/>
  <c r="C36" i="8"/>
  <c r="D14" i="8" l="1"/>
  <c r="D36" i="8"/>
  <c r="C14" i="8"/>
  <c r="C9" i="8"/>
  <c r="D9" i="8"/>
  <c r="D31" i="8"/>
  <c r="F33" i="8" l="1"/>
  <c r="G33" i="8" s="1"/>
  <c r="G11" i="8" s="1"/>
  <c r="F12" i="8"/>
  <c r="F34" i="8"/>
  <c r="E36" i="8"/>
  <c r="K25" i="23" l="1"/>
  <c r="K33" i="23" s="1"/>
  <c r="H25" i="23"/>
  <c r="H33" i="23" s="1"/>
  <c r="J25" i="23"/>
  <c r="G25" i="23"/>
  <c r="I25" i="23"/>
  <c r="I33" i="23" s="1"/>
  <c r="G34" i="8"/>
  <c r="G12" i="8" s="1"/>
  <c r="F13" i="8"/>
  <c r="F35" i="8"/>
  <c r="F11" i="8"/>
  <c r="J33" i="23" l="1"/>
  <c r="E14" i="5"/>
  <c r="K26" i="23"/>
  <c r="K34" i="23" s="1"/>
  <c r="G26" i="23"/>
  <c r="G34" i="23" s="1"/>
  <c r="H26" i="23"/>
  <c r="H34" i="23" s="1"/>
  <c r="I26" i="23"/>
  <c r="I34" i="23" s="1"/>
  <c r="J26" i="23"/>
  <c r="G33" i="23"/>
  <c r="G35" i="8"/>
  <c r="G13" i="8" s="1"/>
  <c r="E14" i="8"/>
  <c r="F14" i="8"/>
  <c r="U13" i="5"/>
  <c r="F36" i="8"/>
  <c r="U14" i="5" l="1"/>
  <c r="K27" i="23"/>
  <c r="K35" i="23" s="1"/>
  <c r="H27" i="23"/>
  <c r="H35" i="23" s="1"/>
  <c r="G27" i="23"/>
  <c r="G35" i="23" s="1"/>
  <c r="J27" i="23"/>
  <c r="I27" i="23"/>
  <c r="I35" i="23" s="1"/>
  <c r="G40" i="23"/>
  <c r="G47" i="23"/>
  <c r="G36" i="8"/>
  <c r="J34" i="23"/>
  <c r="G39" i="23"/>
  <c r="G46" i="23"/>
  <c r="E15" i="5"/>
  <c r="U15" i="5"/>
  <c r="G14" i="8"/>
  <c r="E13" i="5"/>
  <c r="J35" i="23" l="1"/>
  <c r="E5" i="23"/>
  <c r="F5" i="23" s="1"/>
  <c r="H46" i="23"/>
  <c r="H39" i="23"/>
  <c r="G48" i="23"/>
  <c r="G41" i="23"/>
  <c r="H40" i="23"/>
  <c r="H47" i="23"/>
  <c r="E31" i="8"/>
  <c r="F29" i="8"/>
  <c r="G29" i="8" s="1"/>
  <c r="G7" i="8" s="1"/>
  <c r="F8" i="8"/>
  <c r="F30" i="8"/>
  <c r="I39" i="23" l="1"/>
  <c r="I46" i="23"/>
  <c r="H41" i="23"/>
  <c r="H48" i="23"/>
  <c r="H24" i="23"/>
  <c r="I24" i="23"/>
  <c r="G24" i="23"/>
  <c r="K24" i="23"/>
  <c r="J24" i="23"/>
  <c r="I40" i="23"/>
  <c r="I47" i="23"/>
  <c r="G30" i="8"/>
  <c r="G8" i="8" s="1"/>
  <c r="F31" i="8"/>
  <c r="E9" i="8"/>
  <c r="F7" i="8"/>
  <c r="F9" i="8" s="1"/>
  <c r="K15" i="23" l="1"/>
  <c r="K32" i="23"/>
  <c r="I32" i="23"/>
  <c r="I15" i="23"/>
  <c r="H15" i="23"/>
  <c r="H32" i="23"/>
  <c r="J40" i="23"/>
  <c r="J47" i="23"/>
  <c r="G15" i="23"/>
  <c r="G32" i="23"/>
  <c r="E4" i="23"/>
  <c r="I41" i="23"/>
  <c r="I48" i="23"/>
  <c r="J15" i="23"/>
  <c r="J32" i="23"/>
  <c r="J39" i="23"/>
  <c r="J46" i="23"/>
  <c r="U12" i="5"/>
  <c r="G31" i="8"/>
  <c r="K40" i="23" l="1"/>
  <c r="K47" i="23"/>
  <c r="J41" i="23"/>
  <c r="J48" i="23"/>
  <c r="E6" i="23"/>
  <c r="F4" i="23"/>
  <c r="G45" i="23"/>
  <c r="G50" i="23" s="1"/>
  <c r="G38" i="23"/>
  <c r="K39" i="23"/>
  <c r="K46" i="23"/>
  <c r="E12" i="5"/>
  <c r="G9" i="8"/>
  <c r="G52" i="23" l="1"/>
  <c r="G49" i="23" s="1"/>
  <c r="L39" i="23"/>
  <c r="L46" i="23"/>
  <c r="K41" i="23"/>
  <c r="K48" i="23"/>
  <c r="H5" i="23" s="1"/>
  <c r="I5" i="23" s="1"/>
  <c r="F6" i="23"/>
  <c r="H38" i="23"/>
  <c r="H45" i="23"/>
  <c r="H50" i="23" s="1"/>
  <c r="L40" i="23"/>
  <c r="L47" i="23"/>
  <c r="H52" i="23" l="1"/>
  <c r="H49" i="23" s="1"/>
  <c r="I45" i="23"/>
  <c r="I50" i="23" s="1"/>
  <c r="I38" i="23"/>
  <c r="L48" i="23"/>
  <c r="L41" i="23"/>
  <c r="J5" i="23"/>
  <c r="I9" i="23"/>
  <c r="I8" i="23"/>
  <c r="I10" i="23"/>
  <c r="U23" i="5" s="1"/>
  <c r="I52" i="23" l="1"/>
  <c r="I49" i="23" s="1"/>
  <c r="E23" i="5"/>
  <c r="J38" i="23"/>
  <c r="J45" i="23"/>
  <c r="J50" i="23" s="1"/>
  <c r="E22" i="5"/>
  <c r="U22" i="5"/>
  <c r="E21" i="5"/>
  <c r="I11" i="23"/>
  <c r="U21" i="5"/>
  <c r="E38" i="24"/>
  <c r="E37" i="24"/>
  <c r="D7" i="20" l="1"/>
  <c r="L7" i="5"/>
  <c r="U28" i="5" s="1"/>
  <c r="E7" i="5"/>
  <c r="D6" i="20"/>
  <c r="J52" i="23"/>
  <c r="E6" i="5"/>
  <c r="L6" i="5"/>
  <c r="U27" i="5" s="1"/>
  <c r="K38" i="23"/>
  <c r="K45" i="23"/>
  <c r="D8" i="20"/>
  <c r="L5" i="5"/>
  <c r="U26" i="5" s="1"/>
  <c r="E5" i="5"/>
  <c r="D37" i="24"/>
  <c r="D43" i="24" s="1"/>
  <c r="D35" i="24"/>
  <c r="D41" i="24" s="1"/>
  <c r="F38" i="24"/>
  <c r="F37" i="24"/>
  <c r="D22" i="20" l="1"/>
  <c r="D27" i="20" s="1"/>
  <c r="F6" i="20"/>
  <c r="J49" i="23"/>
  <c r="K52" i="23"/>
  <c r="H4" i="23"/>
  <c r="K50" i="23"/>
  <c r="L45" i="23"/>
  <c r="L38" i="23"/>
  <c r="D23" i="20"/>
  <c r="D28" i="20" s="1"/>
  <c r="F7" i="20"/>
  <c r="D24" i="20"/>
  <c r="D29" i="20" s="1"/>
  <c r="F8" i="20"/>
  <c r="E35" i="24"/>
  <c r="E41" i="24" s="1"/>
  <c r="D38" i="24"/>
  <c r="D44" i="24" s="1"/>
  <c r="E43" i="24"/>
  <c r="E50" i="24"/>
  <c r="F35" i="24"/>
  <c r="G37" i="24"/>
  <c r="E36" i="24"/>
  <c r="G38" i="24"/>
  <c r="K49" i="23" l="1"/>
  <c r="L52" i="23"/>
  <c r="L49" i="23" s="1"/>
  <c r="L50" i="23"/>
  <c r="H6" i="23"/>
  <c r="I4" i="23"/>
  <c r="E48" i="24"/>
  <c r="F48" i="24" s="1"/>
  <c r="E12" i="24"/>
  <c r="E44" i="24"/>
  <c r="E51" i="24"/>
  <c r="D36" i="24"/>
  <c r="D42" i="24" s="1"/>
  <c r="D55" i="24"/>
  <c r="G35" i="24"/>
  <c r="F50" i="24"/>
  <c r="F43" i="24"/>
  <c r="H37" i="24"/>
  <c r="H38" i="24"/>
  <c r="U20" i="5" l="1"/>
  <c r="E20" i="5"/>
  <c r="J4" i="23"/>
  <c r="I6" i="23"/>
  <c r="F44" i="24"/>
  <c r="F41" i="24"/>
  <c r="G48" i="24" s="1"/>
  <c r="F36" i="24"/>
  <c r="F12" i="24"/>
  <c r="G50" i="24"/>
  <c r="G43" i="24"/>
  <c r="F51" i="24"/>
  <c r="E42" i="24"/>
  <c r="E49" i="24"/>
  <c r="E53" i="24" s="1"/>
  <c r="N23" i="24"/>
  <c r="F6" i="24" s="1"/>
  <c r="N24" i="24"/>
  <c r="F7" i="24" s="1"/>
  <c r="N21" i="24"/>
  <c r="F4" i="24" s="1"/>
  <c r="I38" i="24"/>
  <c r="L4" i="5" l="1"/>
  <c r="U25" i="5" s="1"/>
  <c r="E4" i="5"/>
  <c r="D5" i="20"/>
  <c r="G44" i="24"/>
  <c r="G41" i="24"/>
  <c r="G51" i="24"/>
  <c r="I35" i="24"/>
  <c r="H35" i="24"/>
  <c r="F49" i="24"/>
  <c r="F53" i="24" s="1"/>
  <c r="F42" i="24"/>
  <c r="G36" i="24"/>
  <c r="G12" i="24"/>
  <c r="H43" i="24"/>
  <c r="H50" i="24"/>
  <c r="E55" i="24"/>
  <c r="E52" i="24" s="1"/>
  <c r="J38" i="24"/>
  <c r="J37" i="24"/>
  <c r="N22" i="24"/>
  <c r="F5" i="24" s="1"/>
  <c r="F8" i="24" s="1"/>
  <c r="H36" i="24"/>
  <c r="D21" i="20" l="1"/>
  <c r="D26" i="20" s="1"/>
  <c r="F5" i="20"/>
  <c r="H48" i="24"/>
  <c r="H51" i="24"/>
  <c r="H44" i="24"/>
  <c r="H41" i="24"/>
  <c r="J35" i="24"/>
  <c r="G4" i="24"/>
  <c r="H12" i="24"/>
  <c r="G7" i="24"/>
  <c r="H7" i="24" s="1"/>
  <c r="G42" i="24"/>
  <c r="G49" i="24"/>
  <c r="G53" i="24" s="1"/>
  <c r="I37" i="24"/>
  <c r="I43" i="24" s="1"/>
  <c r="G6" i="24"/>
  <c r="H6" i="24" s="1"/>
  <c r="F55" i="24"/>
  <c r="F52" i="24" s="1"/>
  <c r="I44" i="24" l="1"/>
  <c r="I51" i="24"/>
  <c r="I48" i="24"/>
  <c r="I41" i="24"/>
  <c r="H4" i="24"/>
  <c r="H42" i="24"/>
  <c r="H49" i="24"/>
  <c r="H53" i="24" s="1"/>
  <c r="G55" i="24"/>
  <c r="G52" i="24" s="1"/>
  <c r="I36" i="24"/>
  <c r="I12" i="24"/>
  <c r="I50" i="24"/>
  <c r="J43" i="24" s="1"/>
  <c r="J51" i="24" l="1"/>
  <c r="J44" i="24"/>
  <c r="J48" i="24"/>
  <c r="J41" i="24"/>
  <c r="J36" i="24"/>
  <c r="J12" i="24"/>
  <c r="H55" i="24"/>
  <c r="H52" i="24" s="1"/>
  <c r="I49" i="24"/>
  <c r="I53" i="24" s="1"/>
  <c r="I42" i="24"/>
  <c r="J50" i="24"/>
  <c r="K50" i="24" s="1"/>
  <c r="G5" i="24"/>
  <c r="K44" i="24" l="1"/>
  <c r="K51" i="24"/>
  <c r="K41" i="24"/>
  <c r="K48" i="24"/>
  <c r="K43" i="24"/>
  <c r="L43" i="24" s="1"/>
  <c r="H5" i="24"/>
  <c r="G8" i="24"/>
  <c r="I55" i="24"/>
  <c r="I52" i="24" s="1"/>
  <c r="J49" i="24"/>
  <c r="J53" i="24" s="1"/>
  <c r="J42" i="24"/>
  <c r="L44" i="24" l="1"/>
  <c r="L51" i="24"/>
  <c r="J7" i="24" s="1"/>
  <c r="K7" i="24" s="1"/>
  <c r="Y23" i="5" s="1"/>
  <c r="L48" i="24"/>
  <c r="L41" i="24"/>
  <c r="L50" i="24"/>
  <c r="J6" i="24" s="1"/>
  <c r="K6" i="24" s="1"/>
  <c r="D22" i="5" s="1"/>
  <c r="H8" i="24"/>
  <c r="K49" i="24"/>
  <c r="K42" i="24"/>
  <c r="J55" i="24"/>
  <c r="J52" i="24" s="1"/>
  <c r="M41" i="24" l="1"/>
  <c r="D23" i="5"/>
  <c r="M51" i="24"/>
  <c r="M44" i="24"/>
  <c r="L7" i="24" s="1"/>
  <c r="M48" i="24"/>
  <c r="J4" i="24"/>
  <c r="K4" i="24" s="1"/>
  <c r="Y20" i="5" s="1"/>
  <c r="Y22" i="5"/>
  <c r="C15" i="20" s="1"/>
  <c r="M43" i="24"/>
  <c r="L6" i="24" s="1"/>
  <c r="C16" i="20"/>
  <c r="AB15" i="5"/>
  <c r="K55" i="24"/>
  <c r="K53" i="24"/>
  <c r="L42" i="24"/>
  <c r="L49" i="24"/>
  <c r="K6" i="5"/>
  <c r="D6" i="5"/>
  <c r="H6" i="5" s="1"/>
  <c r="K7" i="5" l="1"/>
  <c r="T28" i="5" s="1"/>
  <c r="D7" i="5"/>
  <c r="H7" i="5" s="1"/>
  <c r="T27" i="5"/>
  <c r="M53" i="24"/>
  <c r="AB14" i="5"/>
  <c r="L4" i="24"/>
  <c r="D20" i="5"/>
  <c r="C13" i="20"/>
  <c r="AB12" i="5"/>
  <c r="J5" i="24"/>
  <c r="L53" i="24"/>
  <c r="M42" i="24"/>
  <c r="F16" i="20"/>
  <c r="C24" i="20"/>
  <c r="C23" i="20"/>
  <c r="F15" i="20"/>
  <c r="K52" i="24"/>
  <c r="L55" i="24"/>
  <c r="K4" i="5" l="1"/>
  <c r="T25" i="5" s="1"/>
  <c r="D4" i="5"/>
  <c r="H4" i="5" s="1"/>
  <c r="N7" i="5"/>
  <c r="N6" i="5"/>
  <c r="J8" i="24"/>
  <c r="K5" i="24"/>
  <c r="L52" i="24"/>
  <c r="M55" i="24"/>
  <c r="M52" i="24" s="1"/>
  <c r="C29" i="20"/>
  <c r="F24" i="20"/>
  <c r="G24" i="20" s="1"/>
  <c r="F13" i="20"/>
  <c r="C21" i="20"/>
  <c r="C28" i="20"/>
  <c r="F23" i="20"/>
  <c r="G23" i="20" s="1"/>
  <c r="N4" i="5" l="1"/>
  <c r="C26" i="20"/>
  <c r="F21" i="20"/>
  <c r="G21" i="20" s="1"/>
  <c r="K8" i="24"/>
  <c r="D21" i="5"/>
  <c r="L5" i="24"/>
  <c r="Y21" i="5"/>
  <c r="C14" i="20" l="1"/>
  <c r="AB13" i="5"/>
  <c r="D5" i="5"/>
  <c r="K5" i="5"/>
  <c r="T26" i="5" s="1"/>
  <c r="H5" i="5" l="1"/>
  <c r="F14" i="20"/>
  <c r="C22" i="20"/>
  <c r="C27" i="20" l="1"/>
  <c r="F22" i="20"/>
  <c r="G22" i="20" s="1"/>
  <c r="N5" i="5"/>
</calcChain>
</file>

<file path=xl/sharedStrings.xml><?xml version="1.0" encoding="utf-8"?>
<sst xmlns="http://schemas.openxmlformats.org/spreadsheetml/2006/main" count="560" uniqueCount="200">
  <si>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</si>
  <si>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</si>
  <si>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</si>
  <si>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</si>
  <si>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</si>
  <si>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</si>
  <si>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</si>
  <si>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</si>
  <si>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</si>
  <si>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</si>
  <si>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</si>
  <si>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</si>
  <si>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</si>
  <si>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</si>
  <si>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</si>
  <si>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</si>
  <si>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</si>
  <si>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</si>
  <si>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</si>
  <si>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</si>
  <si>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</si>
  <si>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</si>
  <si>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</si>
  <si>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</si>
  <si>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</si>
  <si>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</si>
  <si>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</si>
  <si>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</si>
  <si>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</si>
  <si>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</si>
  <si>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</si>
  <si>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</si>
  <si>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</si>
  <si>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</si>
  <si>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</si>
  <si>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</si>
  <si>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</si>
  <si>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</si>
  <si>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</si>
  <si>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</si>
  <si>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</si>
  <si>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</si>
  <si>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</si>
  <si>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</si>
  <si>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</si>
  <si>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</si>
  <si>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</si>
  <si>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</si>
  <si>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</si>
  <si>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</si>
  <si>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</si>
  <si>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</si>
  <si>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</si>
  <si>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</si>
  <si>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</si>
  <si>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</si>
  <si>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</si>
  <si>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</si>
  <si>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</si>
  <si>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</si>
  <si>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</si>
  <si>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</si>
  <si>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</si>
  <si>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</si>
  <si>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</si>
  <si>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</si>
  <si>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</si>
  <si>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</si>
  <si>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</si>
  <si>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</si>
  <si>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</si>
  <si>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</si>
  <si>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</si>
  <si>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</si>
  <si>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</si>
  <si>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</si>
  <si>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</si>
  <si>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</si>
  <si>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</si>
  <si>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</si>
  <si>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</si>
  <si>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</si>
  <si>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</si>
  <si>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</si>
  <si>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</si>
  <si>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</si>
  <si>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</si>
  <si>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</si>
  <si>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</si>
  <si>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</si>
  <si>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</si>
  <si>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</si>
  <si>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</si>
  <si>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Res/Non-Res Allocation</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</si>
  <si>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</si>
  <si>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</si>
  <si>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</si>
  <si>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</si>
  <si>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</si>
  <si>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</si>
  <si>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</si>
  <si>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</si>
  <si>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</si>
  <si>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</si>
  <si>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</si>
  <si>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</si>
  <si>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</si>
  <si>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</si>
  <si>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</si>
  <si>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</si>
  <si>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</si>
  <si>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</si>
  <si>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</si>
  <si>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</si>
  <si>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</si>
  <si>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</si>
  <si>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</si>
  <si>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</si>
  <si>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</si>
  <si>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</si>
  <si>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</si>
  <si>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</si>
  <si>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</si>
  <si>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</si>
  <si>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</si>
  <si>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</si>
  <si>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</si>
  <si>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</si>
  <si>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</si>
  <si>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</si>
  <si>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</si>
  <si>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</si>
  <si>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</si>
  <si>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</si>
  <si>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</si>
  <si>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</si>
  <si>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</si>
  <si>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</si>
  <si>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</si>
  <si>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</si>
  <si>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</si>
  <si>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</si>
  <si>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</si>
  <si>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</si>
  <si>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</si>
  <si>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</si>
  <si>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</si>
  <si>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</si>
  <si>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</si>
  <si>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</si>
  <si>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NOA = Net Order Adjustment for the upcoming EP plus the succeeding EP (OA + OAR)</t>
  </si>
  <si>
    <t xml:space="preserve">PE = Projected Energy, in kWh to be delivered during the upcoming RP plus the succeeding EP </t>
  </si>
  <si>
    <t>Res</t>
  </si>
  <si>
    <t>SGS</t>
  </si>
  <si>
    <t>LGS</t>
  </si>
  <si>
    <t>LPS</t>
  </si>
  <si>
    <t>1. &amp; 3. Actual monthly Ordered Adjustments - Source: None</t>
  </si>
  <si>
    <t>2. Actual monthly billed revenues by Residential/Non-Residential (program cost revenues only) - None
Forecasted monthly billed revenues by Residential/Non-Residential (program cost revenues only) - Source: calculated = Forecasted billed kWh sales X tariff rate</t>
  </si>
  <si>
    <t>5. Monthly Short-Term Borrowing Rate - Source: None</t>
  </si>
  <si>
    <t>7. Cycle 2 kWh Participation - Source: None</t>
  </si>
  <si>
    <t>1. Actual monthly program costs by allocation bucket Residential, Non-Residential, Income-Eligible, Common/General) - Source: SI Projects MO West 052020-102020.xlsx
    Forecasted monthly program costs by allocation bucket - Source: None</t>
  </si>
  <si>
    <t>1. Forecasted kWh by Residential/Non-Residential (Reduced for Opt-Out) - Source: Billed kWh Budget Missouri West 2020-2022.xlsx</t>
  </si>
  <si>
    <t>Cycle 2 - Total</t>
  </si>
  <si>
    <t>Cycle 2 - Program Years 1 to 3 (including EO TD Adjustments through March 2019)</t>
  </si>
  <si>
    <t>1. Total Earnings Opportunity - Source: Missouri West EO Calculation PY1-PY3 v2.xlsx, Missouri West EO Calculation PY4.xlsx</t>
  </si>
  <si>
    <t>5. Total Earnings Opportunity plus Carrying Costs - Source: Sum of Columns 1. through 4.</t>
  </si>
  <si>
    <t>Cycle 2 - Program Year 4 (including EO TD Adjustments April 2019 to December 2021)</t>
  </si>
  <si>
    <t>Evergy Missouri West, Inc. - DSIM Rider Update Filed 06/01/2021</t>
  </si>
  <si>
    <t>Projections for Cycle 2 July 2021 - June 2022 DSIM</t>
  </si>
  <si>
    <t>Cumulative Over/Under Carryover From 12/01/2021 Filing</t>
  </si>
  <si>
    <t>Reverse May 2021 - July 2021  Forecast From 12/01/2021 Filing</t>
  </si>
  <si>
    <t>Cycle 2 - EO TD Adjustments January - November 2022</t>
  </si>
  <si>
    <t>2. Actual monthly kWh billed sales by Residential/Non-Residential (reduced for opt-out) - Source: Missouri West MEEIA 2020-2021 Revenue Analysis.xlsx
    Forecasted monthly kWh billed sales by Residential/Non-Residential (reduced for opt-out) - Source: Billed kWh Budget Missouri West 2020-2022.xlsx</t>
  </si>
  <si>
    <t>3. Actual monthly billed revenues by Residential/Non-Residential (program cost revenues only) - Missouri West MEEIA 2020-2021 Revenue Analysis.xlsx
    Forecasted monthly billed revenues by Residential/Non-Residential (program cost revenues only) - Source: calculated = Forecasted billed kWh sales X tariff rate</t>
  </si>
  <si>
    <t>5. Monthly Short-Term Borrowing Rate - Source: Missouri West Short-Term Borrowing Rate November 2020 - April 2021.xlsx</t>
  </si>
  <si>
    <t>7. Cycle 2 kWh Participation - Source: Missouri West Cycle 2 TD Calc 042021 05062021.xlsx</t>
  </si>
  <si>
    <t>1. Forecasted Residential/Non-Residential kWh savings  - Source: Missouri West Cycle 2 Monthly TD Calc 042021 05062021.xlsx</t>
  </si>
  <si>
    <t>2. Forecasted Throughput Disincentive - Source: Missouri West Cycle 2 Monthly TD Calc 042021 05062021.xlsx</t>
  </si>
  <si>
    <t>1. Forecasted Residential/Non-Residential kWh savings  - Source: MEEIA Cycle 3 Forecast MO West 042021 05122021.xlsx</t>
  </si>
  <si>
    <t>1. &amp; 4. Actual monthly TD - Source: Missouri West Cycle 2 TD Calc 042021 05062021.xlsx
    Forecasted monthly TD - Source: Missouri West Cycle 2 TD Calc 042021 05062021.xlsx</t>
  </si>
  <si>
    <t>2. Actual monthly billed revenues by Residential/Non-Residential (TD revenues only) - Missouri West MEEIA 2020-2021 Revenue Analysis.xlsx
Forecasted monthly billed revenues by Residential/Non-Residential (TD revenues only) - Source: calculated = Forecasted billed kWh sales X tariff rate</t>
  </si>
  <si>
    <t>3. Actual kWh Sales Impact - Source:  Missouri West Cycle 2 TD Calc 042021 05062021.xlsx
    Forecasted kWh Sales Impact - Source: Missouri West Cycle 2 TD Calc 042021 05062021.xlsx</t>
  </si>
  <si>
    <t>6. Monthly Short-Term Borrowing Rate - Source: Missouri West Short-Term Borrowing Rate November 2020 - April 2021.xlsx</t>
  </si>
  <si>
    <t>8. Cycle 2 kWh Participation - Source: Missouri West Cycle 2 TD Calc 042021 05062021.xlsx</t>
  </si>
  <si>
    <t>2. EO TD Ex Post Gross Adjustment -  Source: TD Model Missouri West PY1-3 042021.xlsx, TD Model Missouri West PY4 042021.xlsx</t>
  </si>
  <si>
    <t>3. EO TD NTG Adjustment -  Source: TD Model Missouri West PY1-3 042021.xlsx, TD Model Missouri West PY4 042021.xlsx</t>
  </si>
  <si>
    <t>4. Carrying Costs @ AFUDC Rate -  Source: TD Model Missouri West PY1-3 042021.xlsx, TD Model Missouri West PY4 042021.xlsx</t>
  </si>
  <si>
    <t>6. Amortization Over 24 Month Recovery Period - Source: Column 5  PY 1 - 3 divided by 24 times 8 months remaining recovery, PY 4 Column 5 divided by 24 times 12, EO TD Adjustments Column 5 divided by 24 times 12</t>
  </si>
  <si>
    <t>2. Actual monthly billed revenues by Residential/Non-Residential (EO revenues only) - Missouri West MEEIA 2020-2021 Revenue Analysis.xlsx
Forecasted monthly billed revenues by Residential/Non-Residential (EO revenues only) - Source: calculated = Forecasted billed kWh sales X tariff rate</t>
  </si>
  <si>
    <t>1.  Actual monthly EO - Source: Sum of Line 3.
    Forecasted monthly EO - Source: Sum of Line 3.</t>
  </si>
  <si>
    <t>3. Actual/Forecasted EO Amortization - Source:  EO Cycle 2 tab column G divided by remaining months on EO Cycle 2 tab line 6.</t>
  </si>
  <si>
    <t>1. Ordered Adjustment - Source: Ordered Adjustment - MO West.xlsx</t>
  </si>
  <si>
    <t>2. Carrying Costs on OA - Source: MO West Ordered Adjustment Carrying Cost Calculation.xlsx</t>
  </si>
  <si>
    <t>Cumulative Correction of allocation of Business Demand Response costs with interest (Note A)</t>
  </si>
  <si>
    <t>Note A: The Company determined that the allocation of Business Demand Response program costs for January 2020 - November 2020 were incorrect. This was corrected with a cumulative adjustment. Source: Missouri West MEEIA Cycle 3 Over-Under Calc 042021 06242021 BDR alloc.xlsx.</t>
  </si>
  <si>
    <t>1. Actual monthly program costs by allocation bucket Residential, Non-Residential, Income-Eligible, Common/General) - Source: 11 2020 MO West Spend Allocations Worksheet BDR Alloc.xlsx, 12 2020 MO West Spend Allocations Worksheet BDR Alloc.xlsx, 01 2021 MO West Spend Allocations Worksheet BDR Alloc.xlsx, 02 2021 MO West Spend Allocations Worksheet BDR Alloc.xlsx, 03 2021 MO West Spend Allocations Worksheet BDR Alloc.xlsx, 04 2021 MO West Spend Allocations Worksheet BDR Alloc.xlsx
    Forecasted monthly program costs by allocation bucket - Source: MEEIA Cycle 3 Forecast MO West 042021 06242021.xlsx</t>
  </si>
  <si>
    <t>2. Forecasted program costs by allocation bucket (Residential, Non-Residential, Income-Eligible, Common/General) - Source: MEEIA Cycle 3 Forecast MO West 042021 06242021.xlsx</t>
  </si>
  <si>
    <t>2. Forecasted Throughput Disincentive - Source: MEEIA Cycle 3 Forecast MO West 042021 06242021.xlsx</t>
  </si>
  <si>
    <t>1. &amp; 4. Actual monthly TD - Source: Missouri West Cycle 3 TD Calc 042021 05062021.xlsx
    Forecasted monthly TD - Source: MEEIA Cycle 3 Forecast MO West 042021 06242021.xlsx</t>
  </si>
  <si>
    <t>3. Actual monthly TD - Source: Missouri West Cycle 3 TD Calc 042021 05062021.xlsx
    Forecasted monthly TD - Source: MEEIA Cycle 3 Forecast MO West 042021 06242021.xlsx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</si>
</sst>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_(* #,##0.0000000_);_(* \(#,##0.0000000\);_(* &quot;-&quot;??_);_(@_)"/>
    <numFmt numFmtId="177" formatCode="0.0%"/>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8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style="thin">
        <color indexed="64"/>
      </bottom>
      <diagonal/>
    </border>
    <border>
      <left style="thin">
        <color indexed="64"/>
      </left>
      <right style="thin">
        <color indexed="64"/>
      </right>
      <top style="thin">
        <color rgb="FF3F3F3F"/>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right style="thin">
        <color rgb="FF7F7F7F"/>
      </right>
      <top style="thin">
        <color rgb="FF7F7F7F"/>
      </top>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18">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0" fontId="7" fillId="0" borderId="0" xfId="8" applyAlignment="1">
      <alignment horizontal="right"/>
    </xf>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5" fontId="14" fillId="7" borderId="42" xfId="13" applyNumberFormat="1" applyBorder="1"/>
    <xf numFmtId="167" fontId="6" fillId="0" borderId="33" xfId="1" applyNumberFormat="1" applyFont="1" applyFill="1" applyBorder="1"/>
    <xf numFmtId="165" fontId="14" fillId="7" borderId="43" xfId="13" applyNumberFormat="1" applyBorder="1"/>
    <xf numFmtId="165" fontId="14" fillId="7" borderId="44" xfId="13" applyNumberFormat="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11" fillId="0" borderId="6" xfId="0" applyNumberFormat="1" applyFont="1" applyBorder="1" applyAlignment="1">
      <alignment horizontal="right"/>
    </xf>
    <xf numFmtId="172" fontId="0" fillId="0" borderId="0" xfId="0" applyNumberFormat="1"/>
    <xf numFmtId="172" fontId="30" fillId="0" borderId="4" xfId="0" applyNumberFormat="1" applyFont="1" applyBorder="1" applyAlignment="1">
      <alignment horizontal="center"/>
    </xf>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172" fontId="36" fillId="0" borderId="6" xfId="0" applyNumberFormat="1" applyFont="1" applyBorder="1" applyAlignment="1">
      <alignment horizontal="right"/>
    </xf>
    <xf numFmtId="10" fontId="8" fillId="0" borderId="0" xfId="0" applyNumberFormat="1" applyFont="1" applyAlignment="1">
      <alignment horizontal="center" wrapText="1"/>
    </xf>
    <xf numFmtId="44" fontId="33" fillId="0" borderId="0" xfId="1" applyNumberFormat="1" applyFont="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70" fontId="10" fillId="0" borderId="5" xfId="0" applyNumberFormat="1" applyFont="1" applyFill="1" applyBorder="1" applyAlignment="1">
      <alignment vertical="center"/>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2" xfId="13" applyNumberFormat="1" applyBorder="1"/>
    <xf numFmtId="165" fontId="14" fillId="7" borderId="73" xfId="13" applyNumberFormat="1" applyBorder="1"/>
    <xf numFmtId="165" fontId="13" fillId="7" borderId="74" xfId="12" applyNumberFormat="1" applyBorder="1"/>
    <xf numFmtId="165" fontId="13" fillId="7" borderId="75" xfId="12" applyNumberFormat="1" applyBorder="1"/>
    <xf numFmtId="165" fontId="13" fillId="7" borderId="76" xfId="12" applyNumberFormat="1" applyBorder="1"/>
    <xf numFmtId="42" fontId="14" fillId="7" borderId="77" xfId="13" applyNumberFormat="1" applyBorder="1"/>
    <xf numFmtId="42" fontId="14" fillId="7" borderId="78" xfId="13" applyNumberFormat="1" applyBorder="1"/>
    <xf numFmtId="42" fontId="14" fillId="7" borderId="0" xfId="13" applyNumberFormat="1" applyBorder="1"/>
    <xf numFmtId="42" fontId="5" fillId="5" borderId="14" xfId="6" applyNumberFormat="1" applyBorder="1"/>
    <xf numFmtId="0" fontId="8" fillId="0" borderId="0" xfId="0" applyFont="1" applyFill="1" applyAlignment="1">
      <alignment horizontal="left" vertical="center" wrapText="1"/>
    </xf>
    <xf numFmtId="170" fontId="36" fillId="0" borderId="5" xfId="0" applyNumberFormat="1" applyFont="1" applyFill="1" applyBorder="1" applyAlignment="1">
      <alignment vertical="center"/>
    </xf>
    <xf numFmtId="0" fontId="8" fillId="0" borderId="0" xfId="0" applyFont="1" applyAlignment="1">
      <alignment horizontal="left"/>
    </xf>
    <xf numFmtId="42" fontId="14" fillId="0" borderId="0" xfId="13" applyNumberFormat="1" applyFill="1" applyBorder="1"/>
    <xf numFmtId="42" fontId="33" fillId="7" borderId="70" xfId="13" applyNumberFormat="1" applyFont="1" applyBorder="1"/>
    <xf numFmtId="176" fontId="0" fillId="0" borderId="0" xfId="1" applyNumberFormat="1" applyFont="1"/>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7" fontId="0" fillId="0" borderId="0" xfId="2" applyNumberFormat="1" applyFont="1"/>
    <xf numFmtId="0" fontId="8" fillId="0" borderId="79" xfId="0" applyFont="1" applyBorder="1" applyAlignment="1">
      <alignment horizontal="center" wrapText="1"/>
    </xf>
    <xf numFmtId="41" fontId="5" fillId="5" borderId="80" xfId="6" applyNumberFormat="1" applyBorder="1"/>
    <xf numFmtId="167" fontId="14" fillId="7" borderId="81" xfId="13" applyNumberFormat="1" applyBorder="1"/>
    <xf numFmtId="172" fontId="40" fillId="0" borderId="6" xfId="0" applyNumberFormat="1" applyFont="1" applyFill="1" applyBorder="1" applyAlignment="1">
      <alignment horizontal="right"/>
    </xf>
    <xf numFmtId="170" fontId="40" fillId="0" borderId="6" xfId="0" applyNumberFormat="1" applyFont="1" applyFill="1" applyBorder="1" applyAlignment="1">
      <alignment vertical="center"/>
    </xf>
    <xf numFmtId="43" fontId="0" fillId="0" borderId="0" xfId="0" applyNumberFormat="1"/>
    <xf numFmtId="43" fontId="8" fillId="0" borderId="0" xfId="1" applyFont="1" applyAlignment="1">
      <alignment horizontal="center" wrapText="1"/>
    </xf>
    <xf numFmtId="0" fontId="8" fillId="0" borderId="0" xfId="0" applyFont="1" applyAlignment="1">
      <alignment wrapText="1"/>
    </xf>
    <xf numFmtId="165" fontId="0" fillId="0" borderId="0" xfId="0" applyNumberFormat="1" applyFill="1" applyBorder="1"/>
    <xf numFmtId="165" fontId="5" fillId="0" borderId="23" xfId="6"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82" xfId="13" applyNumberFormat="1" applyBorder="1"/>
    <xf numFmtId="167" fontId="6" fillId="0" borderId="56" xfId="1" applyNumberFormat="1" applyFont="1" applyFill="1" applyBorder="1"/>
    <xf numFmtId="44" fontId="6" fillId="0" borderId="56" xfId="7" applyNumberFormat="1" applyFill="1" applyBorder="1"/>
    <xf numFmtId="0" fontId="0" fillId="39" borderId="3" xfId="0" applyFill="1" applyBorder="1" applyAlignment="1">
      <alignment horizontal="center" wrapText="1"/>
    </xf>
    <xf numFmtId="170" fontId="40" fillId="0" borderId="3" xfId="0" applyNumberFormat="1" applyFont="1" applyFill="1" applyBorder="1" applyAlignment="1">
      <alignment vertical="center"/>
    </xf>
    <xf numFmtId="170" fontId="40" fillId="0" borderId="5" xfId="0" applyNumberFormat="1" applyFont="1" applyFill="1" applyBorder="1" applyAlignment="1">
      <alignment vertical="center"/>
    </xf>
    <xf numFmtId="170" fontId="0" fillId="0" borderId="0" xfId="0" applyNumberFormat="1" applyFill="1" applyBorder="1" applyAlignment="1"/>
    <xf numFmtId="0" fontId="30" fillId="0" borderId="0" xfId="0" applyFont="1" applyFill="1" applyBorder="1" applyAlignment="1">
      <alignment horizontal="center" vertical="center" wrapText="1"/>
    </xf>
    <xf numFmtId="170" fontId="10" fillId="0" borderId="0" xfId="0" applyNumberFormat="1" applyFont="1" applyFill="1" applyBorder="1" applyAlignment="1">
      <alignment vertical="center"/>
    </xf>
    <xf numFmtId="170" fontId="40"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0" fontId="9" fillId="0" borderId="0" xfId="0" applyFont="1" applyAlignment="1">
      <alignment horizontal="center" wrapText="1"/>
    </xf>
    <xf numFmtId="0" fontId="8" fillId="0" borderId="0" xfId="0" applyFont="1" applyFill="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left" wrapText="1"/>
    </xf>
    <xf numFmtId="0" fontId="8" fillId="0" borderId="0" xfId="0" applyFont="1" applyFill="1" applyAlignment="1">
      <alignment horizontal="left"/>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38" borderId="19" xfId="0" applyFont="1" applyFill="1" applyBorder="1" applyAlignment="1">
      <alignment horizontal="center"/>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customXml" Target="../customXml/item1.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Billed%20kWh%20Budget%20Missouri%20West%2020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01%202021%20MO%20West%20Spend%20Allocations%20Worksheet%20BDR%20Allo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02%202021%20MO%20West%20Spend%20Allocations%20Worksheet%20BDR%20Alloc.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03%202021%20MO%20West%20Spend%20Allocations%20Worksheet%20BDR%20Alloc.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04%202021%20MO%20West%20Spend%20Allocations%20Worksheet%20BDR%20Allo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Missouri%20West%20Cycle%202%20Monthly%20TD%20Calc%20042021%200506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Missouri%20West%20Cycle%203%20Monthly%20TD%20Calc%20042021%20050620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Missouri%20West%20EO%20Calculation%20PY1-PY3%20v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TD%20Model%20Missouri%20West%20PY1-3%2004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Missouri%20West%20EO%20Calculation%20PY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TD%20Model%20Missouri%20West%20PY4%2004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MEEIA%20Cycle%203%20Forecast%20MO%20West%20042021%200624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OA%20Adjustment%20-%20MO%20Wes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MO%20West%20Ordered%20Adjustment%20Carrying%20Cost%20Calcul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seworks.evergy.com/CorpAcctg/MEEIA/Month-End%20Close/Deferred%20DSM%20projects%20SI/2021/Cycle%202/MO%20West/TD/TD%20Model%20Missouri%20West%20042021%200506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SI%20Projects%20112020-04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Missouri%20West%20MEEIA%202020-2021%20Revenue%20Analys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Missouri%20West%20Short-Term%20Borrowing%20Rate%20November%202020%20-%20April%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Missouri%20West%20MEEIA%20Cycle%203%20Over-Under%20Calc%20042021%2006242021%20BDR%20allo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11%202020%20MO%20West%20Spend%20Allocations%20Worksheet%20BDR%20Allo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38.17%20eff%20Aug%202021%20substitute%20filing/12%202020%20MO%20West%20Spend%20Allocations%20Worksheet%20BDR%20All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5">
          <cell r="I25">
            <v>204882238</v>
          </cell>
          <cell r="J25">
            <v>258945083</v>
          </cell>
          <cell r="K25">
            <v>363633579</v>
          </cell>
        </row>
        <row r="26">
          <cell r="I26">
            <v>90045195</v>
          </cell>
          <cell r="J26">
            <v>100346029</v>
          </cell>
          <cell r="K26">
            <v>110434275</v>
          </cell>
        </row>
        <row r="27">
          <cell r="I27">
            <v>89677243</v>
          </cell>
          <cell r="J27">
            <v>99935984</v>
          </cell>
          <cell r="K27">
            <v>109983006</v>
          </cell>
        </row>
        <row r="28">
          <cell r="I28">
            <v>63275719</v>
          </cell>
          <cell r="J28">
            <v>70514224</v>
          </cell>
          <cell r="K28">
            <v>77603342</v>
          </cell>
        </row>
        <row r="34">
          <cell r="E34">
            <v>1844388166</v>
          </cell>
          <cell r="F34">
            <v>1707925999</v>
          </cell>
        </row>
        <row r="35">
          <cell r="E35">
            <v>588013550</v>
          </cell>
          <cell r="F35">
            <v>570166281</v>
          </cell>
        </row>
        <row r="36">
          <cell r="E36">
            <v>585610744</v>
          </cell>
          <cell r="F36">
            <v>567836404</v>
          </cell>
        </row>
        <row r="37">
          <cell r="E37">
            <v>413203390</v>
          </cell>
          <cell r="F37">
            <v>400661923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12021 02052021"/>
      <sheetName val="Input"/>
      <sheetName val="Program Descriptions"/>
    </sheetNames>
    <sheetDataSet>
      <sheetData sheetId="0">
        <row r="27">
          <cell r="N27">
            <v>351320.05999999994</v>
          </cell>
          <cell r="O27">
            <v>27626.15</v>
          </cell>
          <cell r="Q27">
            <v>19539.28</v>
          </cell>
          <cell r="R27">
            <v>21827.360000000008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22021 03052021"/>
      <sheetName val="Input"/>
      <sheetName val="Program Descriptions"/>
    </sheetNames>
    <sheetDataSet>
      <sheetData sheetId="0">
        <row r="27">
          <cell r="N27">
            <v>494020.15</v>
          </cell>
          <cell r="O27">
            <v>87456.2</v>
          </cell>
          <cell r="Q27">
            <v>220427.78999999998</v>
          </cell>
          <cell r="R27">
            <v>24323.679999999935</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32021 04072021"/>
      <sheetName val="Input"/>
      <sheetName val="Program Descriptions"/>
    </sheetNames>
    <sheetDataSet>
      <sheetData sheetId="0">
        <row r="27">
          <cell r="N27">
            <v>839560.40000000014</v>
          </cell>
          <cell r="O27">
            <v>266074.40000000002</v>
          </cell>
          <cell r="Q27">
            <v>182524.52</v>
          </cell>
          <cell r="R27">
            <v>107704.1599999999</v>
          </cell>
        </row>
      </sheetData>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32021 04072021"/>
      <sheetName val="Input"/>
      <sheetName val="Program Descriptions"/>
    </sheetNames>
    <sheetDataSet>
      <sheetData sheetId="0">
        <row r="27">
          <cell r="N27">
            <v>704261.44000000006</v>
          </cell>
          <cell r="O27">
            <v>244601.7</v>
          </cell>
          <cell r="Q27">
            <v>114571.4</v>
          </cell>
          <cell r="R27">
            <v>42799.139999999948</v>
          </cell>
        </row>
      </sheetData>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refreshError="1"/>
      <sheetData sheetId="1">
        <row r="285">
          <cell r="BF285">
            <v>3200897.113468044</v>
          </cell>
          <cell r="BG285">
            <v>3799541.9440570329</v>
          </cell>
          <cell r="BH285">
            <v>3808947.2597798044</v>
          </cell>
          <cell r="BI285">
            <v>3429744.2796914764</v>
          </cell>
          <cell r="BJ285">
            <v>3430127.620978653</v>
          </cell>
          <cell r="BK285">
            <v>3293328.3913969351</v>
          </cell>
          <cell r="BL285">
            <v>3622617.1364313252</v>
          </cell>
          <cell r="BM285">
            <v>3848808.3791743834</v>
          </cell>
          <cell r="BN285">
            <v>4524482.8033801541</v>
          </cell>
          <cell r="BO285">
            <v>4254139.1572805867</v>
          </cell>
          <cell r="BP285">
            <v>3438765.3625207683</v>
          </cell>
          <cell r="BQ285">
            <v>3350801.0955900047</v>
          </cell>
          <cell r="BR285">
            <v>3200897.113468044</v>
          </cell>
          <cell r="BS285">
            <v>3799541.9440570329</v>
          </cell>
        </row>
        <row r="286">
          <cell r="BF286">
            <v>1783272.6144496959</v>
          </cell>
          <cell r="BG286">
            <v>1777961.0361499267</v>
          </cell>
          <cell r="BH286">
            <v>1873468.082475797</v>
          </cell>
          <cell r="BI286">
            <v>1698368.6225122809</v>
          </cell>
          <cell r="BJ286">
            <v>1918946.0571799164</v>
          </cell>
          <cell r="BK286">
            <v>1815753.348866856</v>
          </cell>
          <cell r="BL286">
            <v>1929862.7740866141</v>
          </cell>
          <cell r="BM286">
            <v>1927873.9189463556</v>
          </cell>
          <cell r="BN286">
            <v>1997647.6114853616</v>
          </cell>
          <cell r="BO286">
            <v>2027066.2414548299</v>
          </cell>
          <cell r="BP286">
            <v>1834054.3366449273</v>
          </cell>
          <cell r="BQ286">
            <v>1888743.4323475384</v>
          </cell>
          <cell r="BR286">
            <v>1783272.6144496959</v>
          </cell>
          <cell r="BS286">
            <v>1777961.0361499267</v>
          </cell>
        </row>
        <row r="288">
          <cell r="BF288">
            <v>2703012.0649789949</v>
          </cell>
          <cell r="BG288">
            <v>2698632.3480119267</v>
          </cell>
          <cell r="BH288">
            <v>2841181.1069288682</v>
          </cell>
          <cell r="BI288">
            <v>2578220.7914223112</v>
          </cell>
          <cell r="BJ288">
            <v>2887637.1506296871</v>
          </cell>
          <cell r="BK288">
            <v>2733410.6486690468</v>
          </cell>
          <cell r="BL288">
            <v>2890409.8209900213</v>
          </cell>
          <cell r="BM288">
            <v>2832087.0570221478</v>
          </cell>
          <cell r="BN288">
            <v>2914197.0369588025</v>
          </cell>
          <cell r="BO288">
            <v>2970935.0270213811</v>
          </cell>
          <cell r="BP288">
            <v>2715680.539241707</v>
          </cell>
          <cell r="BQ288">
            <v>2862809.8842250369</v>
          </cell>
          <cell r="BR288">
            <v>2703012.0649789949</v>
          </cell>
          <cell r="BS288">
            <v>2698632.3480119267</v>
          </cell>
        </row>
        <row r="289">
          <cell r="BF289">
            <v>964706.0990347442</v>
          </cell>
          <cell r="BG289">
            <v>962745.40439030575</v>
          </cell>
          <cell r="BH289">
            <v>1014350.0561711908</v>
          </cell>
          <cell r="BI289">
            <v>921159.5160290671</v>
          </cell>
          <cell r="BJ289">
            <v>1031447.2065557569</v>
          </cell>
          <cell r="BK289">
            <v>975001.98970008059</v>
          </cell>
          <cell r="BL289">
            <v>1031776.4605094917</v>
          </cell>
          <cell r="BM289">
            <v>1010590.2203276039</v>
          </cell>
          <cell r="BN289">
            <v>1039178.5305886413</v>
          </cell>
          <cell r="BO289">
            <v>1060465.2308712879</v>
          </cell>
          <cell r="BP289">
            <v>967808.71359927149</v>
          </cell>
          <cell r="BQ289">
            <v>1022288.2013225708</v>
          </cell>
          <cell r="BR289">
            <v>964706.0990347442</v>
          </cell>
          <cell r="BS289">
            <v>962745.40439030575</v>
          </cell>
        </row>
        <row r="326">
          <cell r="BF326">
            <v>149696.35999999999</v>
          </cell>
          <cell r="BG326">
            <v>164387.18</v>
          </cell>
          <cell r="BH326">
            <v>148508.95000000001</v>
          </cell>
          <cell r="BI326">
            <v>142294.95000000001</v>
          </cell>
          <cell r="BJ326">
            <v>149745.65</v>
          </cell>
          <cell r="BK326">
            <v>144221.44</v>
          </cell>
          <cell r="BL326">
            <v>172528.95</v>
          </cell>
          <cell r="BM326">
            <v>302612.56</v>
          </cell>
          <cell r="BN326">
            <v>360467.8</v>
          </cell>
          <cell r="BO326">
            <v>338929.39</v>
          </cell>
          <cell r="BP326">
            <v>271074.44</v>
          </cell>
          <cell r="BQ326">
            <v>153317.57999999999</v>
          </cell>
          <cell r="BR326">
            <v>149696.35999999999</v>
          </cell>
          <cell r="BS326">
            <v>164387.18</v>
          </cell>
        </row>
        <row r="327">
          <cell r="BF327">
            <v>74091.149999999994</v>
          </cell>
          <cell r="BG327">
            <v>67343.210000000006</v>
          </cell>
          <cell r="BH327">
            <v>69815.75</v>
          </cell>
          <cell r="BI327">
            <v>63745.35</v>
          </cell>
          <cell r="BJ327">
            <v>72373.05</v>
          </cell>
          <cell r="BK327">
            <v>74630.98</v>
          </cell>
          <cell r="BL327">
            <v>80341.75</v>
          </cell>
          <cell r="BM327">
            <v>126296.86</v>
          </cell>
          <cell r="BN327">
            <v>128643.41</v>
          </cell>
          <cell r="BO327">
            <v>130888.34</v>
          </cell>
          <cell r="BP327">
            <v>119321.89</v>
          </cell>
          <cell r="BQ327">
            <v>77840.95</v>
          </cell>
          <cell r="BR327">
            <v>74091.149999999994</v>
          </cell>
          <cell r="BS327">
            <v>67343.210000000006</v>
          </cell>
        </row>
        <row r="329">
          <cell r="BF329">
            <v>75716.31</v>
          </cell>
          <cell r="BG329">
            <v>72630.33</v>
          </cell>
          <cell r="BH329">
            <v>72562.78</v>
          </cell>
          <cell r="BI329">
            <v>69601.08</v>
          </cell>
          <cell r="BJ329">
            <v>78390.83</v>
          </cell>
          <cell r="BK329">
            <v>73632.95</v>
          </cell>
          <cell r="BL329">
            <v>81992.95</v>
          </cell>
          <cell r="BM329">
            <v>95655.97</v>
          </cell>
          <cell r="BN329">
            <v>95158.56</v>
          </cell>
          <cell r="BO329">
            <v>97995.36</v>
          </cell>
          <cell r="BP329">
            <v>91010.55</v>
          </cell>
          <cell r="BQ329">
            <v>77920.800000000003</v>
          </cell>
          <cell r="BR329">
            <v>75716.31</v>
          </cell>
          <cell r="BS329">
            <v>72630.33</v>
          </cell>
        </row>
        <row r="330">
          <cell r="BF330">
            <v>12740.14</v>
          </cell>
          <cell r="BG330">
            <v>13601.93</v>
          </cell>
          <cell r="BH330">
            <v>13800.08</v>
          </cell>
          <cell r="BI330">
            <v>12513.73</v>
          </cell>
          <cell r="BJ330">
            <v>13965.76</v>
          </cell>
          <cell r="BK330">
            <v>12679.46</v>
          </cell>
          <cell r="BL330">
            <v>14070.41</v>
          </cell>
          <cell r="BM330">
            <v>17501.97</v>
          </cell>
          <cell r="BN330">
            <v>17971.36</v>
          </cell>
          <cell r="BO330">
            <v>18227.55</v>
          </cell>
          <cell r="BP330">
            <v>17181.66</v>
          </cell>
          <cell r="BQ330">
            <v>13264.22</v>
          </cell>
          <cell r="BR330">
            <v>12740.14</v>
          </cell>
          <cell r="BS330">
            <v>13601.93</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sheetData sheetId="1"/>
      <sheetData sheetId="2">
        <row r="460">
          <cell r="O460">
            <v>3188503.8758270754</v>
          </cell>
          <cell r="P460">
            <v>3927661.8332807384</v>
          </cell>
          <cell r="Q460">
            <v>4832076.5407923982</v>
          </cell>
          <cell r="R460">
            <v>4910735.5750901196</v>
          </cell>
          <cell r="S460">
            <v>4918618.545193118</v>
          </cell>
          <cell r="T460">
            <v>5039497.929387019</v>
          </cell>
        </row>
        <row r="461">
          <cell r="O461">
            <v>373271.59245975962</v>
          </cell>
          <cell r="P461">
            <v>491255.79843460862</v>
          </cell>
          <cell r="Q461">
            <v>619322.74834897532</v>
          </cell>
          <cell r="R461">
            <v>571978.76190368109</v>
          </cell>
          <cell r="S461">
            <v>663705.62904136826</v>
          </cell>
          <cell r="T461">
            <v>658827.38580401533</v>
          </cell>
        </row>
        <row r="463">
          <cell r="O463">
            <v>375329.92698194372</v>
          </cell>
          <cell r="P463">
            <v>465602.64434255101</v>
          </cell>
          <cell r="Q463">
            <v>572129.26836081059</v>
          </cell>
          <cell r="R463">
            <v>552695.76358674595</v>
          </cell>
          <cell r="S463">
            <v>657419.4349375423</v>
          </cell>
          <cell r="T463">
            <v>672136.2094425871</v>
          </cell>
        </row>
        <row r="464">
          <cell r="O464">
            <v>464908.49341948499</v>
          </cell>
          <cell r="P464">
            <v>489450.57403128548</v>
          </cell>
          <cell r="Q464">
            <v>529732.34423795016</v>
          </cell>
          <cell r="R464">
            <v>479141.61904915213</v>
          </cell>
          <cell r="S464">
            <v>532248.30581992259</v>
          </cell>
          <cell r="T464">
            <v>512985.64564548893</v>
          </cell>
        </row>
        <row r="562">
          <cell r="O562">
            <v>159746.77000000002</v>
          </cell>
          <cell r="P562">
            <v>179874.46</v>
          </cell>
          <cell r="Q562">
            <v>201597.33000000002</v>
          </cell>
          <cell r="R562">
            <v>218596.21</v>
          </cell>
          <cell r="S562">
            <v>228396.21000000002</v>
          </cell>
          <cell r="T562">
            <v>234449.2</v>
          </cell>
        </row>
        <row r="563">
          <cell r="O563">
            <v>16847.370000000003</v>
          </cell>
          <cell r="P563">
            <v>20121.03</v>
          </cell>
          <cell r="Q563">
            <v>25049.620000000003</v>
          </cell>
          <cell r="R563">
            <v>23280.409999999996</v>
          </cell>
          <cell r="S563">
            <v>27223.040000000001</v>
          </cell>
          <cell r="T563">
            <v>29468.420000000002</v>
          </cell>
        </row>
        <row r="565">
          <cell r="O565">
            <v>11468.25</v>
          </cell>
          <cell r="P565">
            <v>13539.51</v>
          </cell>
          <cell r="Q565">
            <v>15762.85</v>
          </cell>
          <cell r="R565">
            <v>16063.04</v>
          </cell>
          <cell r="S565">
            <v>19290.25</v>
          </cell>
          <cell r="T565">
            <v>19559.239999999998</v>
          </cell>
        </row>
        <row r="566">
          <cell r="O566">
            <v>5528.28</v>
          </cell>
          <cell r="P566">
            <v>6229.96</v>
          </cell>
          <cell r="Q566">
            <v>6638.2300000000005</v>
          </cell>
          <cell r="R566">
            <v>5937.26</v>
          </cell>
          <cell r="S566">
            <v>6715.3600000000006</v>
          </cell>
          <cell r="T566">
            <v>6185.7</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PY3 Final EM&amp;V"/>
    </sheetNames>
    <sheetDataSet>
      <sheetData sheetId="0">
        <row r="18">
          <cell r="S18">
            <v>5181939.6500000004</v>
          </cell>
          <cell r="T18">
            <v>5060008.6900000004</v>
          </cell>
          <cell r="W18">
            <v>1943830.0499999998</v>
          </cell>
          <cell r="Y18">
            <v>2196160.9099999997</v>
          </cell>
          <cell r="Z18">
            <v>920017.71000000008</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EO TD Carrying Costs"/>
      <sheetName val="Jnl Import"/>
      <sheetName val="EM&amp;V Inputs"/>
      <sheetName val="kW Actuals (Gross)"/>
    </sheetNames>
    <sheetDataSet>
      <sheetData sheetId="0" refreshError="1"/>
      <sheetData sheetId="1" refreshError="1"/>
      <sheetData sheetId="2">
        <row r="370">
          <cell r="AL370">
            <v>-722286.32999999984</v>
          </cell>
          <cell r="BE370">
            <v>-925665.90999999992</v>
          </cell>
          <cell r="BS370">
            <v>-501622.58999999991</v>
          </cell>
          <cell r="CD370">
            <v>-475790.98</v>
          </cell>
        </row>
        <row r="371">
          <cell r="AL371">
            <v>62654.269999999968</v>
          </cell>
          <cell r="BE371">
            <v>97800.22000000003</v>
          </cell>
          <cell r="BS371">
            <v>68174.790000000008</v>
          </cell>
          <cell r="CD371">
            <v>55453.740000000013</v>
          </cell>
        </row>
        <row r="373">
          <cell r="AL373">
            <v>122990.04999999997</v>
          </cell>
          <cell r="BE373">
            <v>137525.56000000003</v>
          </cell>
          <cell r="BS373">
            <v>97159.740000000034</v>
          </cell>
          <cell r="CD373">
            <v>78391.820000000022</v>
          </cell>
        </row>
        <row r="374">
          <cell r="AL374">
            <v>8441.0300000000061</v>
          </cell>
          <cell r="BE374">
            <v>13480.959999999997</v>
          </cell>
          <cell r="BS374">
            <v>9530.5999999999967</v>
          </cell>
          <cell r="CD374">
            <v>7715.4</v>
          </cell>
        </row>
      </sheetData>
      <sheetData sheetId="3">
        <row r="384">
          <cell r="AL384">
            <v>574414.55000000005</v>
          </cell>
          <cell r="BE384">
            <v>-742448.70000000007</v>
          </cell>
          <cell r="BS384">
            <v>-502875.4</v>
          </cell>
          <cell r="CD384">
            <v>-411835.76000000007</v>
          </cell>
        </row>
        <row r="385">
          <cell r="AL385">
            <v>289519.26000000007</v>
          </cell>
          <cell r="BE385">
            <v>-190303.54000000007</v>
          </cell>
          <cell r="BS385">
            <v>-129086.91000000005</v>
          </cell>
          <cell r="CD385">
            <v>-106679.1</v>
          </cell>
        </row>
        <row r="387">
          <cell r="AL387">
            <v>233118.96000000005</v>
          </cell>
          <cell r="BE387">
            <v>-142627.82999999999</v>
          </cell>
          <cell r="BS387">
            <v>-101888.86000000002</v>
          </cell>
          <cell r="CD387">
            <v>-81685.770000000019</v>
          </cell>
        </row>
        <row r="388">
          <cell r="AL388">
            <v>39682.919999999976</v>
          </cell>
          <cell r="BE388">
            <v>-22699.809999999994</v>
          </cell>
          <cell r="BS388">
            <v>-16566.279999999995</v>
          </cell>
          <cell r="CD388">
            <v>-13153.759999999998</v>
          </cell>
        </row>
      </sheetData>
      <sheetData sheetId="4" refreshError="1"/>
      <sheetData sheetId="5">
        <row r="63">
          <cell r="AL63">
            <v>2229.4899999999998</v>
          </cell>
          <cell r="BE63">
            <v>-48233.87</v>
          </cell>
          <cell r="BK63">
            <v>-23257.07</v>
          </cell>
        </row>
        <row r="64">
          <cell r="AL64">
            <v>9487.8299999999981</v>
          </cell>
          <cell r="BE64">
            <v>16083.199999999999</v>
          </cell>
          <cell r="BK64">
            <v>1530.75</v>
          </cell>
        </row>
        <row r="66">
          <cell r="AL66">
            <v>9593.3099999999977</v>
          </cell>
          <cell r="BE66">
            <v>18434.950000000004</v>
          </cell>
          <cell r="BK66">
            <v>2747.2700000000004</v>
          </cell>
        </row>
        <row r="67">
          <cell r="AL67">
            <v>1337.2200000000003</v>
          </cell>
          <cell r="BE67">
            <v>2282.4499999999998</v>
          </cell>
          <cell r="BK67">
            <v>249.56000000000003</v>
          </cell>
        </row>
      </sheetData>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4 Final EM&amp;V"/>
    </sheetNames>
    <sheetDataSet>
      <sheetData sheetId="0">
        <row r="18">
          <cell r="S18">
            <v>1398635.9100000001</v>
          </cell>
          <cell r="T18">
            <v>1081480.3199999998</v>
          </cell>
          <cell r="W18">
            <v>456620.65</v>
          </cell>
          <cell r="Y18">
            <v>487216.32</v>
          </cell>
          <cell r="Z18">
            <v>137643.35</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Sheet1"/>
      <sheetName val="EO TD Carrying Costs"/>
      <sheetName val="Jnl Import"/>
      <sheetName val="EM&amp;V Inputs"/>
      <sheetName val="kW Actuals (Gross)"/>
    </sheetNames>
    <sheetDataSet>
      <sheetData sheetId="0" refreshError="1"/>
      <sheetData sheetId="1" refreshError="1"/>
      <sheetData sheetId="2">
        <row r="370">
          <cell r="BE370">
            <v>269103.8600000001</v>
          </cell>
          <cell r="BS370">
            <v>357077.41000000003</v>
          </cell>
          <cell r="CD370">
            <v>287595.16000000003</v>
          </cell>
        </row>
        <row r="371">
          <cell r="BE371">
            <v>34433.140000000014</v>
          </cell>
          <cell r="BS371">
            <v>38305.360000000022</v>
          </cell>
          <cell r="CD371">
            <v>31944.280000000013</v>
          </cell>
        </row>
        <row r="373">
          <cell r="BE373">
            <v>12418.56</v>
          </cell>
          <cell r="BS373">
            <v>13981.689999999995</v>
          </cell>
          <cell r="CD373">
            <v>11316.46</v>
          </cell>
        </row>
        <row r="374">
          <cell r="BE374">
            <v>879.93000000000166</v>
          </cell>
          <cell r="BS374">
            <v>660.39000000000124</v>
          </cell>
          <cell r="CD374">
            <v>526.54000000000178</v>
          </cell>
        </row>
      </sheetData>
      <sheetData sheetId="3">
        <row r="384">
          <cell r="BE384">
            <v>6347.9600000000064</v>
          </cell>
          <cell r="BS384">
            <v>-135883.22999999998</v>
          </cell>
          <cell r="CD384">
            <v>-108354.64999999997</v>
          </cell>
        </row>
        <row r="385">
          <cell r="BE385">
            <v>32265.51</v>
          </cell>
          <cell r="BS385">
            <v>36285.759999999995</v>
          </cell>
          <cell r="CD385">
            <v>30292.95</v>
          </cell>
        </row>
        <row r="387">
          <cell r="BE387">
            <v>-350.19999999999027</v>
          </cell>
          <cell r="BS387">
            <v>-3922.2199999999793</v>
          </cell>
          <cell r="CD387">
            <v>-2936.9499999999898</v>
          </cell>
        </row>
        <row r="388">
          <cell r="BE388">
            <v>1230.5099999999979</v>
          </cell>
          <cell r="BS388">
            <v>1213.9799999999987</v>
          </cell>
          <cell r="CD388">
            <v>1032.0599999999977</v>
          </cell>
        </row>
      </sheetData>
      <sheetData sheetId="4" refreshError="1"/>
      <sheetData sheetId="5">
        <row r="63">
          <cell r="BE63">
            <v>5812.1900000000005</v>
          </cell>
          <cell r="BK63">
            <v>3865.7400000000002</v>
          </cell>
        </row>
        <row r="64">
          <cell r="BE64">
            <v>904.36</v>
          </cell>
          <cell r="BK64">
            <v>959.68999999999994</v>
          </cell>
        </row>
        <row r="66">
          <cell r="BE66">
            <v>241.7</v>
          </cell>
          <cell r="BK66">
            <v>168.43</v>
          </cell>
        </row>
        <row r="67">
          <cell r="BE67">
            <v>44.26</v>
          </cell>
          <cell r="BK67">
            <v>29.639999999999997</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Program Costs"/>
      <sheetName val="Summary"/>
      <sheetName val="Monthly TD Calc"/>
      <sheetName val="Monthly kWh-kW"/>
      <sheetName val="MO West EO Matrix @Meter"/>
      <sheetName val="MO West EO Table"/>
      <sheetName val="EMV Results"/>
      <sheetName val="PAYS"/>
      <sheetName val="Mktg Forecast"/>
      <sheetName val="MEEIA Labor Alloc"/>
      <sheetName val="Other Admin"/>
      <sheetName val="EMV Costs"/>
      <sheetName val="Implementer Contract Rates"/>
      <sheetName val="Billed kWh Sales"/>
      <sheetName val="DSIM Revenue"/>
    </sheetNames>
    <sheetDataSet>
      <sheetData sheetId="0"/>
      <sheetData sheetId="1"/>
      <sheetData sheetId="2">
        <row r="290">
          <cell r="X290">
            <v>586561.27999999991</v>
          </cell>
          <cell r="Y290">
            <v>987193.31999999983</v>
          </cell>
          <cell r="Z290">
            <v>901867.22</v>
          </cell>
          <cell r="AA290">
            <v>804524.17999999982</v>
          </cell>
          <cell r="AB290">
            <v>1012368.3299999998</v>
          </cell>
          <cell r="AC290">
            <v>1219503.6099999999</v>
          </cell>
          <cell r="AD290">
            <v>564927.92999999993</v>
          </cell>
          <cell r="AE290">
            <v>792887.45000000007</v>
          </cell>
          <cell r="AF290">
            <v>423763.04000000004</v>
          </cell>
          <cell r="AG290">
            <v>460135.57</v>
          </cell>
          <cell r="AH290">
            <v>983878.19000000006</v>
          </cell>
          <cell r="AI290">
            <v>601411.35000000009</v>
          </cell>
          <cell r="AJ290">
            <v>582187.91999999993</v>
          </cell>
          <cell r="AK290">
            <v>1065712.4000000001</v>
          </cell>
        </row>
        <row r="291">
          <cell r="X291">
            <v>192709.30999999997</v>
          </cell>
          <cell r="Y291">
            <v>141780.44999999998</v>
          </cell>
          <cell r="Z291">
            <v>168682.8</v>
          </cell>
          <cell r="AA291">
            <v>153404.79999999999</v>
          </cell>
          <cell r="AB291">
            <v>441890.97000000003</v>
          </cell>
          <cell r="AC291">
            <v>118478.42999999998</v>
          </cell>
          <cell r="AD291">
            <v>96125.709999999992</v>
          </cell>
          <cell r="AE291">
            <v>136069.5</v>
          </cell>
          <cell r="AF291">
            <v>77959.609999999986</v>
          </cell>
          <cell r="AG291">
            <v>79736.94</v>
          </cell>
          <cell r="AH291">
            <v>171808.06000000003</v>
          </cell>
          <cell r="AI291">
            <v>101360.87000000002</v>
          </cell>
          <cell r="AJ291">
            <v>117269.80000000002</v>
          </cell>
          <cell r="AK291">
            <v>157584.97000000006</v>
          </cell>
        </row>
        <row r="293">
          <cell r="X293">
            <v>289757.44</v>
          </cell>
          <cell r="Y293">
            <v>212774.23999999996</v>
          </cell>
          <cell r="Z293">
            <v>254157.45</v>
          </cell>
          <cell r="AA293">
            <v>230345.4</v>
          </cell>
          <cell r="AB293">
            <v>666416.30000000005</v>
          </cell>
          <cell r="AC293">
            <v>166010.32999999996</v>
          </cell>
          <cell r="AD293">
            <v>144793.12</v>
          </cell>
          <cell r="AE293">
            <v>206751.55999999997</v>
          </cell>
          <cell r="AF293">
            <v>116873.2</v>
          </cell>
          <cell r="AG293">
            <v>118990.31</v>
          </cell>
          <cell r="AH293">
            <v>261296.01</v>
          </cell>
          <cell r="AI293">
            <v>152577.88999999998</v>
          </cell>
          <cell r="AJ293">
            <v>176625.57999999996</v>
          </cell>
          <cell r="AK293">
            <v>237565.34</v>
          </cell>
        </row>
        <row r="294">
          <cell r="X294">
            <v>219868.05</v>
          </cell>
          <cell r="Y294">
            <v>160646.91</v>
          </cell>
          <cell r="Z294">
            <v>192065.46</v>
          </cell>
          <cell r="AA294">
            <v>174163.95</v>
          </cell>
          <cell r="AB294">
            <v>509621.73</v>
          </cell>
          <cell r="AC294">
            <v>124265.81999999999</v>
          </cell>
          <cell r="AD294">
            <v>107999.97000000002</v>
          </cell>
          <cell r="AE294">
            <v>154952.81</v>
          </cell>
          <cell r="AF294">
            <v>86498.559999999998</v>
          </cell>
          <cell r="AG294">
            <v>88501.440000000017</v>
          </cell>
          <cell r="AH294">
            <v>196624.32999999996</v>
          </cell>
          <cell r="AI294">
            <v>113750.55</v>
          </cell>
          <cell r="AJ294">
            <v>132249.79999999999</v>
          </cell>
          <cell r="AK294">
            <v>179129.14999999997</v>
          </cell>
        </row>
      </sheetData>
      <sheetData sheetId="3"/>
      <sheetData sheetId="4">
        <row r="461">
          <cell r="U461">
            <v>5082452.824321663</v>
          </cell>
          <cell r="V461">
            <v>4976771.3729565898</v>
          </cell>
          <cell r="W461">
            <v>6105039.3002026351</v>
          </cell>
          <cell r="X461">
            <v>6275498.8804890625</v>
          </cell>
          <cell r="Y461">
            <v>5639112.0257974807</v>
          </cell>
          <cell r="Z461">
            <v>6207956.2668940388</v>
          </cell>
          <cell r="AA461">
            <v>6326562.0427128682</v>
          </cell>
          <cell r="AB461">
            <v>7556859.6595107801</v>
          </cell>
          <cell r="AC461">
            <v>7765802.273902528</v>
          </cell>
          <cell r="AD461">
            <v>7255877.3850771086</v>
          </cell>
          <cell r="AE461">
            <v>7289617.9055681312</v>
          </cell>
          <cell r="AF461">
            <v>7218037.4845790211</v>
          </cell>
          <cell r="AG461">
            <v>7691297.4524340015</v>
          </cell>
          <cell r="AH461">
            <v>7449623.1633242564</v>
          </cell>
        </row>
        <row r="462">
          <cell r="U462">
            <v>734636.28496782621</v>
          </cell>
          <cell r="V462">
            <v>750292.88343191193</v>
          </cell>
          <cell r="W462">
            <v>813487.46606048895</v>
          </cell>
          <cell r="X462">
            <v>865615.19071467768</v>
          </cell>
          <cell r="Y462">
            <v>936963.42357447464</v>
          </cell>
          <cell r="Z462">
            <v>1157683.8101630835</v>
          </cell>
          <cell r="AA462">
            <v>1138019.3478740188</v>
          </cell>
          <cell r="AB462">
            <v>1189324.2237776853</v>
          </cell>
          <cell r="AC462">
            <v>1298851.1233740712</v>
          </cell>
          <cell r="AD462">
            <v>1204176.5187870071</v>
          </cell>
          <cell r="AE462">
            <v>1369698.722464015</v>
          </cell>
          <cell r="AF462">
            <v>1335110.8630200457</v>
          </cell>
          <cell r="AG462">
            <v>1440421.9997628743</v>
          </cell>
          <cell r="AH462">
            <v>1435640.1612059749</v>
          </cell>
        </row>
        <row r="464">
          <cell r="U464">
            <v>797115.2879127101</v>
          </cell>
          <cell r="V464">
            <v>834901.76981136564</v>
          </cell>
          <cell r="W464">
            <v>906175.10345407808</v>
          </cell>
          <cell r="X464">
            <v>978907.20617476979</v>
          </cell>
          <cell r="Y464">
            <v>1125095.6263368912</v>
          </cell>
          <cell r="Z464">
            <v>1438419.9664485813</v>
          </cell>
          <cell r="AA464">
            <v>1427000.1771169892</v>
          </cell>
          <cell r="AB464">
            <v>1504451.1007593898</v>
          </cell>
          <cell r="AC464">
            <v>1654756.7849976127</v>
          </cell>
          <cell r="AD464">
            <v>1541028.9171780625</v>
          </cell>
          <cell r="AE464">
            <v>1762029.2922769652</v>
          </cell>
          <cell r="AF464">
            <v>1726016.878939962</v>
          </cell>
          <cell r="AG464">
            <v>1869645.433370545</v>
          </cell>
          <cell r="AH464">
            <v>1876307.4619678149</v>
          </cell>
        </row>
        <row r="465">
          <cell r="U465">
            <v>580655.83852932288</v>
          </cell>
          <cell r="V465">
            <v>611603.34085183637</v>
          </cell>
          <cell r="W465">
            <v>665703.17338295782</v>
          </cell>
          <cell r="X465">
            <v>720928.74119666859</v>
          </cell>
          <cell r="Y465">
            <v>836111.24779897789</v>
          </cell>
          <cell r="Z465">
            <v>1074602.2402019675</v>
          </cell>
          <cell r="AA465">
            <v>1067496.3033957866</v>
          </cell>
          <cell r="AB465">
            <v>1126434.9150593455</v>
          </cell>
          <cell r="AC465">
            <v>1239281.406734522</v>
          </cell>
          <cell r="AD465">
            <v>1154919.1596206683</v>
          </cell>
          <cell r="AE465">
            <v>1321264.0083323522</v>
          </cell>
          <cell r="AF465">
            <v>1295599.6688575135</v>
          </cell>
          <cell r="AG465">
            <v>1403790.9983636618</v>
          </cell>
          <cell r="AH465">
            <v>1410873.6617320681</v>
          </cell>
        </row>
        <row r="563">
          <cell r="U563">
            <v>254148.15000000002</v>
          </cell>
          <cell r="V563">
            <v>410954.25</v>
          </cell>
          <cell r="W563">
            <v>513482.6</v>
          </cell>
          <cell r="X563">
            <v>527180.72</v>
          </cell>
          <cell r="Y563">
            <v>464708.61</v>
          </cell>
          <cell r="Z563">
            <v>295686.54000000004</v>
          </cell>
          <cell r="AA563">
            <v>307914.52999999997</v>
          </cell>
          <cell r="AB563">
            <v>337529.47000000003</v>
          </cell>
          <cell r="AC563">
            <v>312323.30999999994</v>
          </cell>
          <cell r="AD563">
            <v>311484.45999999996</v>
          </cell>
          <cell r="AE563">
            <v>329456.75</v>
          </cell>
          <cell r="AF563">
            <v>327497.80000000005</v>
          </cell>
          <cell r="AG563">
            <v>378660.85000000003</v>
          </cell>
          <cell r="AH563">
            <v>607151.21000000008</v>
          </cell>
        </row>
        <row r="564">
          <cell r="U564">
            <v>33282.590000000004</v>
          </cell>
          <cell r="V564">
            <v>53678.43</v>
          </cell>
          <cell r="W564">
            <v>57339.65</v>
          </cell>
          <cell r="X564">
            <v>61295.4</v>
          </cell>
          <cell r="Y564">
            <v>66529.22</v>
          </cell>
          <cell r="Z564">
            <v>51878.99</v>
          </cell>
          <cell r="AA564">
            <v>51357.32</v>
          </cell>
          <cell r="AB564">
            <v>48620.680000000008</v>
          </cell>
          <cell r="AC564">
            <v>52378.829999999994</v>
          </cell>
          <cell r="AD564">
            <v>48887.53</v>
          </cell>
          <cell r="AE564">
            <v>56071.81</v>
          </cell>
          <cell r="AF564">
            <v>59549.15</v>
          </cell>
          <cell r="AG564">
            <v>65118.30999999999</v>
          </cell>
          <cell r="AH564">
            <v>102589.41</v>
          </cell>
        </row>
        <row r="566">
          <cell r="U566">
            <v>24446.120000000003</v>
          </cell>
          <cell r="V566">
            <v>30831.859999999997</v>
          </cell>
          <cell r="W566">
            <v>32767.35</v>
          </cell>
          <cell r="X566">
            <v>36148.870000000003</v>
          </cell>
          <cell r="Y566">
            <v>41672.130000000005</v>
          </cell>
          <cell r="Z566">
            <v>42518.84</v>
          </cell>
          <cell r="AA566">
            <v>43361.780000000006</v>
          </cell>
          <cell r="AB566">
            <v>43471.57</v>
          </cell>
          <cell r="AC566">
            <v>45463.810000000005</v>
          </cell>
          <cell r="AD566">
            <v>44754.38</v>
          </cell>
          <cell r="AE566">
            <v>51754.42</v>
          </cell>
          <cell r="AF566">
            <v>50259.469999999994</v>
          </cell>
          <cell r="AG566">
            <v>57418.320000000007</v>
          </cell>
          <cell r="AH566">
            <v>69573.36</v>
          </cell>
        </row>
        <row r="567">
          <cell r="U567">
            <v>7391.76</v>
          </cell>
          <cell r="V567">
            <v>9973.15</v>
          </cell>
          <cell r="W567">
            <v>11220.27</v>
          </cell>
          <cell r="X567">
            <v>12515.090000000002</v>
          </cell>
          <cell r="Y567">
            <v>14410.310000000001</v>
          </cell>
          <cell r="Z567">
            <v>13323.9</v>
          </cell>
          <cell r="AA567">
            <v>13385.39</v>
          </cell>
          <cell r="AB567">
            <v>14703.32</v>
          </cell>
          <cell r="AC567">
            <v>15870.45</v>
          </cell>
          <cell r="AD567">
            <v>14635.82</v>
          </cell>
          <cell r="AE567">
            <v>17038.290000000005</v>
          </cell>
          <cell r="AF567">
            <v>15870.550000000001</v>
          </cell>
          <cell r="AG567">
            <v>18089.849999999999</v>
          </cell>
          <cell r="AH567">
            <v>23358.760000000002</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West"/>
    </sheetNames>
    <sheetDataSet>
      <sheetData sheetId="0">
        <row r="111">
          <cell r="E111">
            <v>24.29</v>
          </cell>
        </row>
        <row r="112">
          <cell r="E112">
            <v>4975.71</v>
          </cell>
        </row>
        <row r="113">
          <cell r="E113">
            <v>5000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West Ordered Adjustmt Cycle 2"/>
    </sheetNames>
    <sheetDataSet>
      <sheetData sheetId="0">
        <row r="95">
          <cell r="K95">
            <v>-1.91</v>
          </cell>
          <cell r="X95">
            <v>-298.21999999999997</v>
          </cell>
          <cell r="AK95">
            <v>-300.13000000000005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sheetData sheetId="1">
        <row r="44">
          <cell r="CY44">
            <v>0.39209287804949344</v>
          </cell>
          <cell r="DA44">
            <v>0.45435908608374953</v>
          </cell>
          <cell r="DB44">
            <v>0.15354803586675725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o MEEIA Cycle 2"/>
      <sheetName val="Metro MEEIA Cycle 3"/>
      <sheetName val="MO West MEEIA Cycle 2"/>
      <sheetName val="MO West MEEIA Cycle 3"/>
      <sheetName val="SI Projects 112020-042021"/>
    </sheetNames>
    <sheetDataSet>
      <sheetData sheetId="0" refreshError="1"/>
      <sheetData sheetId="1" refreshError="1"/>
      <sheetData sheetId="2">
        <row r="11">
          <cell r="C11">
            <v>-22840.19</v>
          </cell>
          <cell r="D11">
            <v>22840.19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Feb 2021"/>
      <sheetName val="Oct 2020"/>
      <sheetName val="Nov 2020"/>
      <sheetName val="Dec 2020"/>
      <sheetName val="Jan 2021"/>
      <sheetName val="Mar 2021"/>
      <sheetName val="Apr 2021"/>
      <sheetName val="GMO DSIM Rate Table"/>
      <sheetName val="DSIM Rates - Tracker"/>
      <sheetName val="DSIM Rates - Initial RP Cycle 2"/>
      <sheetName val="DSIM RP2"/>
      <sheetName val="DSIM RP3"/>
      <sheetName val="DSIM RP4"/>
      <sheetName val="DSIM RP5"/>
      <sheetName val="DSIM RP6"/>
      <sheetName val="DSIM RP7"/>
      <sheetName val="DSIM RP8"/>
    </sheetNames>
    <sheetDataSet>
      <sheetData sheetId="0"/>
      <sheetData sheetId="1"/>
      <sheetData sheetId="2"/>
      <sheetData sheetId="3"/>
      <sheetData sheetId="4"/>
      <sheetData sheetId="5"/>
      <sheetData sheetId="6"/>
      <sheetData sheetId="7"/>
      <sheetData sheetId="8"/>
      <sheetData sheetId="9">
        <row r="36">
          <cell r="F36">
            <v>102.9</v>
          </cell>
        </row>
        <row r="37">
          <cell r="F37">
            <v>3194.17</v>
          </cell>
        </row>
        <row r="38">
          <cell r="F38">
            <v>2271.9</v>
          </cell>
        </row>
        <row r="39">
          <cell r="F39">
            <v>367.75</v>
          </cell>
        </row>
        <row r="44">
          <cell r="F44">
            <v>39.599999999999994</v>
          </cell>
        </row>
        <row r="45">
          <cell r="F45">
            <v>-22408.78</v>
          </cell>
        </row>
        <row r="46">
          <cell r="F46">
            <v>-16778.59</v>
          </cell>
        </row>
        <row r="47">
          <cell r="F47">
            <v>-4714.6299999999992</v>
          </cell>
        </row>
        <row r="52">
          <cell r="F52">
            <v>315532.19</v>
          </cell>
        </row>
        <row r="53">
          <cell r="F53">
            <v>133091.75</v>
          </cell>
        </row>
        <row r="54">
          <cell r="F54">
            <v>76606.209999999992</v>
          </cell>
        </row>
        <row r="55">
          <cell r="F55">
            <v>11487.980000000001</v>
          </cell>
        </row>
        <row r="60">
          <cell r="F60">
            <v>223178.01</v>
          </cell>
        </row>
        <row r="61">
          <cell r="F61">
            <v>165979.50859620806</v>
          </cell>
        </row>
        <row r="62">
          <cell r="F62">
            <v>115267.15561203127</v>
          </cell>
        </row>
        <row r="63">
          <cell r="F63">
            <v>34727.895791760668</v>
          </cell>
        </row>
        <row r="68">
          <cell r="F68">
            <v>1000364.76</v>
          </cell>
        </row>
        <row r="69">
          <cell r="F69">
            <v>241142.64</v>
          </cell>
        </row>
        <row r="70">
          <cell r="F70">
            <v>228161.01</v>
          </cell>
        </row>
        <row r="71">
          <cell r="F71">
            <v>143231.54999999999</v>
          </cell>
        </row>
        <row r="75">
          <cell r="F75">
            <v>-11521.34</v>
          </cell>
        </row>
        <row r="76">
          <cell r="F76">
            <v>-13831.61</v>
          </cell>
        </row>
        <row r="77">
          <cell r="F77">
            <v>7020.7</v>
          </cell>
        </row>
        <row r="78">
          <cell r="F78">
            <v>12097.98</v>
          </cell>
        </row>
        <row r="82">
          <cell r="F82">
            <v>419327.4</v>
          </cell>
        </row>
        <row r="83">
          <cell r="F83">
            <v>58405.16</v>
          </cell>
        </row>
        <row r="84">
          <cell r="F84">
            <v>28938.01</v>
          </cell>
        </row>
        <row r="85">
          <cell r="F85">
            <v>9975.93</v>
          </cell>
        </row>
        <row r="108">
          <cell r="C108">
            <v>384763407.76300001</v>
          </cell>
        </row>
        <row r="109">
          <cell r="C109">
            <v>108815503.55120002</v>
          </cell>
        </row>
        <row r="110">
          <cell r="C110">
            <v>105744512.57329997</v>
          </cell>
        </row>
        <row r="111">
          <cell r="C111">
            <v>48789647.199599996</v>
          </cell>
        </row>
      </sheetData>
      <sheetData sheetId="10"/>
      <sheetData sheetId="11">
        <row r="36">
          <cell r="F36">
            <v>4728.9400000000005</v>
          </cell>
        </row>
        <row r="37">
          <cell r="F37">
            <v>3776.9524685638239</v>
          </cell>
        </row>
        <row r="38">
          <cell r="F38">
            <v>2527.2370093874842</v>
          </cell>
        </row>
        <row r="39">
          <cell r="F39">
            <v>883.64052204869199</v>
          </cell>
        </row>
        <row r="44">
          <cell r="F44">
            <v>-2290.85</v>
          </cell>
        </row>
        <row r="45">
          <cell r="F45">
            <v>-36119.491994886288</v>
          </cell>
        </row>
        <row r="46">
          <cell r="F46">
            <v>-28513.019905912253</v>
          </cell>
        </row>
        <row r="47">
          <cell r="F47">
            <v>-11387.538099201465</v>
          </cell>
        </row>
        <row r="52">
          <cell r="F52">
            <v>197315.54</v>
          </cell>
        </row>
        <row r="53">
          <cell r="F53">
            <v>92846.92940348266</v>
          </cell>
        </row>
        <row r="54">
          <cell r="F54">
            <v>56664.686343645328</v>
          </cell>
        </row>
        <row r="55">
          <cell r="F55">
            <v>12095.804252872</v>
          </cell>
        </row>
        <row r="60">
          <cell r="F60">
            <v>157838.62</v>
          </cell>
        </row>
        <row r="61">
          <cell r="F61">
            <v>95961.421839425981</v>
          </cell>
        </row>
        <row r="62">
          <cell r="F62">
            <v>71723.084494231385</v>
          </cell>
        </row>
        <row r="63">
          <cell r="F63">
            <v>33124.703666342612</v>
          </cell>
        </row>
        <row r="68">
          <cell r="F68">
            <v>564041.51</v>
          </cell>
        </row>
        <row r="69">
          <cell r="F69">
            <v>160484.95000000001</v>
          </cell>
        </row>
        <row r="70">
          <cell r="F70">
            <v>158628.57999999999</v>
          </cell>
        </row>
        <row r="71">
          <cell r="F71">
            <v>145743.18</v>
          </cell>
        </row>
        <row r="75">
          <cell r="F75">
            <v>34813.75</v>
          </cell>
        </row>
        <row r="76">
          <cell r="F76">
            <v>8273.17</v>
          </cell>
        </row>
        <row r="77">
          <cell r="F77">
            <v>4218.8500000000004</v>
          </cell>
        </row>
        <row r="78">
          <cell r="F78">
            <v>8431.42</v>
          </cell>
        </row>
        <row r="82">
          <cell r="F82">
            <v>153194.39000000001</v>
          </cell>
        </row>
        <row r="83">
          <cell r="F83">
            <v>24818.41</v>
          </cell>
        </row>
        <row r="84">
          <cell r="F84">
            <v>14344.07</v>
          </cell>
        </row>
        <row r="85">
          <cell r="F85">
            <v>5420.2</v>
          </cell>
        </row>
        <row r="108">
          <cell r="C108">
            <v>232114440.99309999</v>
          </cell>
        </row>
        <row r="109">
          <cell r="C109">
            <v>82722547.919300005</v>
          </cell>
        </row>
        <row r="110">
          <cell r="C110">
            <v>84376904.243999988</v>
          </cell>
        </row>
        <row r="111">
          <cell r="C111">
            <v>60224453.990400009</v>
          </cell>
        </row>
      </sheetData>
      <sheetData sheetId="12">
        <row r="36">
          <cell r="F36">
            <v>6236.7000000000007</v>
          </cell>
        </row>
        <row r="37">
          <cell r="F37">
            <v>4161.9982032938069</v>
          </cell>
        </row>
        <row r="38">
          <cell r="F38">
            <v>2620.7682296627986</v>
          </cell>
        </row>
        <row r="39">
          <cell r="F39">
            <v>878.82356704339406</v>
          </cell>
        </row>
        <row r="44">
          <cell r="F44">
            <v>-2998.99</v>
          </cell>
        </row>
        <row r="45">
          <cell r="F45">
            <v>-41456.17168698764</v>
          </cell>
        </row>
        <row r="46">
          <cell r="F46">
            <v>-30837.385810191696</v>
          </cell>
        </row>
        <row r="47">
          <cell r="F47">
            <v>-11830.372502820657</v>
          </cell>
        </row>
        <row r="52">
          <cell r="F52">
            <v>253871.27000000002</v>
          </cell>
        </row>
        <row r="53">
          <cell r="F53">
            <v>106542.24749531275</v>
          </cell>
        </row>
        <row r="54">
          <cell r="F54">
            <v>61307.551133160108</v>
          </cell>
        </row>
        <row r="55">
          <cell r="F55">
            <v>12551.20137152715</v>
          </cell>
        </row>
        <row r="60">
          <cell r="F60">
            <v>203047.83000000002</v>
          </cell>
        </row>
        <row r="61">
          <cell r="F61">
            <v>110149.32382578179</v>
          </cell>
        </row>
        <row r="62">
          <cell r="F62">
            <v>77630.299214212093</v>
          </cell>
        </row>
        <row r="63">
          <cell r="F63">
            <v>34388.36696000614</v>
          </cell>
        </row>
        <row r="68">
          <cell r="F68">
            <v>725534.79</v>
          </cell>
        </row>
        <row r="69">
          <cell r="F69">
            <v>184194.21</v>
          </cell>
        </row>
        <row r="70">
          <cell r="F70">
            <v>171673.66</v>
          </cell>
        </row>
        <row r="71">
          <cell r="F71">
            <v>151303.75</v>
          </cell>
        </row>
        <row r="75">
          <cell r="F75">
            <v>44799.15</v>
          </cell>
        </row>
        <row r="76">
          <cell r="F76">
            <v>9491.6200000000008</v>
          </cell>
        </row>
        <row r="77">
          <cell r="F77">
            <v>4562.62</v>
          </cell>
        </row>
        <row r="78">
          <cell r="F78">
            <v>8753.11</v>
          </cell>
        </row>
        <row r="82">
          <cell r="F82">
            <v>197066.27</v>
          </cell>
        </row>
        <row r="83">
          <cell r="F83">
            <v>28479.14</v>
          </cell>
        </row>
        <row r="84">
          <cell r="F84">
            <v>15517.93</v>
          </cell>
        </row>
        <row r="85">
          <cell r="F85">
            <v>5627</v>
          </cell>
        </row>
        <row r="108">
          <cell r="C108">
            <v>298579042.8743</v>
          </cell>
        </row>
        <row r="109">
          <cell r="C109">
            <v>94951919.190199986</v>
          </cell>
        </row>
        <row r="110">
          <cell r="C110">
            <v>91324181.064899981</v>
          </cell>
        </row>
        <row r="111">
          <cell r="C111">
            <v>62522212.070400007</v>
          </cell>
        </row>
      </sheetData>
      <sheetData sheetId="13">
        <row r="36">
          <cell r="F36">
            <v>7428.6799999999994</v>
          </cell>
        </row>
        <row r="37">
          <cell r="F37">
            <v>2579.2200000000003</v>
          </cell>
        </row>
        <row r="38">
          <cell r="F38">
            <v>2721.4599999999996</v>
          </cell>
        </row>
        <row r="39">
          <cell r="F39">
            <v>473.35</v>
          </cell>
        </row>
        <row r="44">
          <cell r="F44">
            <v>-3690.89</v>
          </cell>
        </row>
        <row r="45">
          <cell r="F45">
            <v>-45577.53</v>
          </cell>
        </row>
        <row r="46">
          <cell r="F46">
            <v>-31188.62</v>
          </cell>
        </row>
        <row r="47">
          <cell r="F47">
            <v>-11302.15</v>
          </cell>
        </row>
        <row r="52">
          <cell r="F52">
            <v>314677.13</v>
          </cell>
        </row>
        <row r="53">
          <cell r="F53">
            <v>115667.55</v>
          </cell>
        </row>
        <row r="54">
          <cell r="F54">
            <v>61966.69</v>
          </cell>
        </row>
        <row r="55">
          <cell r="F55">
            <v>11851.07</v>
          </cell>
        </row>
        <row r="60">
          <cell r="F60">
            <v>251737.43</v>
          </cell>
        </row>
        <row r="61">
          <cell r="F61">
            <v>119884.89410105337</v>
          </cell>
        </row>
        <row r="62">
          <cell r="F62">
            <v>78440.001315124871</v>
          </cell>
        </row>
        <row r="63">
          <cell r="F63">
            <v>32642.504583821752</v>
          </cell>
        </row>
        <row r="68">
          <cell r="F68">
            <v>899592.15</v>
          </cell>
        </row>
        <row r="69">
          <cell r="F69">
            <v>200493.06</v>
          </cell>
        </row>
        <row r="70">
          <cell r="F70">
            <v>173490.28</v>
          </cell>
        </row>
        <row r="71">
          <cell r="F71">
            <v>143626.54999999999</v>
          </cell>
        </row>
        <row r="75">
          <cell r="F75">
            <v>55528.89</v>
          </cell>
        </row>
        <row r="76">
          <cell r="F76">
            <v>10334.02</v>
          </cell>
        </row>
        <row r="77">
          <cell r="F77">
            <v>4614.1000000000004</v>
          </cell>
        </row>
        <row r="78">
          <cell r="F78">
            <v>8308.9699999999993</v>
          </cell>
        </row>
        <row r="82">
          <cell r="F82">
            <v>244332.82</v>
          </cell>
        </row>
        <row r="83">
          <cell r="F83">
            <v>31003.040000000001</v>
          </cell>
        </row>
        <row r="84">
          <cell r="F84">
            <v>15687.95</v>
          </cell>
        </row>
        <row r="85">
          <cell r="F85">
            <v>5341.48</v>
          </cell>
        </row>
        <row r="108">
          <cell r="C108">
            <v>370201952.93150002</v>
          </cell>
        </row>
        <row r="109">
          <cell r="C109">
            <v>103348427.90530004</v>
          </cell>
        </row>
        <row r="110">
          <cell r="C110">
            <v>92282062.262799993</v>
          </cell>
        </row>
        <row r="111">
          <cell r="C111">
            <v>59349815.318599999</v>
          </cell>
        </row>
      </sheetData>
      <sheetData sheetId="14">
        <row r="36">
          <cell r="F36">
            <v>24.71</v>
          </cell>
        </row>
        <row r="37">
          <cell r="F37">
            <v>-724.69999999999993</v>
          </cell>
        </row>
        <row r="38">
          <cell r="F38">
            <v>880.84999999999991</v>
          </cell>
        </row>
        <row r="39">
          <cell r="F39">
            <v>-139.39999999999998</v>
          </cell>
        </row>
        <row r="44">
          <cell r="F44">
            <v>13.46</v>
          </cell>
        </row>
        <row r="45">
          <cell r="F45">
            <v>-20696.509999999998</v>
          </cell>
        </row>
        <row r="46">
          <cell r="F46">
            <v>-13896.730000000001</v>
          </cell>
        </row>
        <row r="47">
          <cell r="F47">
            <v>-5088.3899999999994</v>
          </cell>
        </row>
        <row r="52">
          <cell r="F52">
            <v>260961.46</v>
          </cell>
        </row>
        <row r="53">
          <cell r="F53">
            <v>118235.69</v>
          </cell>
        </row>
        <row r="54">
          <cell r="F54">
            <v>65905.58</v>
          </cell>
        </row>
        <row r="55">
          <cell r="F55">
            <v>12797.48</v>
          </cell>
        </row>
        <row r="60">
          <cell r="F60">
            <v>184582.56</v>
          </cell>
        </row>
        <row r="61">
          <cell r="F61">
            <v>148744.02067147481</v>
          </cell>
        </row>
        <row r="62">
          <cell r="F62">
            <v>100443.90395903929</v>
          </cell>
        </row>
        <row r="63">
          <cell r="F63">
            <v>38636.765369485904</v>
          </cell>
        </row>
        <row r="68">
          <cell r="F68">
            <v>827416.54</v>
          </cell>
        </row>
        <row r="69">
          <cell r="F69">
            <v>215882.19</v>
          </cell>
        </row>
        <row r="70">
          <cell r="F70">
            <v>197160.92</v>
          </cell>
        </row>
        <row r="71">
          <cell r="F71">
            <v>159026.66</v>
          </cell>
        </row>
        <row r="75">
          <cell r="F75">
            <v>-9544.16</v>
          </cell>
        </row>
        <row r="76">
          <cell r="F76">
            <v>-12575.5</v>
          </cell>
        </row>
        <row r="77">
          <cell r="F77">
            <v>6279.82</v>
          </cell>
        </row>
        <row r="78">
          <cell r="F78">
            <v>12878.92</v>
          </cell>
        </row>
        <row r="82">
          <cell r="F82">
            <v>346862.06</v>
          </cell>
        </row>
        <row r="83">
          <cell r="F83">
            <v>52442.46</v>
          </cell>
        </row>
        <row r="84">
          <cell r="F84">
            <v>26041.03</v>
          </cell>
        </row>
        <row r="85">
          <cell r="F85">
            <v>10639.11</v>
          </cell>
        </row>
        <row r="108">
          <cell r="C108">
            <v>318238133.59289998</v>
          </cell>
        </row>
        <row r="109">
          <cell r="C109">
            <v>97302567.634599984</v>
          </cell>
        </row>
        <row r="110">
          <cell r="C110">
            <v>89522084.768100008</v>
          </cell>
        </row>
        <row r="111">
          <cell r="C111">
            <v>55995303.549599998</v>
          </cell>
        </row>
      </sheetData>
      <sheetData sheetId="15">
        <row r="36">
          <cell r="F36">
            <v>19.73</v>
          </cell>
        </row>
        <row r="37">
          <cell r="F37">
            <v>1507.3700000000001</v>
          </cell>
        </row>
        <row r="38">
          <cell r="F38">
            <v>1027.97</v>
          </cell>
        </row>
        <row r="39">
          <cell r="F39">
            <v>360.57</v>
          </cell>
        </row>
        <row r="44">
          <cell r="F44">
            <v>9.52</v>
          </cell>
        </row>
        <row r="45">
          <cell r="F45">
            <v>-16353.500943090363</v>
          </cell>
        </row>
        <row r="46">
          <cell r="F46">
            <v>-12812.215069783102</v>
          </cell>
        </row>
        <row r="47">
          <cell r="F47">
            <v>-5159.8839871265345</v>
          </cell>
        </row>
        <row r="52">
          <cell r="F52">
            <v>179073.12000000002</v>
          </cell>
        </row>
        <row r="53">
          <cell r="F53">
            <v>97585.235718895201</v>
          </cell>
        </row>
        <row r="54">
          <cell r="F54">
            <v>59613.843493615794</v>
          </cell>
        </row>
        <row r="55">
          <cell r="F55">
            <v>13437.440787489011</v>
          </cell>
        </row>
        <row r="60">
          <cell r="F60">
            <v>126665.37</v>
          </cell>
        </row>
        <row r="61">
          <cell r="F61">
            <v>122163.27652633874</v>
          </cell>
        </row>
        <row r="62">
          <cell r="F62">
            <v>91217.125473187101</v>
          </cell>
        </row>
        <row r="63">
          <cell r="F63">
            <v>40135.318000474152</v>
          </cell>
        </row>
        <row r="68">
          <cell r="F68">
            <v>567762.73</v>
          </cell>
        </row>
        <row r="69">
          <cell r="F69">
            <v>177173.3</v>
          </cell>
        </row>
        <row r="70">
          <cell r="F70">
            <v>179170.12</v>
          </cell>
        </row>
        <row r="71">
          <cell r="F71">
            <v>165188.78</v>
          </cell>
        </row>
        <row r="75">
          <cell r="F75">
            <v>-6539.97</v>
          </cell>
        </row>
        <row r="76">
          <cell r="F76">
            <v>-10438.280000000001</v>
          </cell>
        </row>
        <row r="77">
          <cell r="F77">
            <v>5700.87</v>
          </cell>
        </row>
        <row r="78">
          <cell r="F78">
            <v>13377.96</v>
          </cell>
        </row>
        <row r="82">
          <cell r="F82">
            <v>237993.60000000001</v>
          </cell>
        </row>
        <row r="83">
          <cell r="F83">
            <v>43146.51</v>
          </cell>
        </row>
        <row r="84">
          <cell r="F84">
            <v>23617.88</v>
          </cell>
        </row>
        <row r="85">
          <cell r="F85">
            <v>11051.36</v>
          </cell>
        </row>
        <row r="108">
          <cell r="C108">
            <v>218374311.56370002</v>
          </cell>
        </row>
        <row r="109">
          <cell r="C109">
            <v>79771159.937600002</v>
          </cell>
        </row>
        <row r="110">
          <cell r="C110">
            <v>81440964.368799999</v>
          </cell>
        </row>
        <row r="111">
          <cell r="C111">
            <v>58165062.317699991</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20"/>
      <sheetName val="Dec 2020"/>
      <sheetName val="Jan 2021"/>
      <sheetName val="Feb 2021"/>
      <sheetName val="Mar 2021"/>
      <sheetName val="Apr 2021"/>
    </sheetNames>
    <sheetDataSet>
      <sheetData sheetId="0">
        <row r="51">
          <cell r="F51">
            <v>1.1601199999999999E-3</v>
          </cell>
        </row>
      </sheetData>
      <sheetData sheetId="1">
        <row r="51">
          <cell r="F51">
            <v>1.1659400000000001E-3</v>
          </cell>
        </row>
      </sheetData>
      <sheetData sheetId="2">
        <row r="51">
          <cell r="F51">
            <v>1.14916E-3</v>
          </cell>
        </row>
      </sheetData>
      <sheetData sheetId="3">
        <row r="48">
          <cell r="F48">
            <v>1.13697E-3</v>
          </cell>
        </row>
      </sheetData>
      <sheetData sheetId="4">
        <row r="51">
          <cell r="F51">
            <v>1.1312099999999999E-3</v>
          </cell>
        </row>
      </sheetData>
      <sheetData sheetId="5">
        <row r="51">
          <cell r="F51">
            <v>1.13462E-3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West Cycle 3 Prog Cost"/>
      <sheetName val="MO West Cycle 3 TD"/>
      <sheetName val="Carrying Costs"/>
    </sheetNames>
    <sheetDataSet>
      <sheetData sheetId="0">
        <row r="94">
          <cell r="C94">
            <v>214.21999999997206</v>
          </cell>
          <cell r="D94">
            <v>247.26000000000931</v>
          </cell>
          <cell r="E94">
            <v>576.65000000002328</v>
          </cell>
          <cell r="F94">
            <v>472.4100000000326</v>
          </cell>
          <cell r="G94">
            <v>354.70999999996275</v>
          </cell>
          <cell r="H94">
            <v>1087.609999999986</v>
          </cell>
          <cell r="I94">
            <v>861.76000000000931</v>
          </cell>
          <cell r="J94">
            <v>759.97999999998137</v>
          </cell>
          <cell r="K94">
            <v>953.71999999997206</v>
          </cell>
          <cell r="L94">
            <v>250.17999999993481</v>
          </cell>
          <cell r="M94">
            <v>302.06999999994878</v>
          </cell>
        </row>
        <row r="95">
          <cell r="C95">
            <v>-58.30000000000291</v>
          </cell>
          <cell r="D95">
            <v>-67.30000000000291</v>
          </cell>
          <cell r="E95">
            <v>-156.93000000000757</v>
          </cell>
          <cell r="F95">
            <v>-128.57000000000698</v>
          </cell>
          <cell r="G95">
            <v>-96.540000000000873</v>
          </cell>
          <cell r="H95">
            <v>-296</v>
          </cell>
          <cell r="I95">
            <v>-234.53000000002794</v>
          </cell>
          <cell r="J95">
            <v>-206.82999999998719</v>
          </cell>
          <cell r="K95">
            <v>-259.55999999999767</v>
          </cell>
          <cell r="L95">
            <v>-68.089999999996508</v>
          </cell>
          <cell r="M95">
            <v>-82.209999999991851</v>
          </cell>
        </row>
        <row r="96">
          <cell r="C96">
            <v>-88.120000000002619</v>
          </cell>
          <cell r="D96">
            <v>-101.70999999999185</v>
          </cell>
          <cell r="E96">
            <v>-237.22000000000116</v>
          </cell>
          <cell r="F96">
            <v>-194.33999999999651</v>
          </cell>
          <cell r="G96">
            <v>-145.93000000000757</v>
          </cell>
          <cell r="H96">
            <v>-447.42999999999302</v>
          </cell>
          <cell r="I96">
            <v>-354.51000000000931</v>
          </cell>
          <cell r="J96">
            <v>-312.64000000001397</v>
          </cell>
          <cell r="K96">
            <v>-392.3399999999674</v>
          </cell>
          <cell r="L96">
            <v>-102.92000000001281</v>
          </cell>
          <cell r="M96">
            <v>-124.27000000000407</v>
          </cell>
        </row>
        <row r="97">
          <cell r="C97">
            <v>-67.799999999908323</v>
          </cell>
          <cell r="D97">
            <v>-78.25</v>
          </cell>
          <cell r="E97">
            <v>-182.50000000001455</v>
          </cell>
          <cell r="F97">
            <v>-149.5</v>
          </cell>
          <cell r="G97">
            <v>-112.24000000001979</v>
          </cell>
          <cell r="H97">
            <v>-344.17999999999302</v>
          </cell>
          <cell r="I97">
            <v>-272.72000000000116</v>
          </cell>
          <cell r="J97">
            <v>-240.50999999983469</v>
          </cell>
          <cell r="K97">
            <v>-301.82000000000698</v>
          </cell>
          <cell r="L97">
            <v>-79.17000000004191</v>
          </cell>
          <cell r="M97">
            <v>-95.590000000098371</v>
          </cell>
        </row>
      </sheetData>
      <sheetData sheetId="1" refreshError="1"/>
      <sheetData sheetId="2">
        <row r="68">
          <cell r="C68">
            <v>0.26000000000004775</v>
          </cell>
          <cell r="D68">
            <v>0.81999999999993634</v>
          </cell>
          <cell r="E68">
            <v>1.3700000000001182</v>
          </cell>
          <cell r="F68">
            <v>2.0799999999999272</v>
          </cell>
          <cell r="G68">
            <v>2.0399999999999636</v>
          </cell>
          <cell r="H68">
            <v>2.8800000000001091</v>
          </cell>
          <cell r="I68">
            <v>4.0199999999999818</v>
          </cell>
          <cell r="J68">
            <v>4.9500000000000455</v>
          </cell>
          <cell r="K68">
            <v>5.9200000000000728</v>
          </cell>
          <cell r="L68">
            <v>6.6100000000000136</v>
          </cell>
          <cell r="M68">
            <v>6.9099999999999682</v>
          </cell>
        </row>
        <row r="69">
          <cell r="C69">
            <v>-8.00000000000054E-2</v>
          </cell>
          <cell r="D69">
            <v>-0.21999999999999886</v>
          </cell>
          <cell r="E69">
            <v>-0.37000000000000455</v>
          </cell>
          <cell r="F69">
            <v>-0.56000000000000227</v>
          </cell>
          <cell r="G69">
            <v>-0.55000000000001137</v>
          </cell>
          <cell r="H69">
            <v>-0.78000000000000114</v>
          </cell>
          <cell r="I69">
            <v>-1.0999999999999943</v>
          </cell>
          <cell r="J69">
            <v>-1.3499999999999943</v>
          </cell>
          <cell r="K69">
            <v>-1.6099999999999994</v>
          </cell>
          <cell r="L69">
            <v>-1.8000000000000114</v>
          </cell>
          <cell r="M69">
            <v>-1.8800000000000026</v>
          </cell>
        </row>
        <row r="70">
          <cell r="C70">
            <v>-0.10999999999999943</v>
          </cell>
          <cell r="D70">
            <v>-0.32999999999998408</v>
          </cell>
          <cell r="E70">
            <v>-0.56000000000000227</v>
          </cell>
          <cell r="F70">
            <v>-0.86000000000001364</v>
          </cell>
          <cell r="G70">
            <v>-0.84000000000003183</v>
          </cell>
          <cell r="H70">
            <v>-1.1899999999999977</v>
          </cell>
          <cell r="I70">
            <v>-1.6599999999999966</v>
          </cell>
          <cell r="J70">
            <v>-2.0400000000000205</v>
          </cell>
          <cell r="K70">
            <v>-2.4300000000000068</v>
          </cell>
          <cell r="L70">
            <v>-2.7100000000000364</v>
          </cell>
          <cell r="M70">
            <v>-2.839999999999975</v>
          </cell>
        </row>
        <row r="71">
          <cell r="C71">
            <v>-8.00000000000054E-2</v>
          </cell>
          <cell r="D71">
            <v>-0.25999999999999091</v>
          </cell>
          <cell r="E71">
            <v>-0.4299999999999784</v>
          </cell>
          <cell r="F71">
            <v>-0.65999999999999659</v>
          </cell>
          <cell r="G71">
            <v>-0.64000000000001478</v>
          </cell>
          <cell r="H71">
            <v>-0.90999999999999659</v>
          </cell>
          <cell r="I71">
            <v>-1.2700000000000102</v>
          </cell>
          <cell r="J71">
            <v>-1.5699999999999932</v>
          </cell>
          <cell r="K71">
            <v>-1.8699999999999903</v>
          </cell>
          <cell r="L71">
            <v>-2.0999999999999943</v>
          </cell>
          <cell r="M71">
            <v>-2.1899999999999977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12020 12052020"/>
      <sheetName val="Input"/>
      <sheetName val="Program Descriptions"/>
    </sheetNames>
    <sheetDataSet>
      <sheetData sheetId="0">
        <row r="26">
          <cell r="N26">
            <v>510614.97</v>
          </cell>
          <cell r="O26">
            <v>133904.57</v>
          </cell>
          <cell r="Q26">
            <v>119239.37</v>
          </cell>
          <cell r="R26">
            <v>66739.97000000003</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22020 01112021"/>
      <sheetName val="Input"/>
      <sheetName val="Program Descriptions"/>
    </sheetNames>
    <sheetDataSet>
      <sheetData sheetId="0">
        <row r="26">
          <cell r="N26">
            <v>642005.38</v>
          </cell>
          <cell r="O26">
            <v>426028.98</v>
          </cell>
          <cell r="Q26">
            <v>399095.11</v>
          </cell>
          <cell r="R26">
            <v>100909.4</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0"/>
  <sheetViews>
    <sheetView tabSelected="1" zoomScale="96" zoomScaleNormal="96" workbookViewId="0">
      <pane xSplit="2" ySplit="3" topLeftCell="C4" activePane="bottomRight" state="frozen"/>
      <selection activeCell="J8" sqref="J8"/>
      <selection pane="topRight" activeCell="J8" sqref="J8"/>
      <selection pane="bottomLeft" activeCell="J8" sqref="J8"/>
      <selection pane="bottomRight" activeCell="J15" sqref="J15"/>
    </sheetView>
  </sheetViews>
  <sheetFormatPr defaultRowHeight="14.5" outlineLevelCol="1" x14ac:dyDescent="0.35"/>
  <cols>
    <col min="2" max="2" width="25.1796875" customWidth="1"/>
    <col min="3" max="3" width="16" bestFit="1" customWidth="1"/>
    <col min="4" max="4" width="15.54296875" customWidth="1"/>
    <col min="5" max="5" width="15.453125" bestFit="1" customWidth="1"/>
    <col min="6" max="6" width="11.7265625" bestFit="1" customWidth="1"/>
    <col min="7" max="7" width="19.1796875" bestFit="1" customWidth="1"/>
    <col min="8" max="8" width="14.26953125" bestFit="1" customWidth="1"/>
    <col min="9" max="9" width="3.54296875" customWidth="1"/>
    <col min="10" max="10" width="13.7265625" bestFit="1" customWidth="1"/>
    <col min="11" max="11" width="13" bestFit="1" customWidth="1"/>
    <col min="12" max="13" width="13.7265625" bestFit="1" customWidth="1"/>
    <col min="14" max="14" width="11.7265625" bestFit="1" customWidth="1"/>
    <col min="15" max="15" width="37.1796875" customWidth="1" outlineLevel="1"/>
    <col min="16" max="16" width="19.26953125" customWidth="1" outlineLevel="1"/>
    <col min="17" max="17" width="16" style="47" customWidth="1" outlineLevel="1"/>
    <col min="18" max="18" width="9.1796875" customWidth="1" outlineLevel="1"/>
    <col min="19" max="20" width="16.7265625" bestFit="1" customWidth="1" outlineLevel="1"/>
    <col min="21" max="21" width="16.7265625" style="47" bestFit="1" customWidth="1" outlineLevel="1"/>
    <col min="22" max="22" width="16.7265625" bestFit="1" customWidth="1" outlineLevel="1"/>
    <col min="23" max="23" width="9.1796875" customWidth="1" outlineLevel="1"/>
    <col min="24" max="25" width="16.7265625" bestFit="1" customWidth="1" outlineLevel="1"/>
    <col min="26" max="27" width="16" bestFit="1" customWidth="1" outlineLevel="1"/>
    <col min="28" max="28" width="12" bestFit="1" customWidth="1"/>
  </cols>
  <sheetData>
    <row r="1" spans="1:28" x14ac:dyDescent="0.35">
      <c r="A1" s="3" t="str">
        <f>+'PPC Cycle 3'!A1</f>
        <v>Evergy Missouri West, Inc. - DSIM Rider Update Filed 06/01/2021</v>
      </c>
    </row>
    <row r="2" spans="1:28" ht="15" thickBot="1" x14ac:dyDescent="0.4">
      <c r="H2" s="47"/>
      <c r="I2" s="47"/>
      <c r="J2" s="49"/>
      <c r="K2" s="49"/>
    </row>
    <row r="3" spans="1:28" ht="27.5" thickBot="1" x14ac:dyDescent="0.4">
      <c r="B3" s="88" t="s">
        <v>7</v>
      </c>
      <c r="C3" s="131" t="s">
        <v>19</v>
      </c>
      <c r="D3" s="131" t="s">
        <v>20</v>
      </c>
      <c r="E3" s="131" t="s">
        <v>57</v>
      </c>
      <c r="F3" s="131" t="s">
        <v>21</v>
      </c>
      <c r="G3" s="131" t="s">
        <v>38</v>
      </c>
      <c r="H3" s="90" t="s">
        <v>28</v>
      </c>
      <c r="I3" s="40"/>
      <c r="J3" s="89" t="s">
        <v>13</v>
      </c>
      <c r="K3" s="90" t="s">
        <v>56</v>
      </c>
      <c r="L3" s="90" t="s">
        <v>72</v>
      </c>
      <c r="M3" s="90" t="s">
        <v>73</v>
      </c>
    </row>
    <row r="4" spans="1:28" ht="15" thickBot="1" x14ac:dyDescent="0.4">
      <c r="B4" s="91" t="s">
        <v>24</v>
      </c>
      <c r="C4" s="129">
        <f t="shared" ref="C4:F7" si="0">C12+C20</f>
        <v>8624141.8423199989</v>
      </c>
      <c r="D4" s="130">
        <f t="shared" si="0"/>
        <v>5988643.2010000004</v>
      </c>
      <c r="E4" s="130">
        <f t="shared" si="0"/>
        <v>781744.51581999974</v>
      </c>
      <c r="F4" s="130">
        <f t="shared" si="0"/>
        <v>-25.75</v>
      </c>
      <c r="G4" s="133">
        <f>+'PPC Cycle 3'!B5</f>
        <v>3552314165</v>
      </c>
      <c r="H4" s="134">
        <f>ROUND(SUM(C4:F4)/G4,5)</f>
        <v>4.3299999999999996E-3</v>
      </c>
      <c r="I4" s="135"/>
      <c r="J4" s="293">
        <f>ROUND((C12+C20)/G4,5)-0.00001</f>
        <v>2.4199999999999998E-3</v>
      </c>
      <c r="K4" s="136">
        <f>ROUND((D12+D20)/G4,5)</f>
        <v>1.6900000000000001E-3</v>
      </c>
      <c r="L4" s="136">
        <f>ROUND((E12+E20)/G4,5)</f>
        <v>2.2000000000000001E-4</v>
      </c>
      <c r="M4" s="136">
        <f>ROUND((F12+F20)/G4,5)</f>
        <v>0</v>
      </c>
      <c r="N4" s="266">
        <f>+H4-SUM(J4:M4)</f>
        <v>0</v>
      </c>
      <c r="O4" s="274"/>
      <c r="P4" s="274"/>
      <c r="Q4" s="274"/>
      <c r="R4" s="274"/>
      <c r="S4" s="274"/>
    </row>
    <row r="5" spans="1:28" ht="15" thickBot="1" x14ac:dyDescent="0.4">
      <c r="B5" s="91" t="s">
        <v>108</v>
      </c>
      <c r="C5" s="129">
        <f t="shared" si="0"/>
        <v>1539536.6100000003</v>
      </c>
      <c r="D5" s="130">
        <f t="shared" si="0"/>
        <v>1156905.7603</v>
      </c>
      <c r="E5" s="130">
        <f t="shared" si="0"/>
        <v>1076669.77</v>
      </c>
      <c r="F5" s="130">
        <f t="shared" si="0"/>
        <v>-2068.0500000000002</v>
      </c>
      <c r="G5" s="133">
        <f>+'PPC Cycle 3'!B6</f>
        <v>1158179831</v>
      </c>
      <c r="H5" s="134">
        <f>ROUND(SUM(C5:F5)/G5,5)</f>
        <v>3.2599999999999999E-3</v>
      </c>
      <c r="I5" s="135"/>
      <c r="J5" s="199">
        <f>ROUND((C13+C21)/G5,5)</f>
        <v>1.33E-3</v>
      </c>
      <c r="K5" s="136">
        <f>ROUND((D13+D21)/G5,5)</f>
        <v>1E-3</v>
      </c>
      <c r="L5" s="136">
        <f>ROUND((E13+E21)/G5,5)</f>
        <v>9.3000000000000005E-4</v>
      </c>
      <c r="M5" s="136">
        <f>ROUND((F13+F21)/G5,5)</f>
        <v>0</v>
      </c>
      <c r="N5" s="266">
        <f t="shared" ref="N5:N7" si="1">+H5-SUM(J5:M5)</f>
        <v>0</v>
      </c>
      <c r="O5" s="274"/>
      <c r="P5" s="274"/>
      <c r="Q5" s="274"/>
      <c r="R5" s="274"/>
      <c r="S5" s="274"/>
    </row>
    <row r="6" spans="1:28" s="47" customFormat="1" ht="15" thickBot="1" x14ac:dyDescent="0.4">
      <c r="B6" s="91" t="s">
        <v>109</v>
      </c>
      <c r="C6" s="129">
        <f t="shared" si="0"/>
        <v>2791235.8700000006</v>
      </c>
      <c r="D6" s="130">
        <f t="shared" si="0"/>
        <v>1003285.28039</v>
      </c>
      <c r="E6" s="130">
        <f t="shared" si="0"/>
        <v>1198954.3</v>
      </c>
      <c r="F6" s="130">
        <f t="shared" si="0"/>
        <v>-2396.46</v>
      </c>
      <c r="G6" s="133">
        <f>+'PPC Cycle 3'!B7</f>
        <v>1153447148</v>
      </c>
      <c r="H6" s="279">
        <f>ROUND(SUM(C6:F6)/G6,5)+0.00001</f>
        <v>4.3399999999999992E-3</v>
      </c>
      <c r="I6" s="135"/>
      <c r="J6" s="294">
        <f>ROUND((C14+C22)/G6,5)+0.00001</f>
        <v>2.4299999999999999E-3</v>
      </c>
      <c r="K6" s="136">
        <f>ROUND((D14+D22)/G6,5)</f>
        <v>8.7000000000000001E-4</v>
      </c>
      <c r="L6" s="136">
        <f>ROUND((E14+E22)/G6,5)</f>
        <v>1.0399999999999999E-3</v>
      </c>
      <c r="M6" s="136">
        <f>ROUND((F14+F22)/G6,5)</f>
        <v>0</v>
      </c>
      <c r="N6" s="266">
        <f t="shared" si="1"/>
        <v>0</v>
      </c>
      <c r="O6" s="274"/>
      <c r="P6" s="274"/>
      <c r="Q6" s="274"/>
      <c r="R6" s="274"/>
      <c r="S6" s="274"/>
    </row>
    <row r="7" spans="1:28" s="47" customFormat="1" ht="15" thickBot="1" x14ac:dyDescent="0.4">
      <c r="B7" s="91" t="s">
        <v>110</v>
      </c>
      <c r="C7" s="129">
        <f t="shared" si="0"/>
        <v>1606993</v>
      </c>
      <c r="D7" s="130">
        <f t="shared" si="0"/>
        <v>245211.23434999998</v>
      </c>
      <c r="E7" s="130">
        <f t="shared" si="0"/>
        <v>412888.68999999994</v>
      </c>
      <c r="F7" s="130">
        <f t="shared" si="0"/>
        <v>-809.87</v>
      </c>
      <c r="G7" s="133">
        <f>+'PPC Cycle 3'!B8</f>
        <v>813865313</v>
      </c>
      <c r="H7" s="134">
        <f>ROUND(SUM(C7:F7)/G7,5)</f>
        <v>2.7799999999999999E-3</v>
      </c>
      <c r="I7" s="135"/>
      <c r="J7" s="262">
        <f>ROUND((C15+C23)/G7,5)</f>
        <v>1.97E-3</v>
      </c>
      <c r="K7" s="136">
        <f>ROUND((D15+D23)/G7,5)</f>
        <v>2.9999999999999997E-4</v>
      </c>
      <c r="L7" s="136">
        <f>ROUND((E15+E23)/G7,5)</f>
        <v>5.1000000000000004E-4</v>
      </c>
      <c r="M7" s="136">
        <f>ROUND((F15+F23)/G7,5)</f>
        <v>0</v>
      </c>
      <c r="N7" s="266">
        <f t="shared" si="1"/>
        <v>0</v>
      </c>
      <c r="O7" s="274"/>
      <c r="P7" s="274"/>
      <c r="Q7" s="274"/>
      <c r="R7" s="274"/>
      <c r="S7" s="274"/>
    </row>
    <row r="8" spans="1:28" x14ac:dyDescent="0.35">
      <c r="C8" s="128"/>
      <c r="D8" s="128"/>
      <c r="E8" s="128"/>
      <c r="F8" s="128"/>
      <c r="G8" s="127"/>
    </row>
    <row r="9" spans="1:28" x14ac:dyDescent="0.35">
      <c r="C9" s="128"/>
      <c r="D9" s="128"/>
      <c r="E9" s="128"/>
      <c r="F9" s="128"/>
      <c r="G9" s="127"/>
      <c r="H9" s="296"/>
      <c r="I9" s="152"/>
      <c r="J9" s="296"/>
      <c r="K9" s="296"/>
      <c r="L9" s="296"/>
      <c r="M9" s="296"/>
    </row>
    <row r="10" spans="1:28" ht="15" thickBot="1" x14ac:dyDescent="0.4">
      <c r="C10" s="128"/>
      <c r="D10" s="128"/>
      <c r="E10" s="128"/>
      <c r="F10" s="128"/>
      <c r="G10" s="127"/>
      <c r="H10" s="297"/>
      <c r="I10" s="295"/>
      <c r="J10" s="297"/>
      <c r="K10" s="297"/>
      <c r="L10" s="297"/>
      <c r="M10" s="297"/>
    </row>
    <row r="11" spans="1:28" ht="15" thickBot="1" x14ac:dyDescent="0.4">
      <c r="B11" s="88" t="s">
        <v>7</v>
      </c>
      <c r="C11" s="132" t="s">
        <v>6</v>
      </c>
      <c r="D11" s="132" t="s">
        <v>16</v>
      </c>
      <c r="E11" s="132" t="s">
        <v>58</v>
      </c>
      <c r="F11" s="132" t="s">
        <v>17</v>
      </c>
      <c r="G11" s="127"/>
      <c r="H11" s="297"/>
      <c r="I11" s="295"/>
      <c r="J11" s="297"/>
      <c r="K11" s="297"/>
      <c r="L11" s="297"/>
      <c r="M11" s="297"/>
      <c r="O11" s="132" t="s">
        <v>74</v>
      </c>
      <c r="P11" s="132" t="s">
        <v>75</v>
      </c>
      <c r="Q11" s="132" t="s">
        <v>82</v>
      </c>
      <c r="R11" s="47"/>
      <c r="S11" s="132" t="s">
        <v>76</v>
      </c>
      <c r="T11" s="132" t="s">
        <v>77</v>
      </c>
      <c r="U11" s="132" t="s">
        <v>104</v>
      </c>
      <c r="V11" s="132" t="s">
        <v>94</v>
      </c>
      <c r="X11" s="132" t="s">
        <v>115</v>
      </c>
      <c r="Y11" s="132" t="s">
        <v>116</v>
      </c>
      <c r="Z11" s="132" t="s">
        <v>117</v>
      </c>
      <c r="AA11" s="132" t="s">
        <v>118</v>
      </c>
    </row>
    <row r="12" spans="1:28" ht="15" thickBot="1" x14ac:dyDescent="0.4">
      <c r="B12" s="91" t="s">
        <v>24</v>
      </c>
      <c r="C12" s="130">
        <f>+'PPC Cycle 3'!C5</f>
        <v>9413167.1899999995</v>
      </c>
      <c r="D12" s="130">
        <f>'PTD Cycle 2'!C6+'PTD Cycle 3'!C6</f>
        <v>6150949.5999999996</v>
      </c>
      <c r="E12" s="130">
        <f>+'EO Cycle 2'!G7</f>
        <v>905000.82000000007</v>
      </c>
      <c r="F12" s="129">
        <f>+'OA Cycle 2'!F8</f>
        <v>-25.75</v>
      </c>
      <c r="G12" s="127"/>
      <c r="H12" s="298"/>
      <c r="I12" s="295"/>
      <c r="J12" s="297"/>
      <c r="K12" s="297"/>
      <c r="L12" s="297"/>
      <c r="M12" s="297"/>
      <c r="O12" s="186">
        <v>0</v>
      </c>
      <c r="P12" s="186">
        <v>0</v>
      </c>
      <c r="Q12" s="231">
        <v>0</v>
      </c>
      <c r="R12" s="160"/>
      <c r="S12" s="159">
        <v>0</v>
      </c>
      <c r="T12" s="159">
        <f>ROUND(+'PTD Cycle 2'!C6/'tariff tables'!G4,5)</f>
        <v>4.0000000000000002E-4</v>
      </c>
      <c r="U12" s="159">
        <f>ROUND('EO Cycle 2'!G7/'tariff tables'!G4,5)</f>
        <v>2.5000000000000001E-4</v>
      </c>
      <c r="V12" s="159">
        <f>ROUND('OA Cycle 2'!F8/'tariff tables'!G4,5)</f>
        <v>0</v>
      </c>
      <c r="X12" s="159">
        <f>ROUND('PPC Cycle 3'!C5/'tariff tables'!$G4,5)</f>
        <v>2.65E-3</v>
      </c>
      <c r="Y12" s="159">
        <f>ROUND('PTD Cycle 3'!C6/'tariff tables'!G4,5)</f>
        <v>1.33E-3</v>
      </c>
      <c r="Z12" s="159">
        <f>ROUND(0/'tariff tables'!G4,5)</f>
        <v>0</v>
      </c>
      <c r="AA12" s="159">
        <f>ROUND(0/'tariff tables'!G4,5)</f>
        <v>0</v>
      </c>
      <c r="AB12" s="160">
        <f>SUM(O12:AA12,O20:AA20)</f>
        <v>4.3300000000000005E-3</v>
      </c>
    </row>
    <row r="13" spans="1:28" ht="15" thickBot="1" x14ac:dyDescent="0.4">
      <c r="B13" s="91" t="s">
        <v>108</v>
      </c>
      <c r="C13" s="130">
        <f>+'PPC Cycle 3'!C6</f>
        <v>1820372.46</v>
      </c>
      <c r="D13" s="130">
        <f>'PTD Cycle 2'!C10+'PTD Cycle 3'!C7</f>
        <v>1319745.25</v>
      </c>
      <c r="E13" s="130">
        <f>+'EO Cycle 2'!G11</f>
        <v>1005989.5700000001</v>
      </c>
      <c r="F13" s="129">
        <f>+'OA Cycle 2'!D13</f>
        <v>-2068.0500000000002</v>
      </c>
      <c r="G13" s="127"/>
      <c r="H13" s="297"/>
      <c r="I13" s="295"/>
      <c r="J13" s="299"/>
      <c r="K13" s="297"/>
      <c r="L13" s="297"/>
      <c r="M13" s="297"/>
      <c r="O13" s="186">
        <v>0</v>
      </c>
      <c r="P13" s="186">
        <v>0</v>
      </c>
      <c r="Q13" s="231">
        <v>0</v>
      </c>
      <c r="R13" s="160"/>
      <c r="S13" s="159">
        <v>0</v>
      </c>
      <c r="T13" s="186">
        <f>ROUND(+'PTD Cycle 2'!C10/'tariff tables'!G5,5)</f>
        <v>5.1999999999999995E-4</v>
      </c>
      <c r="U13" s="231">
        <f>ROUND('EO Cycle 2'!G11/'tariff tables'!G5,5)</f>
        <v>8.7000000000000001E-4</v>
      </c>
      <c r="V13" s="186">
        <f>ROUND('OA Cycle 2'!D13/'tariff tables'!G5,5)</f>
        <v>0</v>
      </c>
      <c r="X13" s="159">
        <f>ROUND('PPC Cycle 3'!C6/'tariff tables'!$G5,5)</f>
        <v>1.57E-3</v>
      </c>
      <c r="Y13" s="159">
        <f>ROUND('PTD Cycle 3'!C7/'tariff tables'!G5,5)</f>
        <v>6.2E-4</v>
      </c>
      <c r="Z13" s="159">
        <f>ROUND(0/'tariff tables'!G5,5)</f>
        <v>0</v>
      </c>
      <c r="AA13" s="159">
        <f>ROUND(0/'tariff tables'!G5,5)</f>
        <v>0</v>
      </c>
      <c r="AB13" s="160">
        <f>SUM(O13:AA13,O21:AA21)</f>
        <v>3.2599999999999999E-3</v>
      </c>
    </row>
    <row r="14" spans="1:28" s="47" customFormat="1" ht="15" thickBot="1" x14ac:dyDescent="0.4">
      <c r="B14" s="91" t="s">
        <v>109</v>
      </c>
      <c r="C14" s="130">
        <f>+'PPC Cycle 3'!C7</f>
        <v>2732402.49</v>
      </c>
      <c r="D14" s="130">
        <f>'PTD Cycle 2'!C11+'PTD Cycle 3'!C8</f>
        <v>1069596.21</v>
      </c>
      <c r="E14" s="130">
        <f>+'EO Cycle 2'!G12</f>
        <v>1117049.75</v>
      </c>
      <c r="F14" s="129">
        <f>+'OA Cycle 2'!D14</f>
        <v>-2396.46</v>
      </c>
      <c r="G14" s="127"/>
      <c r="J14" s="157"/>
      <c r="K14" s="17"/>
      <c r="O14" s="186">
        <v>0</v>
      </c>
      <c r="P14" s="186">
        <v>0</v>
      </c>
      <c r="Q14" s="246">
        <v>0</v>
      </c>
      <c r="R14" s="247"/>
      <c r="S14" s="193">
        <v>0</v>
      </c>
      <c r="T14" s="248">
        <f>ROUND(+'PTD Cycle 2'!C11/'tariff tables'!G6,5)</f>
        <v>4.4000000000000002E-4</v>
      </c>
      <c r="U14" s="246">
        <f>ROUND('EO Cycle 2'!G12/'tariff tables'!G6,5)</f>
        <v>9.7000000000000005E-4</v>
      </c>
      <c r="V14" s="186">
        <f>ROUND('OA Cycle 2'!D14/'tariff tables'!G6,5)</f>
        <v>0</v>
      </c>
      <c r="X14" s="159">
        <f>ROUND('PPC Cycle 3'!C7/'tariff tables'!$G6,5)</f>
        <v>2.3700000000000001E-3</v>
      </c>
      <c r="Y14" s="159">
        <f>ROUND('PTD Cycle 3'!C8/'tariff tables'!G6,5)</f>
        <v>4.8000000000000001E-4</v>
      </c>
      <c r="Z14" s="159">
        <f>ROUND(0/'tariff tables'!G6,5)</f>
        <v>0</v>
      </c>
      <c r="AA14" s="159">
        <f>ROUND(0/'tariff tables'!G6,5)</f>
        <v>0</v>
      </c>
      <c r="AB14" s="160">
        <f>SUM(O14:AA14,O22:AA22)</f>
        <v>4.340000000000001E-3</v>
      </c>
    </row>
    <row r="15" spans="1:28" s="47" customFormat="1" ht="15" thickBot="1" x14ac:dyDescent="0.4">
      <c r="B15" s="91" t="s">
        <v>110</v>
      </c>
      <c r="C15" s="130">
        <f>+'PPC Cycle 3'!C8</f>
        <v>2059823.57</v>
      </c>
      <c r="D15" s="130">
        <f>'PTD Cycle 2'!C12+'PTD Cycle 3'!C9</f>
        <v>277408.86</v>
      </c>
      <c r="E15" s="130">
        <f>+'EO Cycle 2'!G13</f>
        <v>385209.51999999996</v>
      </c>
      <c r="F15" s="129">
        <f>+'OA Cycle 2'!D15</f>
        <v>-809.87</v>
      </c>
      <c r="G15" s="127"/>
      <c r="J15" s="157"/>
      <c r="K15" s="17"/>
      <c r="O15" s="186">
        <v>0</v>
      </c>
      <c r="P15" s="186">
        <v>0</v>
      </c>
      <c r="Q15" s="246">
        <v>0</v>
      </c>
      <c r="R15" s="247"/>
      <c r="S15" s="193">
        <v>0</v>
      </c>
      <c r="T15" s="248">
        <f>ROUND(+'PTD Cycle 2'!C12/'tariff tables'!G7,5)</f>
        <v>1.1E-4</v>
      </c>
      <c r="U15" s="246">
        <f>ROUND('EO Cycle 2'!G13/'tariff tables'!G7,5)</f>
        <v>4.6999999999999999E-4</v>
      </c>
      <c r="V15" s="186">
        <f>ROUND('OA Cycle 2'!D15/'tariff tables'!G7,5)</f>
        <v>0</v>
      </c>
      <c r="X15" s="159">
        <f>ROUND('PPC Cycle 3'!C8/'tariff tables'!$G7,5)</f>
        <v>2.5300000000000001E-3</v>
      </c>
      <c r="Y15" s="159">
        <f>ROUND('PTD Cycle 3'!C9/'tariff tables'!G7,5)</f>
        <v>2.3000000000000001E-4</v>
      </c>
      <c r="Z15" s="159">
        <f>ROUND(0/'tariff tables'!G7,5)</f>
        <v>0</v>
      </c>
      <c r="AA15" s="159">
        <f>ROUND(0/'tariff tables'!G7,5)</f>
        <v>0</v>
      </c>
      <c r="AB15" s="160">
        <f>SUM(O15:AA15,O23:AA23)</f>
        <v>2.7799999999999999E-3</v>
      </c>
    </row>
    <row r="16" spans="1:28" x14ac:dyDescent="0.35">
      <c r="C16" s="128"/>
      <c r="D16" s="128"/>
      <c r="E16" s="128"/>
      <c r="F16" s="128"/>
      <c r="G16" s="127"/>
      <c r="J16" s="17"/>
      <c r="K16" s="17"/>
      <c r="O16" s="187"/>
      <c r="P16" s="187"/>
      <c r="Q16" s="249"/>
      <c r="R16" s="247"/>
      <c r="S16" s="247"/>
      <c r="T16" s="247"/>
      <c r="U16" s="247"/>
      <c r="V16" s="160"/>
      <c r="X16" s="160"/>
      <c r="Y16" s="160"/>
      <c r="Z16" s="160"/>
      <c r="AA16" s="160"/>
    </row>
    <row r="17" spans="2:27" x14ac:dyDescent="0.35">
      <c r="C17" s="128"/>
      <c r="D17" s="128"/>
      <c r="E17" s="128"/>
      <c r="F17" s="128"/>
      <c r="G17" s="127"/>
      <c r="J17" s="17"/>
      <c r="K17" s="17"/>
      <c r="O17" s="187"/>
      <c r="P17" s="187"/>
      <c r="Q17" s="249"/>
      <c r="R17" s="247"/>
      <c r="S17" s="247"/>
      <c r="T17" s="247"/>
      <c r="U17" s="247"/>
      <c r="V17" s="160"/>
      <c r="X17" s="160"/>
      <c r="Y17" s="160"/>
      <c r="Z17" s="160"/>
      <c r="AA17" s="160"/>
    </row>
    <row r="18" spans="2:27" ht="15" thickBot="1" x14ac:dyDescent="0.4">
      <c r="C18" s="128"/>
      <c r="D18" s="128"/>
      <c r="E18" s="128"/>
      <c r="F18" s="128"/>
      <c r="G18" s="127"/>
      <c r="J18" s="17"/>
      <c r="K18" s="17"/>
      <c r="O18" s="187"/>
      <c r="P18" s="187"/>
      <c r="Q18" s="249"/>
      <c r="R18" s="247"/>
      <c r="S18" s="247"/>
      <c r="T18" s="247"/>
      <c r="U18" s="247"/>
      <c r="V18" s="160"/>
      <c r="X18" s="160"/>
      <c r="Y18" s="160"/>
      <c r="Z18" s="160"/>
      <c r="AA18" s="160"/>
    </row>
    <row r="19" spans="2:27" ht="15" thickBot="1" x14ac:dyDescent="0.4">
      <c r="B19" s="88" t="s">
        <v>7</v>
      </c>
      <c r="C19" s="132" t="s">
        <v>4</v>
      </c>
      <c r="D19" s="132" t="s">
        <v>9</v>
      </c>
      <c r="E19" s="132" t="s">
        <v>59</v>
      </c>
      <c r="F19" s="132" t="s">
        <v>18</v>
      </c>
      <c r="G19" s="127"/>
      <c r="O19" s="188" t="s">
        <v>78</v>
      </c>
      <c r="P19" s="188" t="s">
        <v>79</v>
      </c>
      <c r="Q19" s="250" t="s">
        <v>83</v>
      </c>
      <c r="R19" s="247"/>
      <c r="S19" s="251" t="s">
        <v>80</v>
      </c>
      <c r="T19" s="251" t="s">
        <v>81</v>
      </c>
      <c r="U19" s="250" t="s">
        <v>107</v>
      </c>
      <c r="V19" s="161" t="s">
        <v>95</v>
      </c>
      <c r="X19" s="161" t="s">
        <v>119</v>
      </c>
      <c r="Y19" s="161" t="s">
        <v>120</v>
      </c>
      <c r="Z19" s="188" t="s">
        <v>121</v>
      </c>
      <c r="AA19" s="161" t="s">
        <v>122</v>
      </c>
    </row>
    <row r="20" spans="2:27" ht="15" thickBot="1" x14ac:dyDescent="0.4">
      <c r="B20" s="91" t="s">
        <v>24</v>
      </c>
      <c r="C20" s="130">
        <f>+'PCR Cycle 3'!K4+'PCR Cycle 2'!J4</f>
        <v>-789025.34767999989</v>
      </c>
      <c r="D20" s="130">
        <f>'TDR Cycle 3'!K4+'TDR Cycle 2'!K4</f>
        <v>-162306.39899999954</v>
      </c>
      <c r="E20" s="130">
        <f>+'EOR Cycle 2'!I4</f>
        <v>-123256.3041800003</v>
      </c>
      <c r="F20" s="129">
        <f>+'OAR Cycle 2'!I4</f>
        <v>0</v>
      </c>
      <c r="G20" s="127"/>
      <c r="O20" s="186">
        <v>0</v>
      </c>
      <c r="P20" s="186">
        <v>0</v>
      </c>
      <c r="Q20" s="248">
        <v>0</v>
      </c>
      <c r="R20" s="247"/>
      <c r="S20" s="193">
        <f>ROUND(+'PCR Cycle 2'!J4/'tariff tables'!G4,5)</f>
        <v>0</v>
      </c>
      <c r="T20" s="193">
        <f>ROUND(+'TDR Cycle 2'!K4/'tariff tables'!G4,5)</f>
        <v>0</v>
      </c>
      <c r="U20" s="193">
        <f>ROUND('EOR Cycle 2'!I4/'tariff tables'!G4,5)</f>
        <v>-3.0000000000000001E-5</v>
      </c>
      <c r="V20" s="193">
        <f>ROUND('OAR Cycle 2'!I4/'tariff tables'!G4,5)</f>
        <v>0</v>
      </c>
      <c r="X20" s="278">
        <f>ROUND('PCR Cycle 3'!K4/'tariff tables'!G4,5)-0.00001</f>
        <v>-2.3000000000000001E-4</v>
      </c>
      <c r="Y20" s="193">
        <f>ROUND('TDR Cycle 3'!K4/'tariff tables'!G4,5)</f>
        <v>-4.0000000000000003E-5</v>
      </c>
      <c r="Z20" s="193">
        <f>ROUND(0/'tariff tables'!G4,5)</f>
        <v>0</v>
      </c>
      <c r="AA20" s="193">
        <f>ROUND(0/'tariff tables'!G4,5)</f>
        <v>0</v>
      </c>
    </row>
    <row r="21" spans="2:27" ht="15" thickBot="1" x14ac:dyDescent="0.4">
      <c r="B21" s="91" t="s">
        <v>108</v>
      </c>
      <c r="C21" s="130">
        <f>'PCR Cycle 3'!K5+'PCR Cycle 2'!J8</f>
        <v>-280835.84999999969</v>
      </c>
      <c r="D21" s="130">
        <f>'TDR Cycle 3'!K5+'TDR Cycle 2'!K8</f>
        <v>-162839.48970000003</v>
      </c>
      <c r="E21" s="130">
        <f>+'EOR Cycle 2'!I8</f>
        <v>70680.2</v>
      </c>
      <c r="F21" s="129">
        <f>+'OAR Cycle 2'!I8</f>
        <v>0</v>
      </c>
      <c r="G21" s="127"/>
      <c r="O21" s="186">
        <v>0</v>
      </c>
      <c r="P21" s="186">
        <v>0</v>
      </c>
      <c r="Q21" s="248">
        <v>0</v>
      </c>
      <c r="R21" s="247"/>
      <c r="S21" s="248">
        <f>ROUND(+'PCR Cycle 2'!J8/'tariff tables'!G5,5)</f>
        <v>-5.0000000000000002E-5</v>
      </c>
      <c r="T21" s="248">
        <f>ROUND(+'TDR Cycle 2'!K8/'tariff tables'!G5,5)</f>
        <v>-1.0000000000000001E-5</v>
      </c>
      <c r="U21" s="248">
        <f>ROUND('EOR Cycle 2'!I8/'tariff tables'!G5,5)</f>
        <v>6.0000000000000002E-5</v>
      </c>
      <c r="V21" s="193">
        <f>ROUND('OAR Cycle 2'!I8/'tariff tables'!G5,5)</f>
        <v>0</v>
      </c>
      <c r="X21" s="248">
        <f>ROUND('PCR Cycle 3'!K5/'tariff tables'!G5,5)</f>
        <v>-1.9000000000000001E-4</v>
      </c>
      <c r="Y21" s="193">
        <f>ROUND('TDR Cycle 3'!K5/'tariff tables'!G5,5)</f>
        <v>-1.2999999999999999E-4</v>
      </c>
      <c r="Z21" s="193">
        <f>ROUND(0/'tariff tables'!G5,5)</f>
        <v>0</v>
      </c>
      <c r="AA21" s="193">
        <f>ROUND(0/'tariff tables'!G5,5)</f>
        <v>0</v>
      </c>
    </row>
    <row r="22" spans="2:27" s="47" customFormat="1" ht="15" thickBot="1" x14ac:dyDescent="0.4">
      <c r="B22" s="91" t="s">
        <v>109</v>
      </c>
      <c r="C22" s="130">
        <f>'PCR Cycle 3'!K6+'PCR Cycle 2'!J9</f>
        <v>58833.380000000179</v>
      </c>
      <c r="D22" s="130">
        <f>'TDR Cycle 3'!K6+'TDR Cycle 2'!K9</f>
        <v>-66310.929609999992</v>
      </c>
      <c r="E22" s="130">
        <f>+'EOR Cycle 2'!I9</f>
        <v>81904.55</v>
      </c>
      <c r="F22" s="129">
        <f>+'OAR Cycle 2'!I9</f>
        <v>0</v>
      </c>
      <c r="G22" s="127"/>
      <c r="O22" s="186">
        <v>0</v>
      </c>
      <c r="P22" s="186">
        <v>0</v>
      </c>
      <c r="Q22" s="248">
        <v>0</v>
      </c>
      <c r="R22" s="247"/>
      <c r="S22" s="278">
        <f>ROUND(+'PCR Cycle 2'!J9/'tariff tables'!G6,5)+0.00001</f>
        <v>-5.0000000000000002E-5</v>
      </c>
      <c r="T22" s="278">
        <f>ROUND(+'TDR Cycle 2'!K9/'tariff tables'!G6,5)+0.00001</f>
        <v>0</v>
      </c>
      <c r="U22" s="248">
        <f>ROUND('EOR Cycle 2'!I9/'tariff tables'!G6,5)</f>
        <v>6.9999999999999994E-5</v>
      </c>
      <c r="V22" s="193">
        <f>ROUND('OAR Cycle 2'!I9/'tariff tables'!G6,5)</f>
        <v>0</v>
      </c>
      <c r="X22" s="248">
        <f>ROUND('PCR Cycle 3'!K6/'tariff tables'!G6,5)</f>
        <v>1.1E-4</v>
      </c>
      <c r="Y22" s="193">
        <f>ROUND('TDR Cycle 3'!K6/'tariff tables'!G6,5)</f>
        <v>-5.0000000000000002E-5</v>
      </c>
      <c r="Z22" s="193">
        <f>ROUND(0/'tariff tables'!G6,5)</f>
        <v>0</v>
      </c>
      <c r="AA22" s="193">
        <f>ROUND(0/'tariff tables'!G6,5)</f>
        <v>0</v>
      </c>
    </row>
    <row r="23" spans="2:27" s="47" customFormat="1" ht="15" thickBot="1" x14ac:dyDescent="0.4">
      <c r="B23" s="91" t="s">
        <v>110</v>
      </c>
      <c r="C23" s="130">
        <f>'PCR Cycle 3'!K7+'PCR Cycle 2'!J10</f>
        <v>-452830.57000000012</v>
      </c>
      <c r="D23" s="130">
        <f>'TDR Cycle 3'!K7+'TDR Cycle 2'!K10</f>
        <v>-32197.625650000002</v>
      </c>
      <c r="E23" s="130">
        <f>+'EOR Cycle 2'!I10</f>
        <v>27679.17</v>
      </c>
      <c r="F23" s="129">
        <f>+'OAR Cycle 2'!I10</f>
        <v>0</v>
      </c>
      <c r="G23" s="127"/>
      <c r="O23" s="186">
        <v>0</v>
      </c>
      <c r="P23" s="186">
        <v>0</v>
      </c>
      <c r="Q23" s="248">
        <v>0</v>
      </c>
      <c r="R23" s="247"/>
      <c r="S23" s="248">
        <f>ROUND(+'PCR Cycle 2'!J10/'tariff tables'!G7,5)</f>
        <v>-3.0000000000000001E-5</v>
      </c>
      <c r="T23" s="248">
        <f>ROUND(+'TDR Cycle 2'!K10/'tariff tables'!G7,5)</f>
        <v>0</v>
      </c>
      <c r="U23" s="278">
        <f>ROUND('EOR Cycle 2'!I10/'tariff tables'!G7,5)+0.00001</f>
        <v>4.0000000000000003E-5</v>
      </c>
      <c r="V23" s="193">
        <f>ROUND('OAR Cycle 2'!I10/'tariff tables'!G7,5)</f>
        <v>0</v>
      </c>
      <c r="X23" s="248">
        <f>ROUND('PCR Cycle 3'!K7/'tariff tables'!G7,5)</f>
        <v>-5.2999999999999998E-4</v>
      </c>
      <c r="Y23" s="193">
        <f>ROUND('TDR Cycle 3'!K7/'tariff tables'!G7,5)</f>
        <v>-4.0000000000000003E-5</v>
      </c>
      <c r="Z23" s="193">
        <f>ROUND(0/'tariff tables'!G7,5)</f>
        <v>0</v>
      </c>
      <c r="AA23" s="193">
        <f>ROUND(0/'tariff tables'!G7,5)</f>
        <v>0</v>
      </c>
    </row>
    <row r="24" spans="2:27" x14ac:dyDescent="0.35">
      <c r="O24" s="47"/>
      <c r="P24" s="47"/>
      <c r="R24" s="47"/>
      <c r="S24" s="47"/>
      <c r="T24" s="47"/>
    </row>
    <row r="25" spans="2:27" x14ac:dyDescent="0.35">
      <c r="B25" s="94" t="s">
        <v>39</v>
      </c>
      <c r="R25" t="s">
        <v>152</v>
      </c>
      <c r="S25" s="158">
        <f t="shared" ref="S25:U28" si="2">+J4-O12-O20-S12-S20-X12-X20</f>
        <v>0</v>
      </c>
      <c r="T25" s="158">
        <f t="shared" si="2"/>
        <v>1.1519648082658485E-19</v>
      </c>
      <c r="U25" s="158">
        <f t="shared" si="2"/>
        <v>3.3881317890172014E-21</v>
      </c>
    </row>
    <row r="26" spans="2:27" x14ac:dyDescent="0.35">
      <c r="B26" s="95" t="s">
        <v>40</v>
      </c>
      <c r="R26" t="s">
        <v>153</v>
      </c>
      <c r="S26" s="158">
        <f t="shared" si="2"/>
        <v>0</v>
      </c>
      <c r="T26" s="158">
        <f t="shared" si="2"/>
        <v>0</v>
      </c>
      <c r="U26" s="158">
        <f t="shared" si="2"/>
        <v>4.7433845046240819E-20</v>
      </c>
    </row>
    <row r="27" spans="2:27" x14ac:dyDescent="0.35">
      <c r="B27" s="95" t="s">
        <v>43</v>
      </c>
      <c r="R27" t="s">
        <v>154</v>
      </c>
      <c r="S27" s="158">
        <f t="shared" si="2"/>
        <v>-1.4907779871675686E-19</v>
      </c>
      <c r="T27" s="158">
        <f t="shared" si="2"/>
        <v>0</v>
      </c>
      <c r="U27" s="158">
        <f t="shared" si="2"/>
        <v>-1.3552527156068805E-19</v>
      </c>
    </row>
    <row r="28" spans="2:27" x14ac:dyDescent="0.35">
      <c r="B28" s="95" t="s">
        <v>143</v>
      </c>
      <c r="R28" t="s">
        <v>155</v>
      </c>
      <c r="S28" s="158">
        <f t="shared" si="2"/>
        <v>0</v>
      </c>
      <c r="T28" s="158">
        <f t="shared" si="2"/>
        <v>0</v>
      </c>
      <c r="U28" s="158">
        <f t="shared" si="2"/>
        <v>4.7433845046240819E-20</v>
      </c>
    </row>
    <row r="29" spans="2:27" x14ac:dyDescent="0.35">
      <c r="B29" s="95" t="s">
        <v>41</v>
      </c>
      <c r="R29" s="47"/>
      <c r="S29" s="47"/>
      <c r="T29" s="47"/>
    </row>
    <row r="30" spans="2:27" x14ac:dyDescent="0.35">
      <c r="B30" s="95" t="s">
        <v>148</v>
      </c>
      <c r="O30" s="267"/>
      <c r="P30" s="267"/>
      <c r="Q30" s="267"/>
      <c r="R30" s="152"/>
      <c r="S30" s="152"/>
      <c r="T30" s="47"/>
    </row>
    <row r="31" spans="2:27" x14ac:dyDescent="0.35">
      <c r="B31" s="95" t="s">
        <v>142</v>
      </c>
      <c r="O31" s="152"/>
      <c r="P31" s="152"/>
      <c r="Q31" s="268"/>
      <c r="R31" s="152"/>
      <c r="S31" s="152"/>
      <c r="T31" s="47"/>
    </row>
    <row r="32" spans="2:27" x14ac:dyDescent="0.35">
      <c r="B32" s="95" t="s">
        <v>48</v>
      </c>
      <c r="O32" s="269"/>
      <c r="P32" s="152"/>
      <c r="Q32" s="268"/>
      <c r="R32" s="152"/>
      <c r="S32" s="152"/>
      <c r="T32" s="47"/>
    </row>
    <row r="33" spans="2:20" x14ac:dyDescent="0.35">
      <c r="B33" s="95" t="s">
        <v>147</v>
      </c>
      <c r="O33" s="270"/>
      <c r="P33" s="271"/>
      <c r="Q33" s="268"/>
      <c r="R33" s="268"/>
      <c r="S33" s="152"/>
      <c r="T33" s="47"/>
    </row>
    <row r="34" spans="2:20" x14ac:dyDescent="0.35">
      <c r="B34" s="95" t="s">
        <v>144</v>
      </c>
      <c r="O34" s="270"/>
      <c r="P34" s="271"/>
      <c r="Q34" s="268"/>
      <c r="R34" s="268"/>
      <c r="S34" s="152"/>
      <c r="T34" s="47"/>
    </row>
    <row r="35" spans="2:20" x14ac:dyDescent="0.35">
      <c r="B35" s="95" t="s">
        <v>145</v>
      </c>
      <c r="O35" s="270"/>
      <c r="P35" s="271"/>
      <c r="Q35" s="268"/>
      <c r="R35" s="268"/>
      <c r="S35" s="152"/>
      <c r="T35" s="47"/>
    </row>
    <row r="36" spans="2:20" x14ac:dyDescent="0.35">
      <c r="B36" s="95" t="s">
        <v>149</v>
      </c>
      <c r="O36" s="270"/>
      <c r="P36" s="271"/>
      <c r="Q36" s="268"/>
      <c r="R36" s="268"/>
      <c r="S36" s="152"/>
      <c r="T36" s="47"/>
    </row>
    <row r="37" spans="2:20" x14ac:dyDescent="0.35">
      <c r="B37" s="95" t="s">
        <v>42</v>
      </c>
      <c r="O37" s="270"/>
      <c r="P37" s="271"/>
      <c r="Q37" s="268"/>
      <c r="R37" s="268"/>
      <c r="S37" s="152"/>
      <c r="T37" s="47"/>
    </row>
    <row r="38" spans="2:20" x14ac:dyDescent="0.35">
      <c r="B38" s="95" t="s">
        <v>146</v>
      </c>
      <c r="O38" s="270"/>
      <c r="P38" s="271"/>
      <c r="Q38" s="268"/>
      <c r="R38" s="268"/>
      <c r="S38" s="152"/>
      <c r="T38" s="47"/>
    </row>
    <row r="39" spans="2:20" x14ac:dyDescent="0.35">
      <c r="B39" s="95" t="s">
        <v>150</v>
      </c>
      <c r="O39" s="272"/>
      <c r="P39" s="271"/>
      <c r="Q39" s="268"/>
      <c r="R39" s="268"/>
      <c r="S39" s="152"/>
      <c r="T39" s="47"/>
    </row>
    <row r="40" spans="2:20" x14ac:dyDescent="0.35">
      <c r="B40" s="95" t="s">
        <v>151</v>
      </c>
      <c r="O40" s="152"/>
      <c r="P40" s="273"/>
      <c r="Q40" s="268"/>
      <c r="R40" s="268"/>
      <c r="S40" s="152"/>
      <c r="T40" s="47"/>
    </row>
    <row r="41" spans="2:20" x14ac:dyDescent="0.35">
      <c r="O41" s="269"/>
      <c r="P41" s="152"/>
      <c r="Q41" s="268"/>
      <c r="R41" s="268"/>
      <c r="S41" s="152"/>
      <c r="T41" s="47"/>
    </row>
    <row r="42" spans="2:20" x14ac:dyDescent="0.35">
      <c r="O42" s="270"/>
      <c r="P42" s="271"/>
      <c r="Q42" s="268"/>
      <c r="R42" s="268"/>
      <c r="S42" s="152"/>
      <c r="T42" s="47"/>
    </row>
    <row r="43" spans="2:20" x14ac:dyDescent="0.35">
      <c r="O43" s="270"/>
      <c r="P43" s="271"/>
      <c r="Q43" s="268"/>
      <c r="R43" s="268"/>
      <c r="S43" s="152"/>
      <c r="T43" s="47"/>
    </row>
    <row r="44" spans="2:20" x14ac:dyDescent="0.35">
      <c r="O44" s="270"/>
      <c r="P44" s="271"/>
      <c r="Q44" s="268"/>
      <c r="R44" s="268"/>
      <c r="S44" s="152"/>
      <c r="T44" s="47"/>
    </row>
    <row r="45" spans="2:20" x14ac:dyDescent="0.35">
      <c r="O45" s="270"/>
      <c r="P45" s="271"/>
      <c r="Q45" s="268"/>
      <c r="R45" s="268"/>
      <c r="S45" s="152"/>
      <c r="T45" s="47"/>
    </row>
    <row r="46" spans="2:20" x14ac:dyDescent="0.35">
      <c r="O46" s="270"/>
      <c r="P46" s="271"/>
      <c r="Q46" s="268"/>
      <c r="R46" s="268"/>
      <c r="S46" s="152"/>
      <c r="T46" s="47"/>
    </row>
    <row r="47" spans="2:20" x14ac:dyDescent="0.35">
      <c r="O47" s="270"/>
      <c r="P47" s="271"/>
      <c r="Q47" s="268"/>
      <c r="R47" s="268"/>
      <c r="S47" s="152"/>
      <c r="T47" s="47"/>
    </row>
    <row r="48" spans="2:20" x14ac:dyDescent="0.35">
      <c r="O48" s="272"/>
      <c r="P48" s="271"/>
      <c r="Q48" s="268"/>
      <c r="R48" s="268"/>
      <c r="S48" s="152"/>
    </row>
    <row r="49" spans="15:19" x14ac:dyDescent="0.35">
      <c r="O49" s="152"/>
      <c r="P49" s="273"/>
      <c r="Q49" s="268"/>
      <c r="R49" s="268"/>
      <c r="S49" s="152"/>
    </row>
    <row r="50" spans="15:19" x14ac:dyDescent="0.35">
      <c r="O50" s="152"/>
      <c r="P50" s="152"/>
      <c r="Q50" s="268"/>
      <c r="R50" s="268"/>
      <c r="S50" s="152"/>
    </row>
  </sheetData>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57"/>
  <sheetViews>
    <sheetView workbookViewId="0">
      <pane xSplit="1" ySplit="4" topLeftCell="B23" activePane="bottomRight" state="frozen"/>
      <selection activeCell="K4" sqref="K4"/>
      <selection pane="topRight" activeCell="K4" sqref="K4"/>
      <selection pane="bottomLeft" activeCell="K4" sqref="K4"/>
      <selection pane="bottomRight" activeCell="M44" sqref="M44"/>
    </sheetView>
  </sheetViews>
  <sheetFormatPr defaultRowHeight="14.5" x14ac:dyDescent="0.35"/>
  <cols>
    <col min="1" max="1" width="23.7265625" customWidth="1"/>
    <col min="2" max="2" width="15.26953125" bestFit="1" customWidth="1"/>
    <col min="3" max="3" width="14.26953125" style="47" customWidth="1"/>
    <col min="4" max="4" width="13.26953125" bestFit="1" customWidth="1"/>
    <col min="5" max="5" width="9.7265625" bestFit="1" customWidth="1"/>
    <col min="6" max="6" width="12.54296875" bestFit="1" customWidth="1"/>
    <col min="7" max="7" width="13.1796875" customWidth="1"/>
  </cols>
  <sheetData>
    <row r="1" spans="1:7" x14ac:dyDescent="0.35">
      <c r="A1" s="64" t="str">
        <f>+'PPC Cycle 3'!A1</f>
        <v>Evergy Missouri West, Inc. - DSIM Rider Update Filed 06/01/2021</v>
      </c>
      <c r="B1" s="47"/>
      <c r="D1" s="47"/>
      <c r="E1" s="47"/>
    </row>
    <row r="2" spans="1:7" x14ac:dyDescent="0.35">
      <c r="A2" s="9" t="str">
        <f>+'PPC Cycle 3'!A2</f>
        <v>Projections for Cycle 2 July 2021 - June 2022 DSIM</v>
      </c>
      <c r="B2" s="47"/>
      <c r="D2" s="47"/>
      <c r="E2" s="47"/>
    </row>
    <row r="3" spans="1:7" ht="45.75" customHeight="1" x14ac:dyDescent="0.35">
      <c r="A3" s="47"/>
      <c r="B3" s="300" t="s">
        <v>99</v>
      </c>
      <c r="C3" s="300"/>
      <c r="D3" s="300"/>
      <c r="E3" s="47"/>
    </row>
    <row r="4" spans="1:7" ht="87" x14ac:dyDescent="0.35">
      <c r="A4" s="47"/>
      <c r="B4" s="71" t="s">
        <v>101</v>
      </c>
      <c r="C4" s="71" t="s">
        <v>102</v>
      </c>
      <c r="D4" s="71" t="s">
        <v>105</v>
      </c>
      <c r="E4" s="71" t="s">
        <v>103</v>
      </c>
      <c r="F4" s="71" t="s">
        <v>100</v>
      </c>
      <c r="G4" s="71" t="s">
        <v>106</v>
      </c>
    </row>
    <row r="5" spans="1:7" s="47" customFormat="1" x14ac:dyDescent="0.35">
      <c r="A5" s="20"/>
      <c r="B5" s="71"/>
      <c r="C5" s="71"/>
      <c r="D5" s="156"/>
    </row>
    <row r="6" spans="1:7" s="47" customFormat="1" x14ac:dyDescent="0.35">
      <c r="A6" s="263" t="s">
        <v>162</v>
      </c>
      <c r="B6" s="71"/>
      <c r="C6" s="71"/>
      <c r="D6" s="155"/>
    </row>
    <row r="7" spans="1:7" s="47" customFormat="1" x14ac:dyDescent="0.35">
      <c r="A7" s="20" t="s">
        <v>24</v>
      </c>
      <c r="B7" s="239">
        <f>+B18+B29+B40</f>
        <v>6580575.5600000005</v>
      </c>
      <c r="C7" s="239">
        <f t="shared" ref="C7:E7" si="0">+C18+C29+C40</f>
        <v>-1711589.3800000001</v>
      </c>
      <c r="D7" s="239">
        <f t="shared" si="0"/>
        <v>-1320635.23</v>
      </c>
      <c r="E7" s="239">
        <f t="shared" si="0"/>
        <v>-59583.520000000004</v>
      </c>
      <c r="F7" s="239">
        <f>SUM(B7:E7)</f>
        <v>3488767.4300000006</v>
      </c>
      <c r="G7" s="239">
        <f t="shared" ref="G7:G8" si="1">+G18+G29+G40</f>
        <v>905000.82000000007</v>
      </c>
    </row>
    <row r="8" spans="1:7" s="47" customFormat="1" x14ac:dyDescent="0.35">
      <c r="A8" s="20" t="s">
        <v>25</v>
      </c>
      <c r="B8" s="239">
        <f t="shared" ref="B8:E8" si="2">+B19+B30+B41</f>
        <v>6141489.0100000007</v>
      </c>
      <c r="C8" s="239">
        <f t="shared" si="2"/>
        <v>903784.52999999991</v>
      </c>
      <c r="D8" s="239">
        <f t="shared" si="2"/>
        <v>-147259.32</v>
      </c>
      <c r="E8" s="239">
        <f t="shared" si="2"/>
        <v>64094.62</v>
      </c>
      <c r="F8" s="239">
        <f>SUM(B8:E8)</f>
        <v>6962108.8400000008</v>
      </c>
      <c r="G8" s="239">
        <f t="shared" si="1"/>
        <v>2508248.83</v>
      </c>
    </row>
    <row r="9" spans="1:7" s="47" customFormat="1" x14ac:dyDescent="0.35">
      <c r="A9" s="20" t="s">
        <v>5</v>
      </c>
      <c r="B9" s="230">
        <f t="shared" ref="B9:G9" si="3">SUM(B7:B8)</f>
        <v>12722064.57</v>
      </c>
      <c r="C9" s="230">
        <f t="shared" si="3"/>
        <v>-807804.85000000021</v>
      </c>
      <c r="D9" s="230">
        <f t="shared" si="3"/>
        <v>-1467894.55</v>
      </c>
      <c r="E9" s="230">
        <f t="shared" si="3"/>
        <v>4511.0999999999985</v>
      </c>
      <c r="F9" s="230">
        <f t="shared" si="3"/>
        <v>10450876.270000001</v>
      </c>
      <c r="G9" s="230">
        <f t="shared" si="3"/>
        <v>3413249.6500000004</v>
      </c>
    </row>
    <row r="10" spans="1:7" s="47" customFormat="1" x14ac:dyDescent="0.35">
      <c r="B10" s="227"/>
      <c r="C10" s="227"/>
      <c r="D10" s="228"/>
    </row>
    <row r="11" spans="1:7" s="47" customFormat="1" x14ac:dyDescent="0.35">
      <c r="A11" s="20" t="s">
        <v>108</v>
      </c>
      <c r="B11" s="230">
        <f t="shared" ref="B11:E11" si="4">+B22+B33+B44</f>
        <v>2400450.7000000002</v>
      </c>
      <c r="C11" s="230">
        <f t="shared" si="4"/>
        <v>388765.80000000005</v>
      </c>
      <c r="D11" s="230">
        <f t="shared" si="4"/>
        <v>-37706.069999999978</v>
      </c>
      <c r="E11" s="230">
        <f t="shared" si="4"/>
        <v>28965.829999999998</v>
      </c>
      <c r="F11" s="230">
        <f t="shared" ref="F11:F13" si="5">SUM(B11:E11)</f>
        <v>2780476.2600000002</v>
      </c>
      <c r="G11" s="230">
        <f t="shared" ref="G11:G13" si="6">+G22+G33+G44</f>
        <v>1005989.5700000001</v>
      </c>
    </row>
    <row r="12" spans="1:7" s="47" customFormat="1" x14ac:dyDescent="0.35">
      <c r="A12" s="20" t="s">
        <v>109</v>
      </c>
      <c r="B12" s="230">
        <f t="shared" ref="B12:E12" si="7">+B23+B34+B45</f>
        <v>2683377.23</v>
      </c>
      <c r="C12" s="230">
        <f t="shared" si="7"/>
        <v>473783.88</v>
      </c>
      <c r="D12" s="230">
        <f t="shared" si="7"/>
        <v>-100292.87</v>
      </c>
      <c r="E12" s="230">
        <f t="shared" si="7"/>
        <v>31185.66</v>
      </c>
      <c r="F12" s="230">
        <f t="shared" si="5"/>
        <v>3088053.9</v>
      </c>
      <c r="G12" s="230">
        <f t="shared" si="6"/>
        <v>1117049.75</v>
      </c>
    </row>
    <row r="13" spans="1:7" s="47" customFormat="1" x14ac:dyDescent="0.35">
      <c r="A13" s="20" t="s">
        <v>110</v>
      </c>
      <c r="B13" s="230">
        <f t="shared" ref="B13:E13" si="8">+B24+B35+B46</f>
        <v>1057661.06</v>
      </c>
      <c r="C13" s="230">
        <f t="shared" si="8"/>
        <v>41234.850000000006</v>
      </c>
      <c r="D13" s="230">
        <f t="shared" si="8"/>
        <v>-9260.380000000001</v>
      </c>
      <c r="E13" s="230">
        <f t="shared" si="8"/>
        <v>3943.13</v>
      </c>
      <c r="F13" s="230">
        <f t="shared" si="5"/>
        <v>1093578.6600000001</v>
      </c>
      <c r="G13" s="230">
        <f t="shared" si="6"/>
        <v>385209.51999999996</v>
      </c>
    </row>
    <row r="14" spans="1:7" s="47" customFormat="1" x14ac:dyDescent="0.35">
      <c r="A14" s="31" t="s">
        <v>112</v>
      </c>
      <c r="B14" s="230">
        <f>SUM(B11:B13)</f>
        <v>6141488.9900000002</v>
      </c>
      <c r="C14" s="230">
        <f>SUM(C11:C13)</f>
        <v>903784.53</v>
      </c>
      <c r="D14" s="230">
        <f t="shared" ref="D14:G14" si="9">SUM(D11:D13)</f>
        <v>-147259.31999999998</v>
      </c>
      <c r="E14" s="230">
        <f t="shared" si="9"/>
        <v>64094.619999999995</v>
      </c>
      <c r="F14" s="230">
        <f t="shared" si="9"/>
        <v>6962108.8200000003</v>
      </c>
      <c r="G14" s="230">
        <f t="shared" si="9"/>
        <v>2508248.8400000003</v>
      </c>
    </row>
    <row r="15" spans="1:7" s="47" customFormat="1" x14ac:dyDescent="0.35">
      <c r="A15" s="20"/>
      <c r="B15" s="71"/>
      <c r="C15" s="71"/>
      <c r="D15" s="155"/>
    </row>
    <row r="16" spans="1:7" s="47" customFormat="1" x14ac:dyDescent="0.35">
      <c r="A16" s="20"/>
      <c r="B16" s="71"/>
      <c r="C16" s="71"/>
      <c r="D16" s="155"/>
    </row>
    <row r="17" spans="1:7" s="47" customFormat="1" x14ac:dyDescent="0.35">
      <c r="A17" s="263" t="s">
        <v>163</v>
      </c>
      <c r="B17" s="71"/>
      <c r="C17" s="71"/>
      <c r="D17" s="155"/>
    </row>
    <row r="18" spans="1:7" s="47" customFormat="1" x14ac:dyDescent="0.35">
      <c r="A18" s="20" t="s">
        <v>24</v>
      </c>
      <c r="B18" s="26">
        <f>ROUND(+'[16]EO Matrix @Meter'!$S$18,2)</f>
        <v>5181939.6500000004</v>
      </c>
      <c r="C18" s="26">
        <f>ROUND(+'[17]TD EO Ex Post Gross Adj'!$AL$370,2)</f>
        <v>-722286.33</v>
      </c>
      <c r="D18" s="26">
        <f>ROUND(+'[17]TD EO NTG Adj'!$AL$384,2)</f>
        <v>574414.55000000005</v>
      </c>
      <c r="E18" s="254">
        <f>ROUND(+'[17]EO TD Carrying Costs'!$AL$63,2)</f>
        <v>2229.4899999999998</v>
      </c>
      <c r="F18" s="239">
        <f>SUM(B18:E18)</f>
        <v>5036297.3600000003</v>
      </c>
      <c r="G18" s="255">
        <f>ROUND(F18/24*8,2)</f>
        <v>1678765.79</v>
      </c>
    </row>
    <row r="19" spans="1:7" s="47" customFormat="1" x14ac:dyDescent="0.35">
      <c r="A19" s="20" t="s">
        <v>25</v>
      </c>
      <c r="B19" s="229">
        <f>ROUND(+'[16]EO Matrix @Meter'!$T$18,2)</f>
        <v>5060008.6900000004</v>
      </c>
      <c r="C19" s="229">
        <f>SUM(C22:C24)</f>
        <v>194085.35</v>
      </c>
      <c r="D19" s="229">
        <f t="shared" ref="D19:E19" si="10">SUM(D22:D24)</f>
        <v>562321.14</v>
      </c>
      <c r="E19" s="256">
        <f t="shared" si="10"/>
        <v>20418.36</v>
      </c>
      <c r="F19" s="239">
        <f>SUM(B19:E19)</f>
        <v>5836833.54</v>
      </c>
      <c r="G19" s="255">
        <f>ROUND(F19/24*8,2)</f>
        <v>1945611.18</v>
      </c>
    </row>
    <row r="20" spans="1:7" s="47" customFormat="1" x14ac:dyDescent="0.35">
      <c r="A20" s="20" t="s">
        <v>5</v>
      </c>
      <c r="B20" s="230">
        <f t="shared" ref="B20:G20" si="11">SUM(B18:B19)</f>
        <v>10241948.34</v>
      </c>
      <c r="C20" s="230">
        <f t="shared" si="11"/>
        <v>-528200.98</v>
      </c>
      <c r="D20" s="230">
        <f t="shared" si="11"/>
        <v>1136735.69</v>
      </c>
      <c r="E20" s="257">
        <f t="shared" si="11"/>
        <v>22647.85</v>
      </c>
      <c r="F20" s="230">
        <f t="shared" si="11"/>
        <v>10873130.9</v>
      </c>
      <c r="G20" s="258">
        <f t="shared" si="11"/>
        <v>3624376.9699999997</v>
      </c>
    </row>
    <row r="21" spans="1:7" s="47" customFormat="1" x14ac:dyDescent="0.35">
      <c r="B21" s="227"/>
      <c r="C21" s="227"/>
      <c r="D21" s="228"/>
    </row>
    <row r="22" spans="1:7" x14ac:dyDescent="0.35">
      <c r="A22" s="20" t="s">
        <v>108</v>
      </c>
      <c r="B22" s="26">
        <f>ROUND(+'[16]EO Matrix @Meter'!$W$18,2)</f>
        <v>1943830.05</v>
      </c>
      <c r="C22" s="26">
        <f>ROUND(+'[17]TD EO Ex Post Gross Adj'!$AL371,2)</f>
        <v>62654.27</v>
      </c>
      <c r="D22" s="26">
        <f>ROUND(+'[17]TD EO NTG Adj'!$AL385,2)</f>
        <v>289519.26</v>
      </c>
      <c r="E22" s="229">
        <f>ROUND(+'[17]EO TD Carrying Costs'!$AL64,2)</f>
        <v>9487.83</v>
      </c>
      <c r="F22" s="230">
        <f t="shared" ref="F22:F24" si="12">SUM(B22:E22)</f>
        <v>2305491.41</v>
      </c>
      <c r="G22" s="265">
        <f>ROUND(F22/24*8,2)</f>
        <v>768497.14</v>
      </c>
    </row>
    <row r="23" spans="1:7" x14ac:dyDescent="0.35">
      <c r="A23" s="20" t="s">
        <v>109</v>
      </c>
      <c r="B23" s="26">
        <f>ROUND(+'[16]EO Matrix @Meter'!$Y$18,2)</f>
        <v>2196160.91</v>
      </c>
      <c r="C23" s="26">
        <f>ROUND(+'[17]TD EO Ex Post Gross Adj'!$AL373,2)</f>
        <v>122990.05</v>
      </c>
      <c r="D23" s="26">
        <f>ROUND(+'[17]TD EO NTG Adj'!$AL387,2)</f>
        <v>233118.96</v>
      </c>
      <c r="E23" s="26">
        <f>ROUND(+'[17]EO TD Carrying Costs'!$AL66,2)</f>
        <v>9593.31</v>
      </c>
      <c r="F23" s="230">
        <f t="shared" si="12"/>
        <v>2561863.23</v>
      </c>
      <c r="G23" s="265">
        <f>ROUND(F23/24*8,2)</f>
        <v>853954.41</v>
      </c>
    </row>
    <row r="24" spans="1:7" x14ac:dyDescent="0.35">
      <c r="A24" s="20" t="s">
        <v>110</v>
      </c>
      <c r="B24" s="229">
        <f>ROUND(+'[16]EO Matrix @Meter'!$Z$18,2)</f>
        <v>920017.71</v>
      </c>
      <c r="C24" s="229">
        <f>ROUND(+'[17]TD EO Ex Post Gross Adj'!$AL374,2)</f>
        <v>8441.0300000000007</v>
      </c>
      <c r="D24" s="229">
        <f>ROUND(+'[17]TD EO NTG Adj'!$AL388,2)</f>
        <v>39682.92</v>
      </c>
      <c r="E24" s="229">
        <f>ROUND(+'[17]EO TD Carrying Costs'!$AL67,2)</f>
        <v>1337.22</v>
      </c>
      <c r="F24" s="230">
        <f t="shared" si="12"/>
        <v>969478.88</v>
      </c>
      <c r="G24" s="265">
        <f>ROUND(F24/24*8,2)</f>
        <v>323159.63</v>
      </c>
    </row>
    <row r="25" spans="1:7" x14ac:dyDescent="0.35">
      <c r="A25" s="31" t="s">
        <v>112</v>
      </c>
      <c r="B25" s="230">
        <f>SUM(B22:B24)</f>
        <v>5060008.67</v>
      </c>
      <c r="C25" s="230">
        <f>SUM(C22:C24)</f>
        <v>194085.35</v>
      </c>
      <c r="D25" s="230">
        <f t="shared" ref="D25:G25" si="13">SUM(D22:D24)</f>
        <v>562321.14</v>
      </c>
      <c r="E25" s="230">
        <f t="shared" si="13"/>
        <v>20418.36</v>
      </c>
      <c r="F25" s="230">
        <f t="shared" si="13"/>
        <v>5836833.5200000005</v>
      </c>
      <c r="G25" s="230">
        <f t="shared" si="13"/>
        <v>1945611.1800000002</v>
      </c>
    </row>
    <row r="26" spans="1:7" s="40" customFormat="1" x14ac:dyDescent="0.35">
      <c r="A26" s="31"/>
      <c r="B26" s="264"/>
      <c r="C26" s="264"/>
      <c r="D26" s="264"/>
      <c r="E26" s="264"/>
      <c r="F26" s="264"/>
      <c r="G26" s="264"/>
    </row>
    <row r="27" spans="1:7" s="40" customFormat="1" x14ac:dyDescent="0.35">
      <c r="A27" s="31"/>
      <c r="B27" s="264"/>
      <c r="C27" s="264"/>
      <c r="D27" s="264"/>
      <c r="E27" s="264"/>
      <c r="F27" s="264"/>
      <c r="G27" s="264"/>
    </row>
    <row r="28" spans="1:7" s="47" customFormat="1" x14ac:dyDescent="0.35">
      <c r="A28" s="263" t="s">
        <v>166</v>
      </c>
      <c r="B28" s="71"/>
      <c r="C28" s="71"/>
      <c r="D28" s="155"/>
    </row>
    <row r="29" spans="1:7" s="47" customFormat="1" x14ac:dyDescent="0.35">
      <c r="A29" s="20" t="s">
        <v>24</v>
      </c>
      <c r="B29" s="26">
        <f>ROUND(+'[18]EO Matrix @Meter'!$S$18,2)</f>
        <v>1398635.91</v>
      </c>
      <c r="C29" s="26">
        <f>ROUND(+'[17]TD EO Ex Post Gross Adj'!$BE$370+'[17]TD EO Ex Post Gross Adj'!$BS$370+'[19]TD EO Ex Post Gross Adj'!$BE$370+'[19]TD EO Ex Post Gross Adj'!$BS$370,2)</f>
        <v>-801107.23</v>
      </c>
      <c r="D29" s="26">
        <f>ROUND(+'[17]TD EO NTG Adj'!$BE$384+'[17]TD EO NTG Adj'!$BS$384+'[19]TD EO NTG Adj'!$BE$384+'[19]TD EO NTG Adj'!$BS$384,2)</f>
        <v>-1374859.37</v>
      </c>
      <c r="E29" s="254">
        <f>ROUND(+'[17]EO TD Carrying Costs'!$BE$63+'[19]EO TD Carrying Costs'!$BE$63,2)</f>
        <v>-42421.68</v>
      </c>
      <c r="F29" s="239">
        <f>SUM(B29:E29)</f>
        <v>-819752.37000000023</v>
      </c>
      <c r="G29" s="255">
        <f>ROUND(F29/24*12,2)</f>
        <v>-409876.19</v>
      </c>
    </row>
    <row r="30" spans="1:7" s="47" customFormat="1" x14ac:dyDescent="0.35">
      <c r="A30" s="20" t="s">
        <v>25</v>
      </c>
      <c r="B30" s="229">
        <f>ROUND(+'[18]EO Matrix @Meter'!$T$18,2)</f>
        <v>1081480.32</v>
      </c>
      <c r="C30" s="229">
        <f>SUM(C33:C35)</f>
        <v>524350.93999999994</v>
      </c>
      <c r="D30" s="229">
        <f t="shared" ref="D30:E30" si="14">SUM(D33:D35)</f>
        <v>-536449.89</v>
      </c>
      <c r="E30" s="256">
        <f t="shared" si="14"/>
        <v>37990.920000000006</v>
      </c>
      <c r="F30" s="239">
        <f>SUM(B30:E30)</f>
        <v>1107372.29</v>
      </c>
      <c r="G30" s="255">
        <f>ROUND(F30/24*12,2)</f>
        <v>553686.15</v>
      </c>
    </row>
    <row r="31" spans="1:7" s="47" customFormat="1" x14ac:dyDescent="0.35">
      <c r="A31" s="20" t="s">
        <v>5</v>
      </c>
      <c r="B31" s="230">
        <f t="shared" ref="B31:G31" si="15">SUM(B29:B30)</f>
        <v>2480116.23</v>
      </c>
      <c r="C31" s="230">
        <f t="shared" si="15"/>
        <v>-276756.29000000004</v>
      </c>
      <c r="D31" s="230">
        <f t="shared" si="15"/>
        <v>-1911309.2600000002</v>
      </c>
      <c r="E31" s="257">
        <f t="shared" si="15"/>
        <v>-4430.7599999999948</v>
      </c>
      <c r="F31" s="230">
        <f t="shared" si="15"/>
        <v>287619.91999999981</v>
      </c>
      <c r="G31" s="258">
        <f t="shared" si="15"/>
        <v>143809.96000000002</v>
      </c>
    </row>
    <row r="32" spans="1:7" s="47" customFormat="1" x14ac:dyDescent="0.35">
      <c r="B32" s="227"/>
      <c r="C32" s="227"/>
      <c r="D32" s="228"/>
    </row>
    <row r="33" spans="1:7" s="47" customFormat="1" x14ac:dyDescent="0.35">
      <c r="A33" s="20" t="s">
        <v>108</v>
      </c>
      <c r="B33" s="26">
        <f>ROUND(+'[18]EO Matrix @Meter'!$W$18,2)</f>
        <v>456620.65</v>
      </c>
      <c r="C33" s="26">
        <f>ROUND(+'[17]TD EO Ex Post Gross Adj'!BE371+'[17]TD EO Ex Post Gross Adj'!BS371+'[19]TD EO Ex Post Gross Adj'!BE371+'[19]TD EO Ex Post Gross Adj'!BS371,2)</f>
        <v>238713.51</v>
      </c>
      <c r="D33" s="26">
        <f>ROUND(+'[17]TD EO NTG Adj'!BE385+'[17]TD EO NTG Adj'!BS385+'[19]TD EO NTG Adj'!BE385+'[19]TD EO NTG Adj'!BS385,2)</f>
        <v>-250839.18</v>
      </c>
      <c r="E33" s="229">
        <f>ROUND(+'[17]EO TD Carrying Costs'!BE64+'[19]EO TD Carrying Costs'!BE64,2)</f>
        <v>16987.560000000001</v>
      </c>
      <c r="F33" s="230">
        <f t="shared" ref="F33:F35" si="16">SUM(B33:E33)</f>
        <v>461482.54000000004</v>
      </c>
      <c r="G33" s="265">
        <f>ROUND(F33/24*12,2)</f>
        <v>230741.27</v>
      </c>
    </row>
    <row r="34" spans="1:7" s="47" customFormat="1" x14ac:dyDescent="0.35">
      <c r="A34" s="20" t="s">
        <v>109</v>
      </c>
      <c r="B34" s="26">
        <f>ROUND(+'[18]EO Matrix @Meter'!$Y$18,2)</f>
        <v>487216.32</v>
      </c>
      <c r="C34" s="26">
        <f>ROUND(+'[17]TD EO Ex Post Gross Adj'!BE373+'[17]TD EO Ex Post Gross Adj'!BS373+'[19]TD EO Ex Post Gross Adj'!BE373+'[19]TD EO Ex Post Gross Adj'!BS373,2)</f>
        <v>261085.55</v>
      </c>
      <c r="D34" s="26">
        <f>ROUND(+'[17]TD EO NTG Adj'!BE387+'[17]TD EO NTG Adj'!BS387+'[19]TD EO NTG Adj'!BE387+'[19]TD EO NTG Adj'!BS387,2)</f>
        <v>-248789.11</v>
      </c>
      <c r="E34" s="26">
        <f>ROUND(+'[17]EO TD Carrying Costs'!BE66+'[19]EO TD Carrying Costs'!BE66,2)</f>
        <v>18676.650000000001</v>
      </c>
      <c r="F34" s="230">
        <f t="shared" si="16"/>
        <v>518189.41000000003</v>
      </c>
      <c r="G34" s="265">
        <f t="shared" ref="G34:G35" si="17">ROUND(F34/24*12,2)</f>
        <v>259094.71</v>
      </c>
    </row>
    <row r="35" spans="1:7" s="47" customFormat="1" x14ac:dyDescent="0.35">
      <c r="A35" s="20" t="s">
        <v>110</v>
      </c>
      <c r="B35" s="229">
        <f>ROUND(+'[18]EO Matrix @Meter'!$Z$18,2)</f>
        <v>137643.35</v>
      </c>
      <c r="C35" s="229">
        <f>ROUND(+'[17]TD EO Ex Post Gross Adj'!BE374+'[17]TD EO Ex Post Gross Adj'!BS374+'[19]TD EO Ex Post Gross Adj'!BE374+'[19]TD EO Ex Post Gross Adj'!BS374,2)</f>
        <v>24551.88</v>
      </c>
      <c r="D35" s="229">
        <f>ROUND(+'[17]TD EO NTG Adj'!BE388+'[17]TD EO NTG Adj'!BS388+'[19]TD EO NTG Adj'!BE388+'[19]TD EO NTG Adj'!BS388,2)</f>
        <v>-36821.599999999999</v>
      </c>
      <c r="E35" s="229">
        <f>ROUND(+'[17]EO TD Carrying Costs'!BE67+'[19]EO TD Carrying Costs'!BE67,2)</f>
        <v>2326.71</v>
      </c>
      <c r="F35" s="230">
        <f t="shared" si="16"/>
        <v>127700.34000000001</v>
      </c>
      <c r="G35" s="265">
        <f t="shared" si="17"/>
        <v>63850.17</v>
      </c>
    </row>
    <row r="36" spans="1:7" s="47" customFormat="1" x14ac:dyDescent="0.35">
      <c r="A36" s="31" t="s">
        <v>112</v>
      </c>
      <c r="B36" s="230">
        <f>SUM(B33:B35)</f>
        <v>1081480.32</v>
      </c>
      <c r="C36" s="230">
        <f>SUM(C33:C35)</f>
        <v>524350.93999999994</v>
      </c>
      <c r="D36" s="230">
        <f t="shared" ref="D36:G36" si="18">SUM(D33:D35)</f>
        <v>-536449.89</v>
      </c>
      <c r="E36" s="230">
        <f t="shared" si="18"/>
        <v>37990.920000000006</v>
      </c>
      <c r="F36" s="230">
        <f t="shared" si="18"/>
        <v>1107372.29</v>
      </c>
      <c r="G36" s="230">
        <f t="shared" si="18"/>
        <v>553686.15</v>
      </c>
    </row>
    <row r="37" spans="1:7" x14ac:dyDescent="0.35">
      <c r="A37" s="31"/>
      <c r="B37" s="259"/>
      <c r="C37" s="259"/>
      <c r="D37" s="259"/>
      <c r="E37" s="259"/>
      <c r="F37" s="259"/>
      <c r="G37" s="259"/>
    </row>
    <row r="38" spans="1:7" s="40" customFormat="1" x14ac:dyDescent="0.35">
      <c r="A38" s="31"/>
      <c r="B38" s="264"/>
      <c r="C38" s="264"/>
      <c r="D38" s="264"/>
      <c r="E38" s="264"/>
      <c r="F38" s="264"/>
      <c r="G38" s="264"/>
    </row>
    <row r="39" spans="1:7" s="47" customFormat="1" x14ac:dyDescent="0.35">
      <c r="A39" s="263" t="s">
        <v>171</v>
      </c>
      <c r="B39" s="71"/>
      <c r="C39" s="71"/>
      <c r="D39" s="155"/>
    </row>
    <row r="40" spans="1:7" s="47" customFormat="1" x14ac:dyDescent="0.35">
      <c r="A40" s="20" t="s">
        <v>24</v>
      </c>
      <c r="B40" s="26">
        <v>0</v>
      </c>
      <c r="C40" s="26">
        <f>ROUND('[17]TD EO Ex Post Gross Adj'!CD370+'[19]TD EO Ex Post Gross Adj'!CD370,2)</f>
        <v>-188195.82</v>
      </c>
      <c r="D40" s="26">
        <f>ROUND('[17]TD EO NTG Adj'!CD384+'[19]TD EO NTG Adj'!CD384,2)</f>
        <v>-520190.41</v>
      </c>
      <c r="E40" s="254">
        <f>ROUND('[17]EO TD Carrying Costs'!BK63+'[19]EO TD Carrying Costs'!BK63,2)</f>
        <v>-19391.330000000002</v>
      </c>
      <c r="F40" s="239">
        <f>SUM(B40:E40)</f>
        <v>-727777.55999999994</v>
      </c>
      <c r="G40" s="255">
        <f>ROUND(F40/24*12,2)</f>
        <v>-363888.78</v>
      </c>
    </row>
    <row r="41" spans="1:7" s="47" customFormat="1" x14ac:dyDescent="0.35">
      <c r="A41" s="20" t="s">
        <v>25</v>
      </c>
      <c r="B41" s="229">
        <v>0</v>
      </c>
      <c r="C41" s="229">
        <f>SUM(C44:C46)</f>
        <v>185348.24</v>
      </c>
      <c r="D41" s="229">
        <f>SUM(D44:D46)</f>
        <v>-173130.57</v>
      </c>
      <c r="E41" s="256">
        <f>SUM(E44:E46)</f>
        <v>5685.3399999999992</v>
      </c>
      <c r="F41" s="239">
        <f>SUM(B41:E41)</f>
        <v>17903.009999999984</v>
      </c>
      <c r="G41" s="255">
        <f>ROUND(F41/24*12,2)</f>
        <v>8951.5</v>
      </c>
    </row>
    <row r="42" spans="1:7" s="47" customFormat="1" x14ac:dyDescent="0.35">
      <c r="A42" s="20" t="s">
        <v>5</v>
      </c>
      <c r="B42" s="230">
        <f t="shared" ref="B42:G42" si="19">SUM(B40:B41)</f>
        <v>0</v>
      </c>
      <c r="C42" s="230">
        <f t="shared" si="19"/>
        <v>-2847.5800000000163</v>
      </c>
      <c r="D42" s="230">
        <f t="shared" si="19"/>
        <v>-693320.98</v>
      </c>
      <c r="E42" s="257">
        <f t="shared" si="19"/>
        <v>-13705.990000000002</v>
      </c>
      <c r="F42" s="230">
        <f t="shared" si="19"/>
        <v>-709874.54999999993</v>
      </c>
      <c r="G42" s="258">
        <f t="shared" si="19"/>
        <v>-354937.28</v>
      </c>
    </row>
    <row r="43" spans="1:7" s="47" customFormat="1" x14ac:dyDescent="0.35">
      <c r="B43" s="227"/>
      <c r="C43" s="227"/>
      <c r="D43" s="228"/>
    </row>
    <row r="44" spans="1:7" s="47" customFormat="1" x14ac:dyDescent="0.35">
      <c r="A44" s="20" t="s">
        <v>108</v>
      </c>
      <c r="B44" s="26">
        <v>0</v>
      </c>
      <c r="C44" s="26">
        <f>ROUND('[17]TD EO Ex Post Gross Adj'!CD371+'[19]TD EO Ex Post Gross Adj'!CD371,2)</f>
        <v>87398.02</v>
      </c>
      <c r="D44" s="26">
        <f>ROUND('[17]TD EO NTG Adj'!CD385+'[19]TD EO NTG Adj'!CD385,2)</f>
        <v>-76386.149999999994</v>
      </c>
      <c r="E44" s="229">
        <f>ROUND('[17]EO TD Carrying Costs'!BK64+'[19]EO TD Carrying Costs'!BK64,2)</f>
        <v>2490.44</v>
      </c>
      <c r="F44" s="230">
        <f t="shared" ref="F44:F46" si="20">SUM(B44:E44)</f>
        <v>13502.31000000001</v>
      </c>
      <c r="G44" s="265">
        <f>ROUND(F44/24*12,2)</f>
        <v>6751.16</v>
      </c>
    </row>
    <row r="45" spans="1:7" s="47" customFormat="1" x14ac:dyDescent="0.35">
      <c r="A45" s="20" t="s">
        <v>109</v>
      </c>
      <c r="B45" s="26">
        <v>0</v>
      </c>
      <c r="C45" s="26">
        <f>ROUND('[17]TD EO Ex Post Gross Adj'!CD373+'[19]TD EO Ex Post Gross Adj'!CD373,2)</f>
        <v>89708.28</v>
      </c>
      <c r="D45" s="26">
        <f>ROUND('[17]TD EO NTG Adj'!CD387+'[19]TD EO NTG Adj'!CD387,2)</f>
        <v>-84622.720000000001</v>
      </c>
      <c r="E45" s="26">
        <f>ROUND('[17]EO TD Carrying Costs'!BK66+'[19]EO TD Carrying Costs'!BK66,2)</f>
        <v>2915.7</v>
      </c>
      <c r="F45" s="230">
        <f t="shared" si="20"/>
        <v>8001.2599999999975</v>
      </c>
      <c r="G45" s="265">
        <f t="shared" ref="G45:G46" si="21">ROUND(F45/24*12,2)</f>
        <v>4000.63</v>
      </c>
    </row>
    <row r="46" spans="1:7" s="47" customFormat="1" x14ac:dyDescent="0.35">
      <c r="A46" s="20" t="s">
        <v>110</v>
      </c>
      <c r="B46" s="229">
        <v>0</v>
      </c>
      <c r="C46" s="26">
        <f>ROUND('[17]TD EO Ex Post Gross Adj'!CD374+'[19]TD EO Ex Post Gross Adj'!CD374,2)</f>
        <v>8241.94</v>
      </c>
      <c r="D46" s="229">
        <f>ROUND('[17]TD EO NTG Adj'!CD388+'[19]TD EO NTG Adj'!CD388,2)</f>
        <v>-12121.7</v>
      </c>
      <c r="E46" s="229">
        <f>ROUND('[17]EO TD Carrying Costs'!BK67+'[19]EO TD Carrying Costs'!BK67,2)</f>
        <v>279.2</v>
      </c>
      <c r="F46" s="230">
        <f t="shared" si="20"/>
        <v>-3600.5600000000004</v>
      </c>
      <c r="G46" s="265">
        <f t="shared" si="21"/>
        <v>-1800.28</v>
      </c>
    </row>
    <row r="47" spans="1:7" s="47" customFormat="1" x14ac:dyDescent="0.35">
      <c r="A47" s="31" t="s">
        <v>112</v>
      </c>
      <c r="B47" s="230">
        <f>SUM(B44:B46)</f>
        <v>0</v>
      </c>
      <c r="C47" s="230">
        <f>SUM(C44:C46)</f>
        <v>185348.24</v>
      </c>
      <c r="D47" s="230">
        <f t="shared" ref="D47:G47" si="22">SUM(D44:D46)</f>
        <v>-173130.57</v>
      </c>
      <c r="E47" s="230">
        <f t="shared" si="22"/>
        <v>5685.3399999999992</v>
      </c>
      <c r="F47" s="230">
        <f t="shared" si="22"/>
        <v>17903.010000000006</v>
      </c>
      <c r="G47" s="230">
        <f t="shared" si="22"/>
        <v>8951.51</v>
      </c>
    </row>
    <row r="48" spans="1:7" s="47" customFormat="1" x14ac:dyDescent="0.35">
      <c r="A48" s="31"/>
      <c r="B48" s="259"/>
      <c r="C48" s="259"/>
      <c r="D48" s="259"/>
      <c r="E48" s="259"/>
      <c r="F48" s="259"/>
      <c r="G48" s="259"/>
    </row>
    <row r="49" spans="1:7" x14ac:dyDescent="0.35">
      <c r="A49" s="3" t="s">
        <v>164</v>
      </c>
      <c r="B49" s="47"/>
      <c r="D49" s="47"/>
      <c r="E49" s="47"/>
      <c r="F49" s="47"/>
      <c r="G49" s="47"/>
    </row>
    <row r="50" spans="1:7" x14ac:dyDescent="0.35">
      <c r="A50" s="3" t="s">
        <v>184</v>
      </c>
      <c r="B50" s="47"/>
      <c r="D50" s="47"/>
      <c r="E50" s="47"/>
      <c r="F50" s="47"/>
      <c r="G50" s="47"/>
    </row>
    <row r="51" spans="1:7" x14ac:dyDescent="0.35">
      <c r="A51" s="3" t="s">
        <v>185</v>
      </c>
      <c r="B51" s="47"/>
      <c r="D51" s="47"/>
      <c r="E51" s="47"/>
      <c r="F51" s="47"/>
      <c r="G51" s="47"/>
    </row>
    <row r="52" spans="1:7" x14ac:dyDescent="0.35">
      <c r="A52" s="3" t="s">
        <v>186</v>
      </c>
      <c r="B52" s="47"/>
      <c r="D52" s="47"/>
      <c r="E52" s="47"/>
      <c r="F52" s="47"/>
      <c r="G52" s="47"/>
    </row>
    <row r="53" spans="1:7" s="47" customFormat="1" x14ac:dyDescent="0.35">
      <c r="A53" s="3" t="s">
        <v>165</v>
      </c>
    </row>
    <row r="54" spans="1:7" s="47" customFormat="1" ht="30.75" customHeight="1" x14ac:dyDescent="0.35">
      <c r="A54" s="301" t="s">
        <v>187</v>
      </c>
      <c r="B54" s="301"/>
      <c r="C54" s="301"/>
      <c r="D54" s="301"/>
      <c r="E54" s="301"/>
      <c r="F54" s="301"/>
      <c r="G54" s="301"/>
    </row>
    <row r="55" spans="1:7" x14ac:dyDescent="0.35">
      <c r="A55" s="3"/>
      <c r="B55" s="47"/>
      <c r="D55" s="47"/>
      <c r="E55" s="47"/>
    </row>
    <row r="56" spans="1:7" s="47" customFormat="1" x14ac:dyDescent="0.35">
      <c r="A56" s="3"/>
    </row>
    <row r="57" spans="1:7" x14ac:dyDescent="0.35">
      <c r="A57" s="3"/>
    </row>
  </sheetData>
  <mergeCells count="2">
    <mergeCell ref="B3:D3"/>
    <mergeCell ref="A54:G54"/>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H63"/>
  <sheetViews>
    <sheetView topLeftCell="B2" workbookViewId="0">
      <selection activeCell="O2" sqref="O1:O1048576"/>
    </sheetView>
  </sheetViews>
  <sheetFormatPr defaultColWidth="9.1796875" defaultRowHeight="14.5" x14ac:dyDescent="0.35"/>
  <cols>
    <col min="1" max="1" width="37.7265625" style="47" customWidth="1"/>
    <col min="2" max="2" width="12.26953125" style="47" bestFit="1" customWidth="1"/>
    <col min="3" max="3" width="12.453125" style="47" bestFit="1" customWidth="1"/>
    <col min="4" max="4" width="15.453125" style="47" customWidth="1"/>
    <col min="5" max="5" width="15.81640625" style="47" bestFit="1" customWidth="1"/>
    <col min="6" max="6" width="12.26953125" style="47" bestFit="1" customWidth="1"/>
    <col min="7" max="8" width="13.26953125" style="47" bestFit="1" customWidth="1"/>
    <col min="9" max="9" width="12.26953125" style="47" bestFit="1" customWidth="1"/>
    <col min="10" max="10" width="12.54296875" style="47" customWidth="1"/>
    <col min="11" max="11" width="12.81640625" style="47" customWidth="1"/>
    <col min="12" max="12" width="16" style="47" customWidth="1"/>
    <col min="13" max="13" width="15" style="47" bestFit="1" customWidth="1"/>
    <col min="14" max="14" width="16" style="47" bestFit="1" customWidth="1"/>
    <col min="15" max="15" width="15.26953125" style="47" bestFit="1" customWidth="1"/>
    <col min="16" max="16" width="17.453125" style="47" bestFit="1" customWidth="1"/>
    <col min="17" max="17" width="16.26953125" style="47" bestFit="1" customWidth="1"/>
    <col min="18" max="18" width="15.26953125" style="47" bestFit="1" customWidth="1"/>
    <col min="19" max="19" width="12.453125" style="47" customWidth="1"/>
    <col min="20" max="21" width="14.26953125" style="47" bestFit="1" customWidth="1"/>
    <col min="22" max="16384" width="9.1796875" style="47"/>
  </cols>
  <sheetData>
    <row r="1" spans="1:34" x14ac:dyDescent="0.35">
      <c r="A1" s="3" t="str">
        <f>+'PPC Cycle 3'!A1</f>
        <v>Evergy Missouri West, Inc. - DSIM Rider Update Filed 06/01/2021</v>
      </c>
      <c r="B1" s="3"/>
      <c r="C1" s="3"/>
    </row>
    <row r="2" spans="1:34" x14ac:dyDescent="0.35">
      <c r="D2" s="3" t="s">
        <v>141</v>
      </c>
    </row>
    <row r="3" spans="1:34" ht="29" x14ac:dyDescent="0.35">
      <c r="D3" s="49" t="s">
        <v>46</v>
      </c>
      <c r="E3" s="71" t="s">
        <v>58</v>
      </c>
      <c r="F3" s="49" t="s">
        <v>3</v>
      </c>
      <c r="G3" s="71" t="s">
        <v>55</v>
      </c>
      <c r="H3" s="49" t="s">
        <v>10</v>
      </c>
      <c r="I3" s="49" t="s">
        <v>59</v>
      </c>
      <c r="R3" s="49"/>
    </row>
    <row r="4" spans="1:34" x14ac:dyDescent="0.35">
      <c r="A4" s="20" t="s">
        <v>24</v>
      </c>
      <c r="B4" s="20"/>
      <c r="C4" s="20"/>
      <c r="D4" s="22">
        <f>SUM(C18:L18)</f>
        <v>1143026.9794400001</v>
      </c>
      <c r="E4" s="22">
        <f>SUM(C24:K24)</f>
        <v>1088292.5699999998</v>
      </c>
      <c r="F4" s="22">
        <f>E4-D4</f>
        <v>-54734.409440000309</v>
      </c>
      <c r="G4" s="22">
        <f>+B38</f>
        <v>-69069.804739999992</v>
      </c>
      <c r="H4" s="22">
        <f>SUM(C45:K45)</f>
        <v>547.91</v>
      </c>
      <c r="I4" s="26">
        <f>SUM(F4:H4)</f>
        <v>-123256.3041800003</v>
      </c>
      <c r="J4" s="48">
        <f>+I4-L38</f>
        <v>-1.4551915228366852E-10</v>
      </c>
      <c r="M4" s="48"/>
    </row>
    <row r="5" spans="1:34" ht="15" thickBot="1" x14ac:dyDescent="0.4">
      <c r="A5" s="20" t="s">
        <v>25</v>
      </c>
      <c r="B5" s="20"/>
      <c r="C5" s="20"/>
      <c r="D5" s="22">
        <f>SUM(C19:L21)</f>
        <v>1511436.1022100002</v>
      </c>
      <c r="E5" s="22">
        <f>SUM(C25:K27)</f>
        <v>1689910.9400000004</v>
      </c>
      <c r="F5" s="22">
        <f>E5-D5</f>
        <v>178474.83779000025</v>
      </c>
      <c r="G5" s="22">
        <f>SUM(B39:B41)</f>
        <v>-480.79226999993989</v>
      </c>
      <c r="H5" s="22">
        <f>SUM(C46:K48)</f>
        <v>2269.8800000000006</v>
      </c>
      <c r="I5" s="26">
        <f>SUM(F5:H5)</f>
        <v>180263.92552000031</v>
      </c>
      <c r="J5" s="48">
        <f>+I5-SUM(L39:L41)</f>
        <v>2.3283064365386963E-10</v>
      </c>
      <c r="M5" s="48"/>
    </row>
    <row r="6" spans="1:34" ht="15.5" thickTop="1" thickBot="1" x14ac:dyDescent="0.4">
      <c r="D6" s="28">
        <f t="shared" ref="D6:I6" si="0">SUM(D4:D5)</f>
        <v>2654463.0816500001</v>
      </c>
      <c r="E6" s="28">
        <f t="shared" si="0"/>
        <v>2778203.5100000002</v>
      </c>
      <c r="F6" s="28">
        <f t="shared" si="0"/>
        <v>123740.42834999994</v>
      </c>
      <c r="G6" s="28">
        <f t="shared" si="0"/>
        <v>-69550.597009999939</v>
      </c>
      <c r="H6" s="28">
        <f t="shared" si="0"/>
        <v>2817.7900000000004</v>
      </c>
      <c r="I6" s="28">
        <f t="shared" si="0"/>
        <v>57007.621340000012</v>
      </c>
      <c r="S6" s="5"/>
    </row>
    <row r="7" spans="1:34" ht="44" thickTop="1" x14ac:dyDescent="0.35">
      <c r="I7" s="235"/>
      <c r="J7" s="234" t="s">
        <v>123</v>
      </c>
    </row>
    <row r="8" spans="1:34" ht="17.25" customHeight="1" x14ac:dyDescent="0.35">
      <c r="A8" s="20" t="s">
        <v>108</v>
      </c>
      <c r="I8" s="26">
        <f>ROUND($I$5*J8,2)</f>
        <v>70680.2</v>
      </c>
      <c r="J8" s="232">
        <f>+'PCR Cycle 2'!K8</f>
        <v>0.39209287804949344</v>
      </c>
    </row>
    <row r="9" spans="1:34" ht="17.25" customHeight="1" x14ac:dyDescent="0.35">
      <c r="A9" s="20" t="s">
        <v>109</v>
      </c>
      <c r="I9" s="26">
        <f t="shared" ref="I9:I10" si="1">ROUND($I$5*J9,2)</f>
        <v>81904.55</v>
      </c>
      <c r="J9" s="232">
        <f>+'PCR Cycle 2'!K9</f>
        <v>0.45435908608374953</v>
      </c>
    </row>
    <row r="10" spans="1:34" ht="17.25" customHeight="1" thickBot="1" x14ac:dyDescent="0.4">
      <c r="A10" s="20" t="s">
        <v>110</v>
      </c>
      <c r="I10" s="26">
        <f t="shared" si="1"/>
        <v>27679.17</v>
      </c>
      <c r="J10" s="232">
        <f>+'PCR Cycle 2'!K10</f>
        <v>0.15354803586675725</v>
      </c>
    </row>
    <row r="11" spans="1:34" ht="17.25" customHeight="1" thickTop="1" thickBot="1" x14ac:dyDescent="0.4">
      <c r="A11" s="20" t="s">
        <v>112</v>
      </c>
      <c r="I11" s="28">
        <f>SUM(I8:I10)</f>
        <v>180263.91999999998</v>
      </c>
      <c r="J11" s="233">
        <f>SUM(J8:J10)</f>
        <v>1.0000000000000002</v>
      </c>
    </row>
    <row r="12" spans="1:34" ht="15.5" thickTop="1" thickBot="1" x14ac:dyDescent="0.4">
      <c r="U12" s="4"/>
      <c r="V12" s="5"/>
    </row>
    <row r="13" spans="1:34" ht="102" thickBot="1" x14ac:dyDescent="0.4">
      <c r="B13" s="119" t="str">
        <f>+'PCR Cycle 2'!B13</f>
        <v>Cumulative Over/Under Carryover From 12/01/2021 Filing</v>
      </c>
      <c r="C13" s="154" t="str">
        <f>+'PCR Cycle 2'!C13</f>
        <v>Reverse May 2021 - July 2021  Forecast From 12/01/2021 Filing</v>
      </c>
      <c r="D13" s="316" t="s">
        <v>33</v>
      </c>
      <c r="E13" s="306"/>
      <c r="F13" s="307"/>
      <c r="G13" s="313" t="s">
        <v>33</v>
      </c>
      <c r="H13" s="314"/>
      <c r="I13" s="315"/>
      <c r="J13" s="302" t="s">
        <v>8</v>
      </c>
      <c r="K13" s="303"/>
      <c r="L13" s="304"/>
    </row>
    <row r="14" spans="1:34" x14ac:dyDescent="0.35">
      <c r="A14" s="47" t="s">
        <v>86</v>
      </c>
      <c r="C14" s="106"/>
      <c r="D14" s="19">
        <f>+'PCR Cycle 2'!D14</f>
        <v>44165</v>
      </c>
      <c r="E14" s="19">
        <f t="shared" ref="E14:L14" si="2">EOMONTH(D14,1)</f>
        <v>44196</v>
      </c>
      <c r="F14" s="19">
        <f t="shared" si="2"/>
        <v>44227</v>
      </c>
      <c r="G14" s="14">
        <f t="shared" si="2"/>
        <v>44255</v>
      </c>
      <c r="H14" s="19">
        <f t="shared" si="2"/>
        <v>44286</v>
      </c>
      <c r="I14" s="15">
        <f t="shared" si="2"/>
        <v>44316</v>
      </c>
      <c r="J14" s="19">
        <f t="shared" si="2"/>
        <v>44347</v>
      </c>
      <c r="K14" s="19">
        <f t="shared" si="2"/>
        <v>44377</v>
      </c>
      <c r="L14" s="15">
        <f t="shared" si="2"/>
        <v>44408</v>
      </c>
      <c r="Y14" s="1"/>
      <c r="Z14" s="1"/>
      <c r="AA14" s="1"/>
      <c r="AB14" s="1"/>
      <c r="AC14" s="1"/>
      <c r="AD14" s="1"/>
      <c r="AE14" s="1"/>
      <c r="AF14" s="1"/>
      <c r="AG14" s="1"/>
      <c r="AH14" s="1"/>
    </row>
    <row r="15" spans="1:34" x14ac:dyDescent="0.35">
      <c r="A15" s="47" t="s">
        <v>5</v>
      </c>
      <c r="C15" s="98">
        <v>-906094.22</v>
      </c>
      <c r="D15" s="110">
        <f t="shared" ref="D15:K15" si="3">SUM(D24:D27)</f>
        <v>453047.11</v>
      </c>
      <c r="E15" s="110">
        <f t="shared" si="3"/>
        <v>453047.11</v>
      </c>
      <c r="F15" s="111">
        <f t="shared" si="3"/>
        <v>453047.11</v>
      </c>
      <c r="G15" s="16">
        <f t="shared" si="3"/>
        <v>465031.27999999997</v>
      </c>
      <c r="H15" s="56">
        <f t="shared" si="3"/>
        <v>465031.27999999997</v>
      </c>
      <c r="I15" s="169">
        <f t="shared" si="3"/>
        <v>465031.27999999997</v>
      </c>
      <c r="J15" s="162">
        <f t="shared" si="3"/>
        <v>465031.27999999997</v>
      </c>
      <c r="K15" s="79">
        <f t="shared" si="3"/>
        <v>465031.27999999997</v>
      </c>
      <c r="L15" s="80"/>
    </row>
    <row r="16" spans="1:34" x14ac:dyDescent="0.35">
      <c r="C16" s="100"/>
      <c r="D16" s="17"/>
      <c r="E16" s="17"/>
      <c r="F16" s="17"/>
      <c r="G16" s="10"/>
      <c r="H16" s="17"/>
      <c r="I16" s="11"/>
      <c r="J16" s="32"/>
      <c r="K16" s="32"/>
      <c r="L16" s="30"/>
    </row>
    <row r="17" spans="1:14" x14ac:dyDescent="0.35">
      <c r="A17" s="47" t="s">
        <v>87</v>
      </c>
      <c r="C17" s="100"/>
      <c r="D17" s="18"/>
      <c r="E17" s="18"/>
      <c r="F17" s="18"/>
      <c r="G17" s="92"/>
      <c r="H17" s="18"/>
      <c r="I17" s="170"/>
      <c r="J17" s="32"/>
      <c r="K17" s="32"/>
      <c r="L17" s="30"/>
      <c r="M17" s="3" t="s">
        <v>50</v>
      </c>
      <c r="N17" s="40"/>
    </row>
    <row r="18" spans="1:14" x14ac:dyDescent="0.35">
      <c r="A18" s="47" t="s">
        <v>24</v>
      </c>
      <c r="C18" s="98">
        <v>-566696.25255999994</v>
      </c>
      <c r="D18" s="137">
        <f>ROUND('[5]Nov 2020'!$F60,2)</f>
        <v>157838.62</v>
      </c>
      <c r="E18" s="137">
        <f>ROUND('[5]Dec 2020'!$F60,2)</f>
        <v>203047.83</v>
      </c>
      <c r="F18" s="137">
        <f>ROUND('[5]Jan 2021'!$F60,2)</f>
        <v>251737.43</v>
      </c>
      <c r="G18" s="190">
        <f>ROUND('[5]Feb 2021'!$F60,2)</f>
        <v>223178.01</v>
      </c>
      <c r="H18" s="122">
        <f>ROUND('[5]Mar 2021'!$F60,2)</f>
        <v>184582.56</v>
      </c>
      <c r="I18" s="171">
        <f>ROUND('[5]Apr 2021'!$F60,2)</f>
        <v>126665.37</v>
      </c>
      <c r="J18" s="124">
        <f>'PCR Cycle 2'!J26*$M18</f>
        <v>139319.92184000002</v>
      </c>
      <c r="K18" s="42">
        <f>'PCR Cycle 2'!K26*$M18</f>
        <v>176082.65644000002</v>
      </c>
      <c r="L18" s="62">
        <f>'PCR Cycle 2'!L26*$M18</f>
        <v>247270.83372000002</v>
      </c>
      <c r="M18" s="73">
        <v>6.8000000000000005E-4</v>
      </c>
      <c r="N18" s="4"/>
    </row>
    <row r="19" spans="1:14" x14ac:dyDescent="0.35">
      <c r="A19" s="47" t="s">
        <v>135</v>
      </c>
      <c r="C19" s="98">
        <v>-284520.19248000003</v>
      </c>
      <c r="D19" s="137">
        <f>ROUND('[5]Nov 2020'!$F61,2)</f>
        <v>95961.42</v>
      </c>
      <c r="E19" s="137">
        <f>ROUND('[5]Dec 2020'!$F61,2)</f>
        <v>110149.32</v>
      </c>
      <c r="F19" s="137">
        <f>ROUND('[5]Jan 2021'!$F61,2)</f>
        <v>119884.89</v>
      </c>
      <c r="G19" s="190">
        <f>ROUND('[5]Feb 2021'!$F61,2)</f>
        <v>165979.51</v>
      </c>
      <c r="H19" s="122">
        <f>ROUND('[5]Mar 2021'!$F61,2)</f>
        <v>148744.01999999999</v>
      </c>
      <c r="I19" s="171">
        <f>ROUND('[5]Apr 2021'!$F61,2)</f>
        <v>122163.28</v>
      </c>
      <c r="J19" s="124">
        <f>'PCR Cycle 2'!J27*$M19</f>
        <v>104452.4262</v>
      </c>
      <c r="K19" s="42">
        <f>'PCR Cycle 2'!K27*$M19</f>
        <v>116401.39363999999</v>
      </c>
      <c r="L19" s="62">
        <f>'PCR Cycle 2'!L27*$M19</f>
        <v>128103.75900000001</v>
      </c>
      <c r="M19" s="73">
        <v>1.16E-3</v>
      </c>
      <c r="N19" s="4"/>
    </row>
    <row r="20" spans="1:14" x14ac:dyDescent="0.35">
      <c r="A20" s="47" t="s">
        <v>136</v>
      </c>
      <c r="C20" s="98">
        <v>-316048.39569999999</v>
      </c>
      <c r="D20" s="137">
        <f>ROUND('[5]Nov 2020'!$F62,2)</f>
        <v>71723.08</v>
      </c>
      <c r="E20" s="137">
        <f>ROUND('[5]Dec 2020'!$F62,2)</f>
        <v>77630.3</v>
      </c>
      <c r="F20" s="137">
        <f>ROUND('[5]Jan 2021'!$F62,2)</f>
        <v>78440</v>
      </c>
      <c r="G20" s="190">
        <f>ROUND('[5]Feb 2021'!$F62,2)</f>
        <v>115267.16</v>
      </c>
      <c r="H20" s="122">
        <f>ROUND('[5]Mar 2021'!$F62,2)</f>
        <v>100443.9</v>
      </c>
      <c r="I20" s="171">
        <f>ROUND('[5]Apr 2021'!$F62,2)</f>
        <v>91217.13</v>
      </c>
      <c r="J20" s="124">
        <f>'PCR Cycle 2'!J28*$M20</f>
        <v>76225.65655</v>
      </c>
      <c r="K20" s="42">
        <f>'PCR Cycle 2'!K28*$M20</f>
        <v>84945.5864</v>
      </c>
      <c r="L20" s="62">
        <f>'PCR Cycle 2'!L28*$M20</f>
        <v>93485.555099999998</v>
      </c>
      <c r="M20" s="73">
        <v>8.4999999999999995E-4</v>
      </c>
      <c r="N20" s="4"/>
    </row>
    <row r="21" spans="1:14" x14ac:dyDescent="0.35">
      <c r="A21" s="47" t="s">
        <v>137</v>
      </c>
      <c r="C21" s="98">
        <v>-119135.56325000001</v>
      </c>
      <c r="D21" s="137">
        <f>ROUND('[5]Nov 2020'!$F63,2)</f>
        <v>33124.699999999997</v>
      </c>
      <c r="E21" s="137">
        <f>ROUND('[5]Dec 2020'!$F63,2)</f>
        <v>34388.370000000003</v>
      </c>
      <c r="F21" s="137">
        <f>ROUND('[5]Jan 2021'!$F63,2)</f>
        <v>32642.5</v>
      </c>
      <c r="G21" s="190">
        <f>ROUND('[5]Feb 2021'!$F63,2)</f>
        <v>34727.9</v>
      </c>
      <c r="H21" s="122">
        <f>ROUND('[5]Mar 2021'!$F63,2)</f>
        <v>38636.769999999997</v>
      </c>
      <c r="I21" s="171">
        <f>ROUND('[5]Apr 2021'!$F63,2)</f>
        <v>40135.32</v>
      </c>
      <c r="J21" s="124">
        <f>'PCR Cycle 2'!J29*$M21</f>
        <v>34801.645450000004</v>
      </c>
      <c r="K21" s="42">
        <f>'PCR Cycle 2'!K29*$M21</f>
        <v>38782.823199999999</v>
      </c>
      <c r="L21" s="62">
        <f>'PCR Cycle 2'!L29*$M21</f>
        <v>42681.838100000001</v>
      </c>
      <c r="M21" s="73">
        <v>5.5000000000000003E-4</v>
      </c>
      <c r="N21" s="4"/>
    </row>
    <row r="22" spans="1:14" x14ac:dyDescent="0.35">
      <c r="C22" s="68"/>
      <c r="D22" s="69"/>
      <c r="E22" s="69"/>
      <c r="F22" s="69"/>
      <c r="G22" s="68"/>
      <c r="H22" s="69"/>
      <c r="I22" s="172"/>
      <c r="J22" s="57"/>
      <c r="K22" s="57"/>
      <c r="L22" s="13"/>
      <c r="N22" s="4"/>
    </row>
    <row r="23" spans="1:14" x14ac:dyDescent="0.35">
      <c r="A23" s="47" t="s">
        <v>89</v>
      </c>
      <c r="C23" s="37"/>
      <c r="D23" s="38"/>
      <c r="E23" s="38"/>
      <c r="F23" s="38"/>
      <c r="G23" s="37"/>
      <c r="H23" s="38"/>
      <c r="I23" s="175"/>
      <c r="J23" s="53"/>
      <c r="K23" s="53"/>
      <c r="L23" s="39"/>
    </row>
    <row r="24" spans="1:14" x14ac:dyDescent="0.35">
      <c r="A24" s="47" t="s">
        <v>24</v>
      </c>
      <c r="C24" s="98">
        <v>-419691.44</v>
      </c>
      <c r="D24" s="110">
        <f>ROUND('EO Cycle 2'!$G$18/8,2)</f>
        <v>209845.72</v>
      </c>
      <c r="E24" s="110">
        <f>ROUND('EO Cycle 2'!$G$18/8,2)</f>
        <v>209845.72</v>
      </c>
      <c r="F24" s="111">
        <f>ROUND('EO Cycle 2'!$G$18/8,2)</f>
        <v>209845.72</v>
      </c>
      <c r="G24" s="16">
        <f>ROUND('EO Cycle 2'!$G$18/8+'EO Cycle 2'!$G$29/12,2)</f>
        <v>175689.37</v>
      </c>
      <c r="H24" s="56">
        <f>ROUND('EO Cycle 2'!$G$18/8+'EO Cycle 2'!$G$29/12,2)</f>
        <v>175689.37</v>
      </c>
      <c r="I24" s="169">
        <f>ROUND('EO Cycle 2'!$G$18/8+'EO Cycle 2'!$G$29/12,2)</f>
        <v>175689.37</v>
      </c>
      <c r="J24" s="164">
        <f>ROUND('EO Cycle 2'!$G$18/8+'EO Cycle 2'!$G$29/12,2)</f>
        <v>175689.37</v>
      </c>
      <c r="K24" s="144">
        <f>ROUND('EO Cycle 2'!$G$18/8+'EO Cycle 2'!$G$29/12,2)</f>
        <v>175689.37</v>
      </c>
      <c r="L24" s="80"/>
    </row>
    <row r="25" spans="1:14" x14ac:dyDescent="0.35">
      <c r="A25" s="47" t="s">
        <v>135</v>
      </c>
      <c r="C25" s="98">
        <v>-192124.28</v>
      </c>
      <c r="D25" s="110">
        <f>ROUND('EO Cycle 2'!$G$22/8,2)</f>
        <v>96062.14</v>
      </c>
      <c r="E25" s="110">
        <f>ROUND('EO Cycle 2'!$G$22/8,2)</f>
        <v>96062.14</v>
      </c>
      <c r="F25" s="111">
        <f>ROUND('EO Cycle 2'!$G$22/8,2)</f>
        <v>96062.14</v>
      </c>
      <c r="G25" s="16">
        <f>ROUND('EO Cycle 2'!$G$22/8+'EO Cycle 2'!$G$33/12,2)</f>
        <v>115290.58</v>
      </c>
      <c r="H25" s="56">
        <f>ROUND('EO Cycle 2'!$G$22/8+'EO Cycle 2'!$G$33/12,2)</f>
        <v>115290.58</v>
      </c>
      <c r="I25" s="169">
        <f>ROUND('EO Cycle 2'!$G$22/8+'EO Cycle 2'!$G$33/12,2)</f>
        <v>115290.58</v>
      </c>
      <c r="J25" s="164">
        <f>ROUND('EO Cycle 2'!$G$22/8+'EO Cycle 2'!$G$33/12,2)</f>
        <v>115290.58</v>
      </c>
      <c r="K25" s="144">
        <f>ROUND('EO Cycle 2'!$G$22/8+'EO Cycle 2'!$G$33/12,2)</f>
        <v>115290.58</v>
      </c>
      <c r="L25" s="80"/>
    </row>
    <row r="26" spans="1:14" x14ac:dyDescent="0.35">
      <c r="A26" s="47" t="s">
        <v>136</v>
      </c>
      <c r="C26" s="98">
        <v>-213488.6</v>
      </c>
      <c r="D26" s="110">
        <f>ROUND('EO Cycle 2'!$G$23/8,2)</f>
        <v>106744.3</v>
      </c>
      <c r="E26" s="110">
        <f>ROUND('EO Cycle 2'!$G$23/8,2)</f>
        <v>106744.3</v>
      </c>
      <c r="F26" s="111">
        <f>ROUND('EO Cycle 2'!$G$23/8,2)</f>
        <v>106744.3</v>
      </c>
      <c r="G26" s="16">
        <f>ROUND('EO Cycle 2'!$G$23/8+'EO Cycle 2'!$G$34/12,2)</f>
        <v>128335.53</v>
      </c>
      <c r="H26" s="56">
        <f>ROUND('EO Cycle 2'!$G$23/8+'EO Cycle 2'!$G$34/12,2)</f>
        <v>128335.53</v>
      </c>
      <c r="I26" s="169">
        <f>ROUND('EO Cycle 2'!$G$23/8+'EO Cycle 2'!$G$34/12,2)</f>
        <v>128335.53</v>
      </c>
      <c r="J26" s="164">
        <f>ROUND('EO Cycle 2'!$G$23/8+'EO Cycle 2'!$G$34/12,2)</f>
        <v>128335.53</v>
      </c>
      <c r="K26" s="144">
        <f>ROUND('EO Cycle 2'!$G$23/8+'EO Cycle 2'!$G$34/12,2)</f>
        <v>128335.53</v>
      </c>
      <c r="L26" s="80"/>
    </row>
    <row r="27" spans="1:14" x14ac:dyDescent="0.35">
      <c r="A27" s="47" t="s">
        <v>137</v>
      </c>
      <c r="C27" s="98">
        <v>-80789.899999999994</v>
      </c>
      <c r="D27" s="110">
        <f>ROUND('EO Cycle 2'!$G$24/8,2)</f>
        <v>40394.949999999997</v>
      </c>
      <c r="E27" s="110">
        <f>ROUND('EO Cycle 2'!$G$24/8,2)</f>
        <v>40394.949999999997</v>
      </c>
      <c r="F27" s="111">
        <f>ROUND('EO Cycle 2'!$G$24/8,2)</f>
        <v>40394.949999999997</v>
      </c>
      <c r="G27" s="16">
        <f>ROUND('EO Cycle 2'!$G$24/8+'EO Cycle 2'!$G$35/12,2)</f>
        <v>45715.8</v>
      </c>
      <c r="H27" s="56">
        <f>ROUND('EO Cycle 2'!$G$24/8+'EO Cycle 2'!$G$35/12,2)</f>
        <v>45715.8</v>
      </c>
      <c r="I27" s="169">
        <f>ROUND('EO Cycle 2'!$G$24/8+'EO Cycle 2'!$G$35/12,2)</f>
        <v>45715.8</v>
      </c>
      <c r="J27" s="164">
        <f>ROUND('EO Cycle 2'!$G$24/8+'EO Cycle 2'!$G$35/12,2)</f>
        <v>45715.8</v>
      </c>
      <c r="K27" s="144">
        <f>ROUND('EO Cycle 2'!$G$24/8+'EO Cycle 2'!$G$35/12,2)</f>
        <v>45715.8</v>
      </c>
      <c r="L27" s="80"/>
      <c r="N27" s="48"/>
    </row>
    <row r="28" spans="1:14" x14ac:dyDescent="0.35">
      <c r="C28" s="100"/>
      <c r="D28" s="18"/>
      <c r="E28" s="18"/>
      <c r="F28" s="18"/>
      <c r="G28" s="92"/>
      <c r="H28" s="18"/>
      <c r="I28" s="170"/>
      <c r="J28" s="57"/>
      <c r="K28" s="57"/>
      <c r="L28" s="13"/>
    </row>
    <row r="29" spans="1:14" ht="15" thickBot="1" x14ac:dyDescent="0.4">
      <c r="A29" s="3" t="s">
        <v>14</v>
      </c>
      <c r="B29" s="3"/>
      <c r="C29" s="104">
        <v>-908.48</v>
      </c>
      <c r="D29" s="137">
        <v>414.21999999999997</v>
      </c>
      <c r="E29" s="137">
        <v>488.03</v>
      </c>
      <c r="F29" s="138">
        <v>480.52</v>
      </c>
      <c r="G29" s="27">
        <v>416.96999999999997</v>
      </c>
      <c r="H29" s="123">
        <v>369.24</v>
      </c>
      <c r="I29" s="176">
        <v>414.71999999999997</v>
      </c>
      <c r="J29" s="165">
        <v>525.87</v>
      </c>
      <c r="K29" s="146">
        <v>616.69000000000005</v>
      </c>
      <c r="L29" s="83"/>
    </row>
    <row r="30" spans="1:14" x14ac:dyDescent="0.35">
      <c r="C30" s="65"/>
      <c r="D30" s="150"/>
      <c r="E30" s="150"/>
      <c r="F30" s="151"/>
      <c r="G30" s="65"/>
      <c r="H30" s="34"/>
      <c r="I30" s="177"/>
      <c r="J30" s="35"/>
      <c r="K30" s="35"/>
      <c r="L30" s="61"/>
    </row>
    <row r="31" spans="1:14" x14ac:dyDescent="0.35">
      <c r="A31" s="47" t="s">
        <v>52</v>
      </c>
      <c r="C31" s="66"/>
      <c r="D31" s="151"/>
      <c r="E31" s="151"/>
      <c r="F31" s="151"/>
      <c r="G31" s="66"/>
      <c r="H31" s="36"/>
      <c r="I31" s="178"/>
      <c r="J31" s="35"/>
      <c r="K31" s="35"/>
      <c r="L31" s="61"/>
    </row>
    <row r="32" spans="1:14" x14ac:dyDescent="0.35">
      <c r="A32" s="47" t="s">
        <v>24</v>
      </c>
      <c r="C32" s="101">
        <f t="shared" ref="C32:L32" si="4">C24-C18</f>
        <v>147004.81255999993</v>
      </c>
      <c r="D32" s="42">
        <f t="shared" si="4"/>
        <v>52007.100000000006</v>
      </c>
      <c r="E32" s="42">
        <f t="shared" si="4"/>
        <v>6797.890000000014</v>
      </c>
      <c r="F32" s="109">
        <f t="shared" si="4"/>
        <v>-41891.709999999992</v>
      </c>
      <c r="G32" s="41">
        <f t="shared" si="4"/>
        <v>-47488.640000000014</v>
      </c>
      <c r="H32" s="42">
        <f t="shared" si="4"/>
        <v>-8893.1900000000023</v>
      </c>
      <c r="I32" s="62">
        <f t="shared" si="4"/>
        <v>49024</v>
      </c>
      <c r="J32" s="124">
        <f t="shared" si="4"/>
        <v>36369.448159999971</v>
      </c>
      <c r="K32" s="42">
        <f t="shared" si="4"/>
        <v>-393.28644000002532</v>
      </c>
      <c r="L32" s="62">
        <f t="shared" si="4"/>
        <v>-247270.83372000002</v>
      </c>
    </row>
    <row r="33" spans="1:12" x14ac:dyDescent="0.35">
      <c r="A33" s="47" t="s">
        <v>135</v>
      </c>
      <c r="C33" s="101">
        <f t="shared" ref="C33:L33" si="5">C25-C19</f>
        <v>92395.912480000028</v>
      </c>
      <c r="D33" s="42">
        <f t="shared" si="5"/>
        <v>100.72000000000116</v>
      </c>
      <c r="E33" s="42">
        <f t="shared" si="5"/>
        <v>-14087.180000000008</v>
      </c>
      <c r="F33" s="109">
        <f t="shared" si="5"/>
        <v>-23822.75</v>
      </c>
      <c r="G33" s="41">
        <f t="shared" si="5"/>
        <v>-50688.930000000008</v>
      </c>
      <c r="H33" s="42">
        <f t="shared" si="5"/>
        <v>-33453.439999999988</v>
      </c>
      <c r="I33" s="62">
        <f t="shared" si="5"/>
        <v>-6872.6999999999971</v>
      </c>
      <c r="J33" s="124">
        <f t="shared" si="5"/>
        <v>10838.1538</v>
      </c>
      <c r="K33" s="42">
        <f t="shared" si="5"/>
        <v>-1110.813639999993</v>
      </c>
      <c r="L33" s="62">
        <f t="shared" si="5"/>
        <v>-128103.75900000001</v>
      </c>
    </row>
    <row r="34" spans="1:12" x14ac:dyDescent="0.35">
      <c r="A34" s="47" t="s">
        <v>136</v>
      </c>
      <c r="C34" s="101">
        <f t="shared" ref="C34:L34" si="6">C26-C20</f>
        <v>102559.79569999999</v>
      </c>
      <c r="D34" s="42">
        <f t="shared" si="6"/>
        <v>35021.22</v>
      </c>
      <c r="E34" s="42">
        <f t="shared" si="6"/>
        <v>29114</v>
      </c>
      <c r="F34" s="109">
        <f t="shared" si="6"/>
        <v>28304.300000000003</v>
      </c>
      <c r="G34" s="41">
        <f t="shared" si="6"/>
        <v>13068.369999999995</v>
      </c>
      <c r="H34" s="42">
        <f t="shared" si="6"/>
        <v>27891.630000000005</v>
      </c>
      <c r="I34" s="62">
        <f t="shared" si="6"/>
        <v>37118.399999999994</v>
      </c>
      <c r="J34" s="124">
        <f t="shared" si="6"/>
        <v>52109.873449999999</v>
      </c>
      <c r="K34" s="42">
        <f t="shared" si="6"/>
        <v>43389.943599999999</v>
      </c>
      <c r="L34" s="62">
        <f t="shared" si="6"/>
        <v>-93485.555099999998</v>
      </c>
    </row>
    <row r="35" spans="1:12" x14ac:dyDescent="0.35">
      <c r="A35" s="47" t="s">
        <v>137</v>
      </c>
      <c r="C35" s="101">
        <f t="shared" ref="C35:L35" si="7">C27-C21</f>
        <v>38345.663250000012</v>
      </c>
      <c r="D35" s="42">
        <f t="shared" si="7"/>
        <v>7270.25</v>
      </c>
      <c r="E35" s="42">
        <f t="shared" si="7"/>
        <v>6006.5799999999945</v>
      </c>
      <c r="F35" s="109">
        <f t="shared" si="7"/>
        <v>7752.4499999999971</v>
      </c>
      <c r="G35" s="41">
        <f t="shared" si="7"/>
        <v>10987.900000000001</v>
      </c>
      <c r="H35" s="42">
        <f t="shared" si="7"/>
        <v>7079.0300000000061</v>
      </c>
      <c r="I35" s="62">
        <f t="shared" si="7"/>
        <v>5580.4800000000032</v>
      </c>
      <c r="J35" s="124">
        <f t="shared" si="7"/>
        <v>10914.154549999999</v>
      </c>
      <c r="K35" s="42">
        <f t="shared" si="7"/>
        <v>6932.976800000004</v>
      </c>
      <c r="L35" s="62">
        <f t="shared" si="7"/>
        <v>-42681.838100000001</v>
      </c>
    </row>
    <row r="36" spans="1:12" x14ac:dyDescent="0.35">
      <c r="C36" s="100"/>
      <c r="D36" s="17"/>
      <c r="E36" s="17"/>
      <c r="F36" s="17"/>
      <c r="G36" s="10"/>
      <c r="H36" s="17"/>
      <c r="I36" s="11"/>
      <c r="J36" s="17"/>
      <c r="K36" s="17"/>
      <c r="L36" s="11"/>
    </row>
    <row r="37" spans="1:12" ht="15" thickBot="1" x14ac:dyDescent="0.4">
      <c r="A37" s="47" t="s">
        <v>53</v>
      </c>
      <c r="C37" s="100"/>
      <c r="D37" s="17"/>
      <c r="E37" s="17"/>
      <c r="F37" s="17"/>
      <c r="G37" s="10"/>
      <c r="H37" s="17"/>
      <c r="I37" s="11"/>
      <c r="J37" s="17"/>
      <c r="K37" s="17"/>
      <c r="L37" s="11"/>
    </row>
    <row r="38" spans="1:12" x14ac:dyDescent="0.35">
      <c r="A38" s="47" t="s">
        <v>24</v>
      </c>
      <c r="B38" s="117">
        <v>-69069.804739999992</v>
      </c>
      <c r="C38" s="101">
        <f t="shared" ref="C38:L38" si="8">B38+C32+B45</f>
        <v>77935.007819999941</v>
      </c>
      <c r="D38" s="42">
        <f t="shared" si="8"/>
        <v>129619.19781999994</v>
      </c>
      <c r="E38" s="42">
        <f t="shared" si="8"/>
        <v>136537.29781999995</v>
      </c>
      <c r="F38" s="109">
        <f t="shared" si="8"/>
        <v>94800.817819999953</v>
      </c>
      <c r="G38" s="41">
        <f t="shared" si="8"/>
        <v>47445.187819999941</v>
      </c>
      <c r="H38" s="42">
        <f t="shared" si="8"/>
        <v>38632.937819999941</v>
      </c>
      <c r="I38" s="62">
        <f t="shared" si="8"/>
        <v>87705.66781999993</v>
      </c>
      <c r="J38" s="124">
        <f t="shared" si="8"/>
        <v>124146.8159799999</v>
      </c>
      <c r="K38" s="42">
        <f t="shared" si="8"/>
        <v>123873.75953999987</v>
      </c>
      <c r="L38" s="62">
        <f t="shared" si="8"/>
        <v>-123256.30418000015</v>
      </c>
    </row>
    <row r="39" spans="1:12" x14ac:dyDescent="0.35">
      <c r="A39" s="47" t="s">
        <v>135</v>
      </c>
      <c r="B39" s="252">
        <v>-157644.08887999994</v>
      </c>
      <c r="C39" s="101">
        <f t="shared" ref="C39:L39" si="9">B39+C33+B46</f>
        <v>-65248.176399999909</v>
      </c>
      <c r="D39" s="42">
        <f t="shared" si="9"/>
        <v>-65013.316399999909</v>
      </c>
      <c r="E39" s="42">
        <f t="shared" si="9"/>
        <v>-79175.976399999912</v>
      </c>
      <c r="F39" s="109">
        <f t="shared" si="9"/>
        <v>-103082.82639999992</v>
      </c>
      <c r="G39" s="41">
        <f t="shared" si="9"/>
        <v>-153876.52639999992</v>
      </c>
      <c r="H39" s="42">
        <f t="shared" si="9"/>
        <v>-187476.10639999993</v>
      </c>
      <c r="I39" s="62">
        <f t="shared" si="9"/>
        <v>-194541.95639999994</v>
      </c>
      <c r="J39" s="124">
        <f t="shared" si="9"/>
        <v>-183920.63259999992</v>
      </c>
      <c r="K39" s="42">
        <f t="shared" si="9"/>
        <v>-185246.27623999989</v>
      </c>
      <c r="L39" s="62">
        <f t="shared" si="9"/>
        <v>-313559.58523999987</v>
      </c>
    </row>
    <row r="40" spans="1:12" x14ac:dyDescent="0.35">
      <c r="A40" s="47" t="s">
        <v>136</v>
      </c>
      <c r="B40" s="252">
        <v>122954.58926000001</v>
      </c>
      <c r="C40" s="101">
        <f t="shared" ref="C40:L40" si="10">B40+C34+B47</f>
        <v>225514.38496</v>
      </c>
      <c r="D40" s="42">
        <f t="shared" si="10"/>
        <v>259992.17496</v>
      </c>
      <c r="E40" s="42">
        <f t="shared" si="10"/>
        <v>289387.48495999997</v>
      </c>
      <c r="F40" s="109">
        <f t="shared" si="10"/>
        <v>318012.22495999996</v>
      </c>
      <c r="G40" s="41">
        <f t="shared" si="10"/>
        <v>331429.77495999995</v>
      </c>
      <c r="H40" s="42">
        <f t="shared" si="10"/>
        <v>359690.80495999998</v>
      </c>
      <c r="I40" s="62">
        <f t="shared" si="10"/>
        <v>397200.31495999999</v>
      </c>
      <c r="J40" s="124">
        <f t="shared" si="10"/>
        <v>449739.79840999999</v>
      </c>
      <c r="K40" s="42">
        <f t="shared" si="10"/>
        <v>493610.46200999996</v>
      </c>
      <c r="L40" s="62">
        <f t="shared" si="10"/>
        <v>400660.34690999996</v>
      </c>
    </row>
    <row r="41" spans="1:12" ht="15" thickBot="1" x14ac:dyDescent="0.4">
      <c r="A41" s="47" t="s">
        <v>137</v>
      </c>
      <c r="B41" s="118">
        <v>34208.70734999999</v>
      </c>
      <c r="C41" s="101">
        <f t="shared" ref="C41:L41" si="11">B41+C35+B48</f>
        <v>72554.370599999995</v>
      </c>
      <c r="D41" s="42">
        <f t="shared" si="11"/>
        <v>79648.340599999996</v>
      </c>
      <c r="E41" s="42">
        <f t="shared" si="11"/>
        <v>85743.100599999976</v>
      </c>
      <c r="F41" s="109">
        <f t="shared" si="11"/>
        <v>93592.020599999974</v>
      </c>
      <c r="G41" s="41">
        <f t="shared" si="11"/>
        <v>104683.02059999999</v>
      </c>
      <c r="H41" s="42">
        <f t="shared" si="11"/>
        <v>111874.82059999999</v>
      </c>
      <c r="I41" s="62">
        <f t="shared" si="11"/>
        <v>117577.85059999999</v>
      </c>
      <c r="J41" s="124">
        <f t="shared" si="11"/>
        <v>128622.24514999999</v>
      </c>
      <c r="K41" s="42">
        <f t="shared" si="11"/>
        <v>135694.97194999998</v>
      </c>
      <c r="L41" s="62">
        <f t="shared" si="11"/>
        <v>93163.163849999983</v>
      </c>
    </row>
    <row r="42" spans="1:12" x14ac:dyDescent="0.35">
      <c r="C42" s="100"/>
      <c r="D42" s="17"/>
      <c r="E42" s="17"/>
      <c r="F42" s="17"/>
      <c r="G42" s="10"/>
      <c r="H42" s="17"/>
      <c r="I42" s="11"/>
      <c r="J42" s="17"/>
      <c r="K42" s="17"/>
      <c r="L42" s="11"/>
    </row>
    <row r="43" spans="1:12" x14ac:dyDescent="0.35">
      <c r="A43" s="40" t="s">
        <v>88</v>
      </c>
      <c r="B43" s="40"/>
      <c r="C43" s="105"/>
      <c r="D43" s="84">
        <f>+'PCR Cycle 2'!D47</f>
        <v>1.1601199999999999E-3</v>
      </c>
      <c r="E43" s="84">
        <f>+'PCR Cycle 2'!E47</f>
        <v>1.1659400000000001E-3</v>
      </c>
      <c r="F43" s="84">
        <f>+'PCR Cycle 2'!F47</f>
        <v>1.14916E-3</v>
      </c>
      <c r="G43" s="85">
        <f>+'PCR Cycle 2'!G47</f>
        <v>1.13697E-3</v>
      </c>
      <c r="H43" s="84">
        <f>+'PCR Cycle 2'!H47</f>
        <v>1.1312099999999999E-3</v>
      </c>
      <c r="I43" s="93">
        <f>+'PCR Cycle 2'!I47</f>
        <v>1.13462E-3</v>
      </c>
      <c r="J43" s="84">
        <f>+'PCR Cycle 2'!J47</f>
        <v>1.13462E-3</v>
      </c>
      <c r="K43" s="84">
        <f>+'PCR Cycle 2'!K47</f>
        <v>1.13462E-3</v>
      </c>
      <c r="L43" s="86"/>
    </row>
    <row r="44" spans="1:12" x14ac:dyDescent="0.35">
      <c r="A44" s="40" t="s">
        <v>37</v>
      </c>
      <c r="B44" s="40"/>
      <c r="C44" s="107"/>
      <c r="D44" s="84"/>
      <c r="E44" s="84"/>
      <c r="F44" s="84"/>
      <c r="G44" s="85"/>
      <c r="H44" s="84"/>
      <c r="I44" s="86"/>
      <c r="J44" s="84"/>
      <c r="K44" s="84"/>
      <c r="L44" s="86"/>
    </row>
    <row r="45" spans="1:12" x14ac:dyDescent="0.35">
      <c r="A45" s="47" t="s">
        <v>24</v>
      </c>
      <c r="C45" s="101">
        <v>-322.90999999999997</v>
      </c>
      <c r="D45" s="42">
        <f t="shared" ref="D45:L45" si="12">ROUND((C38+C45+D32/2)*D$43,2)</f>
        <v>120.21</v>
      </c>
      <c r="E45" s="42">
        <f t="shared" si="12"/>
        <v>155.22999999999999</v>
      </c>
      <c r="F45" s="109">
        <f t="shared" si="12"/>
        <v>133.01</v>
      </c>
      <c r="G45" s="41">
        <f t="shared" si="12"/>
        <v>80.94</v>
      </c>
      <c r="H45" s="124">
        <f t="shared" si="12"/>
        <v>48.73</v>
      </c>
      <c r="I45" s="50">
        <f t="shared" si="12"/>
        <v>71.7</v>
      </c>
      <c r="J45" s="166">
        <f t="shared" si="12"/>
        <v>120.23</v>
      </c>
      <c r="K45" s="109">
        <f t="shared" si="12"/>
        <v>140.77000000000001</v>
      </c>
      <c r="L45" s="62">
        <f t="shared" si="12"/>
        <v>0</v>
      </c>
    </row>
    <row r="46" spans="1:12" x14ac:dyDescent="0.35">
      <c r="A46" s="47" t="s">
        <v>135</v>
      </c>
      <c r="C46" s="101">
        <v>134.13999999999999</v>
      </c>
      <c r="D46" s="42">
        <f t="shared" ref="D46:L46" si="13">ROUND((C39+C46+D33/2)*D$43,2)</f>
        <v>-75.48</v>
      </c>
      <c r="E46" s="42">
        <f t="shared" si="13"/>
        <v>-84.1</v>
      </c>
      <c r="F46" s="109">
        <f t="shared" si="13"/>
        <v>-104.77</v>
      </c>
      <c r="G46" s="41">
        <f t="shared" si="13"/>
        <v>-146.13999999999999</v>
      </c>
      <c r="H46" s="124">
        <f t="shared" si="13"/>
        <v>-193.15</v>
      </c>
      <c r="I46" s="50">
        <f t="shared" si="13"/>
        <v>-216.83</v>
      </c>
      <c r="J46" s="166">
        <f t="shared" si="13"/>
        <v>-214.83</v>
      </c>
      <c r="K46" s="109">
        <f t="shared" si="13"/>
        <v>-209.55</v>
      </c>
      <c r="L46" s="62">
        <f t="shared" si="13"/>
        <v>0</v>
      </c>
    </row>
    <row r="47" spans="1:12" x14ac:dyDescent="0.35">
      <c r="A47" s="47" t="s">
        <v>136</v>
      </c>
      <c r="C47" s="101">
        <v>-543.43000000000006</v>
      </c>
      <c r="D47" s="42">
        <f t="shared" ref="D47:L47" si="14">ROUND((C40+C47+D34/2)*D$43,2)</f>
        <v>281.31</v>
      </c>
      <c r="E47" s="42">
        <f t="shared" si="14"/>
        <v>320.44</v>
      </c>
      <c r="F47" s="109">
        <f t="shared" si="14"/>
        <v>349.18</v>
      </c>
      <c r="G47" s="41">
        <f t="shared" si="14"/>
        <v>369.4</v>
      </c>
      <c r="H47" s="124">
        <f t="shared" si="14"/>
        <v>391.11</v>
      </c>
      <c r="I47" s="50">
        <f t="shared" si="14"/>
        <v>429.61</v>
      </c>
      <c r="J47" s="166">
        <f t="shared" si="14"/>
        <v>480.72</v>
      </c>
      <c r="K47" s="109">
        <f t="shared" si="14"/>
        <v>535.44000000000005</v>
      </c>
      <c r="L47" s="62">
        <f t="shared" si="14"/>
        <v>0</v>
      </c>
    </row>
    <row r="48" spans="1:12" ht="15" thickBot="1" x14ac:dyDescent="0.4">
      <c r="A48" s="47" t="s">
        <v>137</v>
      </c>
      <c r="C48" s="101">
        <v>-176.28</v>
      </c>
      <c r="D48" s="42">
        <f t="shared" ref="D48:L48" si="15">ROUND((C41+C48+D35/2)*D$43,2)</f>
        <v>88.18</v>
      </c>
      <c r="E48" s="42">
        <f t="shared" si="15"/>
        <v>96.47</v>
      </c>
      <c r="F48" s="109">
        <f t="shared" si="15"/>
        <v>103.1</v>
      </c>
      <c r="G48" s="41">
        <f t="shared" si="15"/>
        <v>112.77</v>
      </c>
      <c r="H48" s="124">
        <f t="shared" si="15"/>
        <v>122.55</v>
      </c>
      <c r="I48" s="50">
        <f t="shared" si="15"/>
        <v>130.24</v>
      </c>
      <c r="J48" s="166">
        <f t="shared" si="15"/>
        <v>139.75</v>
      </c>
      <c r="K48" s="109">
        <f t="shared" si="15"/>
        <v>150.03</v>
      </c>
      <c r="L48" s="62">
        <f t="shared" si="15"/>
        <v>0</v>
      </c>
    </row>
    <row r="49" spans="1:12" ht="15.5" thickTop="1" thickBot="1" x14ac:dyDescent="0.4">
      <c r="A49" s="55" t="s">
        <v>22</v>
      </c>
      <c r="B49" s="55"/>
      <c r="C49" s="108">
        <v>0</v>
      </c>
      <c r="D49" s="43">
        <f t="shared" ref="D49:L49" si="16">SUM(D45:D48)+SUM(D38:D41)-D52</f>
        <v>0</v>
      </c>
      <c r="E49" s="43">
        <f t="shared" si="16"/>
        <v>0</v>
      </c>
      <c r="F49" s="51">
        <f t="shared" si="16"/>
        <v>0</v>
      </c>
      <c r="G49" s="148">
        <f t="shared" si="16"/>
        <v>0</v>
      </c>
      <c r="H49" s="51">
        <f t="shared" si="16"/>
        <v>0</v>
      </c>
      <c r="I49" s="63">
        <f t="shared" si="16"/>
        <v>0</v>
      </c>
      <c r="J49" s="167">
        <f t="shared" si="16"/>
        <v>0</v>
      </c>
      <c r="K49" s="51">
        <f t="shared" si="16"/>
        <v>0</v>
      </c>
      <c r="L49" s="63">
        <f t="shared" si="16"/>
        <v>8.7311491370201111E-11</v>
      </c>
    </row>
    <row r="50" spans="1:12" ht="15.5" thickTop="1" thickBot="1" x14ac:dyDescent="0.4">
      <c r="A50" s="55" t="s">
        <v>23</v>
      </c>
      <c r="B50" s="55"/>
      <c r="C50" s="108">
        <v>0</v>
      </c>
      <c r="D50" s="43">
        <f t="shared" ref="D50:L50" si="17">SUM(D45:D48)-D29</f>
        <v>0</v>
      </c>
      <c r="E50" s="43">
        <f t="shared" si="17"/>
        <v>9.9999999999909051E-3</v>
      </c>
      <c r="F50" s="51">
        <f t="shared" si="17"/>
        <v>0</v>
      </c>
      <c r="G50" s="148">
        <f t="shared" si="17"/>
        <v>0</v>
      </c>
      <c r="H50" s="51">
        <f t="shared" si="17"/>
        <v>0</v>
      </c>
      <c r="I50" s="63">
        <f t="shared" si="17"/>
        <v>0</v>
      </c>
      <c r="J50" s="168">
        <f t="shared" si="17"/>
        <v>0</v>
      </c>
      <c r="K50" s="43">
        <f t="shared" si="17"/>
        <v>0</v>
      </c>
      <c r="L50" s="43">
        <f t="shared" si="17"/>
        <v>0</v>
      </c>
    </row>
    <row r="51" spans="1:12" ht="15.5" thickTop="1" thickBot="1" x14ac:dyDescent="0.4">
      <c r="C51" s="100"/>
      <c r="D51" s="17"/>
      <c r="E51" s="17"/>
      <c r="F51" s="17"/>
      <c r="G51" s="10"/>
      <c r="H51" s="17"/>
      <c r="I51" s="11"/>
      <c r="J51" s="17"/>
      <c r="K51" s="17"/>
      <c r="L51" s="11"/>
    </row>
    <row r="52" spans="1:12" ht="15" thickBot="1" x14ac:dyDescent="0.4">
      <c r="A52" s="47" t="s">
        <v>36</v>
      </c>
      <c r="B52" s="120">
        <f>SUM(B38:B41)</f>
        <v>-69550.597009999939</v>
      </c>
      <c r="C52" s="101">
        <f t="shared" ref="C52:L52" si="18">(C15-SUM(C18:C21))+SUM(C45:C48)+B52</f>
        <v>309847.10698000016</v>
      </c>
      <c r="D52" s="42">
        <f t="shared" si="18"/>
        <v>404660.61698000017</v>
      </c>
      <c r="E52" s="42">
        <f t="shared" si="18"/>
        <v>432979.94698000012</v>
      </c>
      <c r="F52" s="109">
        <f t="shared" si="18"/>
        <v>403802.75698000012</v>
      </c>
      <c r="G52" s="41">
        <f t="shared" si="18"/>
        <v>330098.42697999999</v>
      </c>
      <c r="H52" s="42">
        <f t="shared" si="18"/>
        <v>323091.69697999995</v>
      </c>
      <c r="I52" s="62">
        <f t="shared" si="18"/>
        <v>408356.59697999991</v>
      </c>
      <c r="J52" s="166">
        <f t="shared" si="18"/>
        <v>519114.09693999984</v>
      </c>
      <c r="K52" s="109">
        <f t="shared" si="18"/>
        <v>568549.60725999984</v>
      </c>
      <c r="L52" s="62">
        <f t="shared" si="18"/>
        <v>57007.621339999838</v>
      </c>
    </row>
    <row r="53" spans="1:12" x14ac:dyDescent="0.35">
      <c r="A53" s="47" t="s">
        <v>12</v>
      </c>
      <c r="C53" s="121"/>
      <c r="D53" s="17"/>
      <c r="E53" s="17"/>
      <c r="F53" s="17"/>
      <c r="G53" s="10"/>
      <c r="H53" s="17"/>
      <c r="I53" s="11"/>
      <c r="J53" s="17"/>
      <c r="K53" s="17"/>
      <c r="L53" s="11"/>
    </row>
    <row r="54" spans="1:12" ht="15" thickBot="1" x14ac:dyDescent="0.4">
      <c r="A54" s="38"/>
      <c r="B54" s="38"/>
      <c r="C54" s="149"/>
      <c r="D54" s="45"/>
      <c r="E54" s="45"/>
      <c r="F54" s="45"/>
      <c r="G54" s="44"/>
      <c r="H54" s="45"/>
      <c r="I54" s="46"/>
      <c r="J54" s="45"/>
      <c r="K54" s="45"/>
      <c r="L54" s="46"/>
    </row>
    <row r="56" spans="1:12" x14ac:dyDescent="0.35">
      <c r="A56" s="70" t="s">
        <v>11</v>
      </c>
      <c r="B56" s="70"/>
      <c r="C56" s="70"/>
    </row>
    <row r="57" spans="1:12" ht="31.5" customHeight="1" x14ac:dyDescent="0.35">
      <c r="A57" s="305" t="s">
        <v>189</v>
      </c>
      <c r="B57" s="305"/>
      <c r="C57" s="305"/>
      <c r="D57" s="305"/>
      <c r="E57" s="305"/>
      <c r="F57" s="305"/>
      <c r="G57" s="305"/>
      <c r="H57" s="305"/>
      <c r="I57" s="305"/>
      <c r="J57" s="241"/>
      <c r="K57" s="241"/>
      <c r="L57" s="241"/>
    </row>
    <row r="58" spans="1:12" ht="45" customHeight="1" x14ac:dyDescent="0.35">
      <c r="A58" s="305" t="s">
        <v>188</v>
      </c>
      <c r="B58" s="305"/>
      <c r="C58" s="305"/>
      <c r="D58" s="305"/>
      <c r="E58" s="305"/>
      <c r="F58" s="305"/>
      <c r="G58" s="305"/>
      <c r="H58" s="305"/>
      <c r="I58" s="305"/>
      <c r="J58" s="241"/>
      <c r="K58" s="241"/>
    </row>
    <row r="59" spans="1:12" ht="18.75" customHeight="1" x14ac:dyDescent="0.35">
      <c r="A59" s="305" t="s">
        <v>190</v>
      </c>
      <c r="B59" s="305"/>
      <c r="C59" s="305"/>
      <c r="D59" s="305"/>
      <c r="E59" s="305"/>
      <c r="F59" s="305"/>
      <c r="G59" s="305"/>
      <c r="H59" s="305"/>
      <c r="I59" s="305"/>
      <c r="J59" s="241"/>
      <c r="K59" s="241"/>
      <c r="L59" s="241"/>
    </row>
    <row r="60" spans="1:12" x14ac:dyDescent="0.35">
      <c r="A60" s="64" t="s">
        <v>31</v>
      </c>
      <c r="B60" s="64"/>
      <c r="C60" s="64"/>
      <c r="D60" s="40"/>
      <c r="E60" s="40"/>
      <c r="F60" s="40"/>
      <c r="G60" s="40"/>
      <c r="H60" s="40"/>
      <c r="I60" s="40"/>
    </row>
    <row r="61" spans="1:12" x14ac:dyDescent="0.35">
      <c r="A61" s="64" t="s">
        <v>174</v>
      </c>
      <c r="B61" s="64"/>
      <c r="C61" s="64"/>
      <c r="D61" s="40"/>
      <c r="E61" s="40"/>
      <c r="F61" s="40"/>
      <c r="G61" s="40"/>
      <c r="H61" s="40"/>
      <c r="I61" s="40"/>
    </row>
    <row r="62" spans="1:12" x14ac:dyDescent="0.35">
      <c r="A62" s="64" t="s">
        <v>96</v>
      </c>
      <c r="B62" s="64"/>
      <c r="C62" s="64"/>
      <c r="D62" s="40"/>
      <c r="E62" s="40"/>
      <c r="F62" s="40"/>
      <c r="G62" s="40"/>
      <c r="H62" s="40"/>
      <c r="I62" s="40"/>
    </row>
    <row r="63" spans="1:12" x14ac:dyDescent="0.35">
      <c r="A63" s="3" t="s">
        <v>175</v>
      </c>
      <c r="B63" s="3"/>
      <c r="C63" s="3"/>
    </row>
  </sheetData>
  <mergeCells count="6">
    <mergeCell ref="A59:I59"/>
    <mergeCell ref="D13:F13"/>
    <mergeCell ref="G13:I13"/>
    <mergeCell ref="J13:L13"/>
    <mergeCell ref="A57:I57"/>
    <mergeCell ref="A58:I58"/>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33"/>
  <sheetViews>
    <sheetView workbookViewId="0">
      <selection activeCell="G12" sqref="G12"/>
    </sheetView>
  </sheetViews>
  <sheetFormatPr defaultColWidth="9.1796875" defaultRowHeight="14.5" x14ac:dyDescent="0.35"/>
  <cols>
    <col min="1" max="1" width="43.1796875" style="47" customWidth="1"/>
    <col min="2" max="2" width="14.26953125" style="47" bestFit="1" customWidth="1"/>
    <col min="3" max="3" width="14.26953125" style="47" customWidth="1"/>
    <col min="4" max="4" width="13.26953125" style="47" bestFit="1" customWidth="1"/>
    <col min="5" max="5" width="9.7265625" style="47" bestFit="1" customWidth="1"/>
    <col min="6" max="6" width="11.26953125" style="47" bestFit="1" customWidth="1"/>
    <col min="7" max="16384" width="9.1796875" style="47"/>
  </cols>
  <sheetData>
    <row r="1" spans="1:6" x14ac:dyDescent="0.35">
      <c r="A1" s="64" t="str">
        <f>+'PPC Cycle 3'!A1</f>
        <v>Evergy Missouri West, Inc. - DSIM Rider Update Filed 06/01/2021</v>
      </c>
    </row>
    <row r="2" spans="1:6" x14ac:dyDescent="0.35">
      <c r="A2" s="9" t="str">
        <f>+'PPC Cycle 3'!A2</f>
        <v>Projections for Cycle 2 July 2021 - June 2022 DSIM</v>
      </c>
    </row>
    <row r="3" spans="1:6" ht="45.75" customHeight="1" x14ac:dyDescent="0.35">
      <c r="B3" s="300" t="s">
        <v>98</v>
      </c>
      <c r="C3" s="300"/>
      <c r="D3" s="300"/>
    </row>
    <row r="4" spans="1:6" x14ac:dyDescent="0.35">
      <c r="B4" s="71"/>
      <c r="C4" s="71"/>
      <c r="D4" s="49" t="s">
        <v>17</v>
      </c>
    </row>
    <row r="5" spans="1:6" x14ac:dyDescent="0.35">
      <c r="A5" s="20" t="s">
        <v>84</v>
      </c>
      <c r="B5" s="71"/>
      <c r="C5" s="71"/>
      <c r="D5" s="195">
        <f>-'[20]MO West'!$E$113</f>
        <v>-5000</v>
      </c>
    </row>
    <row r="6" spans="1:6" x14ac:dyDescent="0.35">
      <c r="A6" s="20" t="s">
        <v>85</v>
      </c>
      <c r="B6" s="71"/>
      <c r="C6" s="71"/>
      <c r="D6" s="195">
        <f>+'[21]MOWest Ordered Adjustmt Cycle 2'!$AK$95</f>
        <v>-300.13000000000005</v>
      </c>
    </row>
    <row r="7" spans="1:6" ht="58" x14ac:dyDescent="0.35">
      <c r="A7" s="20"/>
      <c r="B7" s="71"/>
      <c r="C7" s="71" t="s">
        <v>93</v>
      </c>
      <c r="D7" s="281" t="s">
        <v>84</v>
      </c>
      <c r="E7" s="282" t="s">
        <v>85</v>
      </c>
      <c r="F7" s="282" t="s">
        <v>5</v>
      </c>
    </row>
    <row r="8" spans="1:6" x14ac:dyDescent="0.35">
      <c r="A8" s="20" t="s">
        <v>24</v>
      </c>
      <c r="B8" s="71"/>
      <c r="C8" s="194">
        <v>4.8576473868458666E-3</v>
      </c>
      <c r="D8" s="224">
        <f>-'[20]MO West'!$E$111</f>
        <v>-24.29</v>
      </c>
      <c r="E8" s="224">
        <f>+'[21]MOWest Ordered Adjustmt Cycle 2'!$K$95</f>
        <v>-1.91</v>
      </c>
      <c r="F8" s="224">
        <f>ROUND(SUM(D5:D6)*C8,2)</f>
        <v>-25.75</v>
      </c>
    </row>
    <row r="9" spans="1:6" x14ac:dyDescent="0.35">
      <c r="A9" s="20" t="s">
        <v>25</v>
      </c>
      <c r="B9" s="71"/>
      <c r="C9" s="194">
        <v>0.99514235261315409</v>
      </c>
      <c r="D9" s="224">
        <f>-'[20]MO West'!$E$112</f>
        <v>-4975.71</v>
      </c>
      <c r="E9" s="224">
        <f>+'[21]MOWest Ordered Adjustmt Cycle 2'!$X$95</f>
        <v>-298.21999999999997</v>
      </c>
      <c r="F9" s="224">
        <f>ROUND(SUM(D5:D6)*C9,2)</f>
        <v>-5274.38</v>
      </c>
    </row>
    <row r="10" spans="1:6" ht="15" thickBot="1" x14ac:dyDescent="0.4">
      <c r="A10" s="20" t="s">
        <v>5</v>
      </c>
      <c r="B10" s="71"/>
      <c r="C10" s="194">
        <f>SUM(C8:C9)</f>
        <v>1</v>
      </c>
      <c r="D10" s="225">
        <f>SUM(D8:D9)</f>
        <v>-5000</v>
      </c>
      <c r="E10" s="225">
        <f>SUM(E8:E9)</f>
        <v>-300.13</v>
      </c>
      <c r="F10" s="225">
        <f>SUM(F8:F9)</f>
        <v>-5300.13</v>
      </c>
    </row>
    <row r="11" spans="1:6" ht="15.5" thickTop="1" thickBot="1" x14ac:dyDescent="0.4">
      <c r="B11" s="23"/>
      <c r="C11" s="23"/>
      <c r="D11" s="226">
        <f>+D10-D5</f>
        <v>0</v>
      </c>
      <c r="E11" s="226">
        <f>+E10-D6</f>
        <v>0</v>
      </c>
      <c r="F11" s="226">
        <f>ROUND(D5+D6,2)-F10</f>
        <v>0</v>
      </c>
    </row>
    <row r="12" spans="1:6" ht="58.5" thickTop="1" x14ac:dyDescent="0.35">
      <c r="D12" s="235"/>
      <c r="E12" s="234" t="s">
        <v>111</v>
      </c>
    </row>
    <row r="13" spans="1:6" x14ac:dyDescent="0.35">
      <c r="A13" s="20" t="s">
        <v>108</v>
      </c>
      <c r="D13" s="224">
        <f>ROUND($F$9*E13,2)</f>
        <v>-2068.0500000000002</v>
      </c>
      <c r="E13" s="232">
        <f>+'PCR Cycle 2'!K8</f>
        <v>0.39209287804949344</v>
      </c>
    </row>
    <row r="14" spans="1:6" x14ac:dyDescent="0.35">
      <c r="A14" s="20" t="s">
        <v>109</v>
      </c>
      <c r="D14" s="224">
        <f>ROUND($F$9*E14,2)</f>
        <v>-2396.46</v>
      </c>
      <c r="E14" s="232">
        <f>+'PCR Cycle 2'!K9</f>
        <v>0.45435908608374953</v>
      </c>
    </row>
    <row r="15" spans="1:6" ht="15" thickBot="1" x14ac:dyDescent="0.4">
      <c r="A15" s="20" t="s">
        <v>110</v>
      </c>
      <c r="D15" s="224">
        <f>ROUND($F$9*E15,2)</f>
        <v>-809.87</v>
      </c>
      <c r="E15" s="232">
        <f>+'PCR Cycle 2'!K10</f>
        <v>0.15354803586675725</v>
      </c>
    </row>
    <row r="16" spans="1:6" ht="15.5" thickTop="1" thickBot="1" x14ac:dyDescent="0.4">
      <c r="A16" s="20" t="s">
        <v>112</v>
      </c>
      <c r="D16" s="33">
        <f>SUM(D13:D15)</f>
        <v>-5274.38</v>
      </c>
      <c r="E16" s="233">
        <f>SUM(E13:E15)</f>
        <v>1.0000000000000002</v>
      </c>
    </row>
    <row r="17" spans="1:5" ht="15" thickTop="1" x14ac:dyDescent="0.35"/>
    <row r="18" spans="1:5" x14ac:dyDescent="0.35">
      <c r="A18" s="54" t="s">
        <v>11</v>
      </c>
    </row>
    <row r="19" spans="1:5" s="40" customFormat="1" x14ac:dyDescent="0.35">
      <c r="A19" s="3" t="s">
        <v>191</v>
      </c>
      <c r="B19" s="47"/>
      <c r="C19" s="47"/>
      <c r="D19" s="47"/>
    </row>
    <row r="20" spans="1:5" s="40" customFormat="1" x14ac:dyDescent="0.35">
      <c r="A20" s="3" t="s">
        <v>192</v>
      </c>
      <c r="B20" s="47"/>
      <c r="C20" s="47"/>
      <c r="D20" s="47"/>
    </row>
    <row r="21" spans="1:5" s="40" customFormat="1" x14ac:dyDescent="0.35">
      <c r="A21" s="3"/>
      <c r="B21" s="47"/>
      <c r="C21" s="47"/>
      <c r="D21" s="47"/>
    </row>
    <row r="23" spans="1:5" x14ac:dyDescent="0.35">
      <c r="A23" s="3"/>
      <c r="D23" s="196"/>
    </row>
    <row r="24" spans="1:5" x14ac:dyDescent="0.35">
      <c r="D24" s="196"/>
    </row>
    <row r="25" spans="1:5" x14ac:dyDescent="0.35">
      <c r="B25" s="71"/>
      <c r="D25" s="196"/>
    </row>
    <row r="26" spans="1:5" x14ac:dyDescent="0.35">
      <c r="A26" s="221"/>
      <c r="B26" s="222"/>
      <c r="D26" s="196"/>
    </row>
    <row r="27" spans="1:5" x14ac:dyDescent="0.35">
      <c r="A27" s="221"/>
      <c r="B27" s="222"/>
      <c r="D27" s="196"/>
    </row>
    <row r="28" spans="1:5" x14ac:dyDescent="0.35">
      <c r="A28" s="221"/>
      <c r="B28" s="222"/>
      <c r="D28" s="196"/>
    </row>
    <row r="29" spans="1:5" x14ac:dyDescent="0.35">
      <c r="A29" s="221"/>
      <c r="B29" s="222"/>
      <c r="D29" s="196"/>
      <c r="E29" s="280"/>
    </row>
    <row r="30" spans="1:5" x14ac:dyDescent="0.35">
      <c r="A30" s="221"/>
      <c r="B30" s="197"/>
      <c r="D30" s="196"/>
    </row>
    <row r="31" spans="1:5" x14ac:dyDescent="0.35">
      <c r="A31" s="221"/>
      <c r="B31" s="197"/>
      <c r="D31" s="196"/>
    </row>
    <row r="32" spans="1:5" ht="16" x14ac:dyDescent="0.5">
      <c r="A32" s="221"/>
      <c r="B32" s="197"/>
      <c r="D32" s="223"/>
    </row>
    <row r="33" spans="1:4" x14ac:dyDescent="0.35">
      <c r="A33" s="221"/>
      <c r="D33" s="196"/>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53"/>
  <sheetViews>
    <sheetView topLeftCell="A19" workbookViewId="0">
      <selection activeCell="D29" sqref="D29:E29"/>
    </sheetView>
  </sheetViews>
  <sheetFormatPr defaultColWidth="9.1796875" defaultRowHeight="14.5" x14ac:dyDescent="0.35"/>
  <cols>
    <col min="1" max="1" width="37.7265625" style="47" customWidth="1"/>
    <col min="2" max="2" width="12.26953125" style="47" bestFit="1" customWidth="1"/>
    <col min="3" max="3" width="12.453125" style="47" bestFit="1" customWidth="1"/>
    <col min="4" max="4" width="15.453125" style="47" customWidth="1"/>
    <col min="5" max="5" width="15.81640625" style="47" bestFit="1" customWidth="1"/>
    <col min="6" max="6" width="12.26953125" style="47" bestFit="1" customWidth="1"/>
    <col min="7" max="8" width="13.26953125" style="47" bestFit="1" customWidth="1"/>
    <col min="9" max="9" width="12.26953125" style="47" bestFit="1" customWidth="1"/>
    <col min="10" max="10" width="12.453125" style="47" customWidth="1"/>
    <col min="11" max="11" width="12.81640625" style="47" customWidth="1"/>
    <col min="12" max="12" width="16" style="47" customWidth="1"/>
    <col min="13" max="13" width="15" style="47" bestFit="1" customWidth="1"/>
    <col min="14" max="14" width="16" style="47" bestFit="1" customWidth="1"/>
    <col min="15" max="15" width="17.81640625" style="47"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Missouri West, Inc. - DSIM Rider Update Filed 06/01/2021</v>
      </c>
      <c r="B1" s="3"/>
      <c r="C1" s="3"/>
    </row>
    <row r="2" spans="1:35" x14ac:dyDescent="0.35">
      <c r="D2" s="3" t="s">
        <v>97</v>
      </c>
    </row>
    <row r="3" spans="1:35" ht="29" x14ac:dyDescent="0.35">
      <c r="D3" s="49" t="s">
        <v>46</v>
      </c>
      <c r="E3" s="71" t="s">
        <v>17</v>
      </c>
      <c r="F3" s="49" t="s">
        <v>3</v>
      </c>
      <c r="G3" s="71" t="s">
        <v>55</v>
      </c>
      <c r="H3" s="49" t="s">
        <v>10</v>
      </c>
      <c r="I3" s="49" t="s">
        <v>18</v>
      </c>
      <c r="S3" s="49"/>
    </row>
    <row r="4" spans="1:35" x14ac:dyDescent="0.35">
      <c r="A4" s="20" t="s">
        <v>24</v>
      </c>
      <c r="B4" s="20"/>
      <c r="C4" s="20"/>
      <c r="D4" s="22">
        <f>SUM(C18:L18)</f>
        <v>0</v>
      </c>
      <c r="E4" s="22">
        <f>SUM(C22:K22)</f>
        <v>0</v>
      </c>
      <c r="F4" s="22">
        <f>E4-D4</f>
        <v>0</v>
      </c>
      <c r="G4" s="22">
        <f>+B32</f>
        <v>0</v>
      </c>
      <c r="H4" s="22">
        <f>SUM(C37:K37)</f>
        <v>0</v>
      </c>
      <c r="I4" s="26">
        <f>SUM(F4:H4)</f>
        <v>0</v>
      </c>
      <c r="J4" s="48">
        <f>+I4-L32</f>
        <v>0</v>
      </c>
      <c r="M4" s="48"/>
    </row>
    <row r="5" spans="1:35" ht="15" thickBot="1" x14ac:dyDescent="0.4">
      <c r="A5" s="20" t="s">
        <v>25</v>
      </c>
      <c r="B5" s="20"/>
      <c r="C5" s="20"/>
      <c r="D5" s="22">
        <f>SUM(C19:L19)</f>
        <v>0</v>
      </c>
      <c r="E5" s="22">
        <f>SUM(C23:K23)</f>
        <v>0</v>
      </c>
      <c r="F5" s="22">
        <f>E5-D5</f>
        <v>0</v>
      </c>
      <c r="G5" s="22">
        <f>+B33</f>
        <v>0</v>
      </c>
      <c r="H5" s="22">
        <f>SUM(C38:K38)</f>
        <v>0</v>
      </c>
      <c r="I5" s="26">
        <f>SUM(F5:H5)</f>
        <v>0</v>
      </c>
      <c r="J5" s="48">
        <f>+I5-L33</f>
        <v>0</v>
      </c>
      <c r="M5" s="48"/>
    </row>
    <row r="6" spans="1:35" ht="15.5" thickTop="1" thickBot="1" x14ac:dyDescent="0.4">
      <c r="D6" s="28">
        <f t="shared" ref="D6" si="0">SUM(D4:D5)</f>
        <v>0</v>
      </c>
      <c r="E6" s="28">
        <f>SUM(E4:E5)</f>
        <v>0</v>
      </c>
      <c r="F6" s="28">
        <f>SUM(F4:F5)</f>
        <v>0</v>
      </c>
      <c r="G6" s="28">
        <f>SUM(G4:G5)</f>
        <v>0</v>
      </c>
      <c r="H6" s="28">
        <f>SUM(H4:H5)</f>
        <v>0</v>
      </c>
      <c r="I6" s="28">
        <f>SUM(I4:I5)</f>
        <v>0</v>
      </c>
      <c r="T6" s="5"/>
    </row>
    <row r="7" spans="1:35" ht="44" thickTop="1" x14ac:dyDescent="0.35">
      <c r="I7" s="235"/>
      <c r="J7" s="234" t="s">
        <v>123</v>
      </c>
    </row>
    <row r="8" spans="1:35" x14ac:dyDescent="0.35">
      <c r="A8" s="20" t="s">
        <v>108</v>
      </c>
      <c r="I8" s="26">
        <f>ROUND($I$5*J8,2)</f>
        <v>0</v>
      </c>
      <c r="J8" s="232">
        <f>+'PCR Cycle 2'!K8</f>
        <v>0.39209287804949344</v>
      </c>
    </row>
    <row r="9" spans="1:35" x14ac:dyDescent="0.35">
      <c r="A9" s="20" t="s">
        <v>109</v>
      </c>
      <c r="I9" s="26">
        <f t="shared" ref="I9:I10" si="1">ROUND($I$5*J9,2)</f>
        <v>0</v>
      </c>
      <c r="J9" s="232">
        <f>+'PCR Cycle 2'!K9</f>
        <v>0.45435908608374953</v>
      </c>
    </row>
    <row r="10" spans="1:35" ht="15" thickBot="1" x14ac:dyDescent="0.4">
      <c r="A10" s="20" t="s">
        <v>110</v>
      </c>
      <c r="I10" s="26">
        <f t="shared" si="1"/>
        <v>0</v>
      </c>
      <c r="J10" s="232">
        <f>+'PCR Cycle 2'!K10</f>
        <v>0.15354803586675725</v>
      </c>
    </row>
    <row r="11" spans="1:35" ht="15.5" thickTop="1" thickBot="1" x14ac:dyDescent="0.4">
      <c r="A11" s="20" t="s">
        <v>112</v>
      </c>
      <c r="I11" s="28">
        <f>SUM(I8:I10)</f>
        <v>0</v>
      </c>
      <c r="J11" s="233">
        <f>SUM(J8:J10)</f>
        <v>1.0000000000000002</v>
      </c>
      <c r="V11" s="4"/>
    </row>
    <row r="12" spans="1:35" ht="15.5" thickTop="1" thickBot="1" x14ac:dyDescent="0.4">
      <c r="V12" s="4"/>
      <c r="W12" s="5"/>
    </row>
    <row r="13" spans="1:35" ht="102" thickBot="1" x14ac:dyDescent="0.4">
      <c r="B13" s="119" t="str">
        <f>+'PCR Cycle 2'!B13</f>
        <v>Cumulative Over/Under Carryover From 12/01/2021 Filing</v>
      </c>
      <c r="C13" s="154" t="str">
        <f>+'PCR Cycle 2'!C13</f>
        <v>Reverse May 2021 - July 2021  Forecast From 12/01/2021 Filing</v>
      </c>
      <c r="D13" s="306" t="s">
        <v>33</v>
      </c>
      <c r="E13" s="306"/>
      <c r="F13" s="307"/>
      <c r="G13" s="313" t="s">
        <v>33</v>
      </c>
      <c r="H13" s="314"/>
      <c r="I13" s="315"/>
      <c r="J13" s="302" t="s">
        <v>8</v>
      </c>
      <c r="K13" s="303"/>
      <c r="L13" s="304"/>
    </row>
    <row r="14" spans="1:35" x14ac:dyDescent="0.35">
      <c r="A14" s="47" t="s">
        <v>91</v>
      </c>
      <c r="C14" s="106"/>
      <c r="D14" s="19">
        <f>+'PCR Cycle 2'!D14</f>
        <v>44165</v>
      </c>
      <c r="E14" s="19">
        <f t="shared" ref="E14:L14" si="2">EOMONTH(D14,1)</f>
        <v>44196</v>
      </c>
      <c r="F14" s="19">
        <f t="shared" si="2"/>
        <v>44227</v>
      </c>
      <c r="G14" s="14">
        <f t="shared" si="2"/>
        <v>44255</v>
      </c>
      <c r="H14" s="19">
        <f t="shared" si="2"/>
        <v>44286</v>
      </c>
      <c r="I14" s="15">
        <f t="shared" si="2"/>
        <v>44316</v>
      </c>
      <c r="J14" s="19">
        <f t="shared" si="2"/>
        <v>44347</v>
      </c>
      <c r="K14" s="19">
        <f t="shared" si="2"/>
        <v>44377</v>
      </c>
      <c r="L14" s="15">
        <f t="shared" si="2"/>
        <v>44408</v>
      </c>
      <c r="Z14" s="1"/>
      <c r="AA14" s="1"/>
      <c r="AB14" s="1"/>
      <c r="AC14" s="1"/>
      <c r="AD14" s="1"/>
      <c r="AE14" s="1"/>
      <c r="AF14" s="1"/>
      <c r="AG14" s="1"/>
      <c r="AH14" s="1"/>
      <c r="AI14" s="1"/>
    </row>
    <row r="15" spans="1:35" x14ac:dyDescent="0.35">
      <c r="A15" s="47" t="s">
        <v>5</v>
      </c>
      <c r="C15" s="98">
        <v>0</v>
      </c>
      <c r="D15" s="110">
        <f>SUM(D22:D23)</f>
        <v>0</v>
      </c>
      <c r="E15" s="110">
        <f t="shared" ref="E15:H15" si="3">SUM(E22:E23)</f>
        <v>0</v>
      </c>
      <c r="F15" s="111">
        <f t="shared" si="3"/>
        <v>0</v>
      </c>
      <c r="G15" s="16">
        <f t="shared" si="3"/>
        <v>0</v>
      </c>
      <c r="H15" s="56">
        <f t="shared" si="3"/>
        <v>0</v>
      </c>
      <c r="I15" s="169">
        <f>+I22+I23</f>
        <v>0</v>
      </c>
      <c r="J15" s="162">
        <f t="shared" ref="J15:K15" si="4">+J22+J23</f>
        <v>0</v>
      </c>
      <c r="K15" s="79">
        <f t="shared" si="4"/>
        <v>0</v>
      </c>
      <c r="L15" s="80"/>
    </row>
    <row r="16" spans="1:35" x14ac:dyDescent="0.35">
      <c r="C16" s="100"/>
      <c r="D16" s="17"/>
      <c r="E16" s="17"/>
      <c r="F16" s="17"/>
      <c r="G16" s="10"/>
      <c r="H16" s="17"/>
      <c r="I16" s="11"/>
      <c r="J16" s="32"/>
      <c r="K16" s="32"/>
      <c r="L16" s="30"/>
    </row>
    <row r="17" spans="1:14" x14ac:dyDescent="0.35">
      <c r="A17" s="47" t="s">
        <v>90</v>
      </c>
      <c r="C17" s="100"/>
      <c r="D17" s="18"/>
      <c r="E17" s="18"/>
      <c r="F17" s="18"/>
      <c r="G17" s="92"/>
      <c r="H17" s="18"/>
      <c r="I17" s="170"/>
      <c r="J17" s="32"/>
      <c r="K17" s="32"/>
      <c r="L17" s="30"/>
      <c r="M17" s="3" t="s">
        <v>50</v>
      </c>
      <c r="N17" s="40"/>
    </row>
    <row r="18" spans="1:14" x14ac:dyDescent="0.35">
      <c r="A18" s="47" t="s">
        <v>24</v>
      </c>
      <c r="C18" s="98">
        <v>0</v>
      </c>
      <c r="D18" s="137">
        <v>0</v>
      </c>
      <c r="E18" s="137">
        <v>0</v>
      </c>
      <c r="F18" s="191">
        <v>0</v>
      </c>
      <c r="G18" s="16">
        <v>0</v>
      </c>
      <c r="H18" s="122">
        <v>0</v>
      </c>
      <c r="I18" s="171">
        <v>0</v>
      </c>
      <c r="J18" s="124">
        <f>'PCR Cycle 2'!J26*$M18</f>
        <v>0</v>
      </c>
      <c r="K18" s="42">
        <f>'PCR Cycle 2'!K26*$M18</f>
        <v>0</v>
      </c>
      <c r="L18" s="62">
        <f>'PCR Cycle 2'!L26*$M18</f>
        <v>0</v>
      </c>
      <c r="M18" s="73">
        <v>0</v>
      </c>
      <c r="N18" s="4"/>
    </row>
    <row r="19" spans="1:14" x14ac:dyDescent="0.35">
      <c r="A19" s="47" t="s">
        <v>25</v>
      </c>
      <c r="C19" s="98">
        <v>0</v>
      </c>
      <c r="D19" s="137">
        <v>0</v>
      </c>
      <c r="E19" s="137">
        <v>0</v>
      </c>
      <c r="F19" s="191">
        <v>0</v>
      </c>
      <c r="G19" s="16">
        <v>0</v>
      </c>
      <c r="H19" s="122">
        <v>0</v>
      </c>
      <c r="I19" s="171">
        <v>0</v>
      </c>
      <c r="J19" s="124">
        <f>SUM('PCR Cycle 2'!J27:J29)*$M19</f>
        <v>0</v>
      </c>
      <c r="K19" s="42">
        <f>SUM('PCR Cycle 2'!K27:K29)*$M19</f>
        <v>0</v>
      </c>
      <c r="L19" s="62">
        <f>SUM('PCR Cycle 2'!L27:L29)*$M19</f>
        <v>0</v>
      </c>
      <c r="M19" s="73">
        <v>0</v>
      </c>
      <c r="N19" s="4"/>
    </row>
    <row r="20" spans="1:14" x14ac:dyDescent="0.35">
      <c r="C20" s="68"/>
      <c r="D20" s="69"/>
      <c r="E20" s="69"/>
      <c r="F20" s="69"/>
      <c r="G20" s="99"/>
      <c r="H20" s="69"/>
      <c r="I20" s="172"/>
      <c r="J20" s="57"/>
      <c r="K20" s="57"/>
      <c r="L20" s="13"/>
      <c r="N20" s="4"/>
    </row>
    <row r="21" spans="1:14" x14ac:dyDescent="0.35">
      <c r="A21" s="47" t="s">
        <v>92</v>
      </c>
      <c r="C21" s="37"/>
      <c r="D21" s="38"/>
      <c r="E21" s="38"/>
      <c r="F21" s="38"/>
      <c r="G21" s="37"/>
      <c r="H21" s="38"/>
      <c r="I21" s="175"/>
      <c r="J21" s="53"/>
      <c r="K21" s="53"/>
      <c r="L21" s="39"/>
    </row>
    <row r="22" spans="1:14" x14ac:dyDescent="0.35">
      <c r="A22" s="47" t="s">
        <v>24</v>
      </c>
      <c r="C22" s="98">
        <v>0</v>
      </c>
      <c r="D22" s="110">
        <v>0</v>
      </c>
      <c r="E22" s="110">
        <v>0</v>
      </c>
      <c r="F22" s="111">
        <v>0</v>
      </c>
      <c r="G22" s="16">
        <v>0</v>
      </c>
      <c r="H22" s="56">
        <v>0</v>
      </c>
      <c r="I22" s="169">
        <v>0</v>
      </c>
      <c r="J22" s="164">
        <v>0</v>
      </c>
      <c r="K22" s="144">
        <v>0</v>
      </c>
      <c r="L22" s="80"/>
    </row>
    <row r="23" spans="1:14" x14ac:dyDescent="0.35">
      <c r="A23" s="47" t="s">
        <v>25</v>
      </c>
      <c r="C23" s="98">
        <v>0</v>
      </c>
      <c r="D23" s="110">
        <v>0</v>
      </c>
      <c r="E23" s="110">
        <v>0</v>
      </c>
      <c r="F23" s="111">
        <v>0</v>
      </c>
      <c r="G23" s="16">
        <v>0</v>
      </c>
      <c r="H23" s="56">
        <v>0</v>
      </c>
      <c r="I23" s="169">
        <v>0</v>
      </c>
      <c r="J23" s="164">
        <v>0</v>
      </c>
      <c r="K23" s="144">
        <v>0</v>
      </c>
      <c r="L23" s="80"/>
      <c r="N23" s="48"/>
    </row>
    <row r="24" spans="1:14" x14ac:dyDescent="0.35">
      <c r="C24" s="100"/>
      <c r="D24" s="18"/>
      <c r="E24" s="18"/>
      <c r="F24" s="18"/>
      <c r="G24" s="92"/>
      <c r="H24" s="18"/>
      <c r="I24" s="170"/>
      <c r="J24" s="57"/>
      <c r="K24" s="57"/>
      <c r="L24" s="13"/>
    </row>
    <row r="25" spans="1:14" ht="15" thickBot="1" x14ac:dyDescent="0.4">
      <c r="A25" s="3" t="s">
        <v>14</v>
      </c>
      <c r="B25" s="3"/>
      <c r="C25" s="104">
        <v>0</v>
      </c>
      <c r="D25" s="137">
        <v>0</v>
      </c>
      <c r="E25" s="137">
        <v>0</v>
      </c>
      <c r="F25" s="138">
        <v>0</v>
      </c>
      <c r="G25" s="27">
        <v>0</v>
      </c>
      <c r="H25" s="123">
        <v>0</v>
      </c>
      <c r="I25" s="176">
        <v>0</v>
      </c>
      <c r="J25" s="165"/>
      <c r="K25" s="146"/>
      <c r="L25" s="83"/>
    </row>
    <row r="26" spans="1:14" x14ac:dyDescent="0.35">
      <c r="C26" s="65"/>
      <c r="D26" s="150"/>
      <c r="E26" s="150"/>
      <c r="F26" s="151"/>
      <c r="G26" s="65"/>
      <c r="H26" s="34"/>
      <c r="I26" s="177"/>
      <c r="J26" s="35"/>
      <c r="K26" s="35"/>
      <c r="L26" s="61"/>
    </row>
    <row r="27" spans="1:14" x14ac:dyDescent="0.35">
      <c r="A27" s="47" t="s">
        <v>52</v>
      </c>
      <c r="C27" s="66"/>
      <c r="D27" s="151"/>
      <c r="E27" s="151"/>
      <c r="F27" s="151"/>
      <c r="G27" s="66"/>
      <c r="H27" s="36"/>
      <c r="I27" s="178"/>
      <c r="J27" s="35"/>
      <c r="K27" s="35"/>
      <c r="L27" s="61"/>
    </row>
    <row r="28" spans="1:14" x14ac:dyDescent="0.35">
      <c r="A28" s="47" t="s">
        <v>24</v>
      </c>
      <c r="C28" s="101">
        <f t="shared" ref="C28:L28" si="5">C22-C18</f>
        <v>0</v>
      </c>
      <c r="D28" s="42">
        <f t="shared" si="5"/>
        <v>0</v>
      </c>
      <c r="E28" s="42">
        <f t="shared" si="5"/>
        <v>0</v>
      </c>
      <c r="F28" s="109">
        <f t="shared" si="5"/>
        <v>0</v>
      </c>
      <c r="G28" s="41">
        <f t="shared" si="5"/>
        <v>0</v>
      </c>
      <c r="H28" s="42">
        <f t="shared" si="5"/>
        <v>0</v>
      </c>
      <c r="I28" s="62">
        <f t="shared" si="5"/>
        <v>0</v>
      </c>
      <c r="J28" s="124">
        <f t="shared" si="5"/>
        <v>0</v>
      </c>
      <c r="K28" s="42">
        <f t="shared" si="5"/>
        <v>0</v>
      </c>
      <c r="L28" s="62">
        <f t="shared" si="5"/>
        <v>0</v>
      </c>
    </row>
    <row r="29" spans="1:14" x14ac:dyDescent="0.35">
      <c r="A29" s="47" t="s">
        <v>25</v>
      </c>
      <c r="C29" s="101">
        <f t="shared" ref="C29:L29" si="6">C23-C19</f>
        <v>0</v>
      </c>
      <c r="D29" s="42">
        <f t="shared" si="6"/>
        <v>0</v>
      </c>
      <c r="E29" s="42">
        <f t="shared" si="6"/>
        <v>0</v>
      </c>
      <c r="F29" s="109">
        <f t="shared" si="6"/>
        <v>0</v>
      </c>
      <c r="G29" s="41">
        <f t="shared" si="6"/>
        <v>0</v>
      </c>
      <c r="H29" s="42">
        <f t="shared" si="6"/>
        <v>0</v>
      </c>
      <c r="I29" s="62">
        <f t="shared" si="6"/>
        <v>0</v>
      </c>
      <c r="J29" s="124">
        <f t="shared" si="6"/>
        <v>0</v>
      </c>
      <c r="K29" s="42">
        <f t="shared" si="6"/>
        <v>0</v>
      </c>
      <c r="L29" s="62">
        <f t="shared" si="6"/>
        <v>0</v>
      </c>
    </row>
    <row r="30" spans="1:14" x14ac:dyDescent="0.35">
      <c r="C30" s="100"/>
      <c r="D30" s="17"/>
      <c r="E30" s="17"/>
      <c r="F30" s="17"/>
      <c r="G30" s="10"/>
      <c r="H30" s="17"/>
      <c r="I30" s="11"/>
      <c r="J30" s="17"/>
      <c r="K30" s="17"/>
      <c r="L30" s="11"/>
    </row>
    <row r="31" spans="1:14" ht="15" thickBot="1" x14ac:dyDescent="0.4">
      <c r="A31" s="47" t="s">
        <v>53</v>
      </c>
      <c r="C31" s="100"/>
      <c r="D31" s="17"/>
      <c r="E31" s="17"/>
      <c r="F31" s="17"/>
      <c r="G31" s="10"/>
      <c r="H31" s="17"/>
      <c r="I31" s="11"/>
      <c r="J31" s="17"/>
      <c r="K31" s="17"/>
      <c r="L31" s="11"/>
    </row>
    <row r="32" spans="1:14" x14ac:dyDescent="0.35">
      <c r="A32" s="47" t="s">
        <v>24</v>
      </c>
      <c r="B32" s="117">
        <v>0</v>
      </c>
      <c r="C32" s="101">
        <f>B32+C28+B37</f>
        <v>0</v>
      </c>
      <c r="D32" s="42">
        <f t="shared" ref="D32:L33" si="7">C32+D28+C37</f>
        <v>0</v>
      </c>
      <c r="E32" s="42">
        <f t="shared" si="7"/>
        <v>0</v>
      </c>
      <c r="F32" s="109">
        <f t="shared" si="7"/>
        <v>0</v>
      </c>
      <c r="G32" s="41">
        <f t="shared" si="7"/>
        <v>0</v>
      </c>
      <c r="H32" s="42">
        <f t="shared" si="7"/>
        <v>0</v>
      </c>
      <c r="I32" s="62">
        <f t="shared" si="7"/>
        <v>0</v>
      </c>
      <c r="J32" s="124">
        <f t="shared" si="7"/>
        <v>0</v>
      </c>
      <c r="K32" s="42">
        <f t="shared" si="7"/>
        <v>0</v>
      </c>
      <c r="L32" s="62">
        <f t="shared" si="7"/>
        <v>0</v>
      </c>
    </row>
    <row r="33" spans="1:12" ht="15" thickBot="1" x14ac:dyDescent="0.4">
      <c r="A33" s="47" t="s">
        <v>25</v>
      </c>
      <c r="B33" s="118">
        <v>0</v>
      </c>
      <c r="C33" s="101">
        <f>B33+C29+B38</f>
        <v>0</v>
      </c>
      <c r="D33" s="42">
        <f t="shared" si="7"/>
        <v>0</v>
      </c>
      <c r="E33" s="42">
        <f t="shared" si="7"/>
        <v>0</v>
      </c>
      <c r="F33" s="109">
        <f t="shared" si="7"/>
        <v>0</v>
      </c>
      <c r="G33" s="41">
        <f t="shared" si="7"/>
        <v>0</v>
      </c>
      <c r="H33" s="42">
        <f t="shared" si="7"/>
        <v>0</v>
      </c>
      <c r="I33" s="62">
        <f t="shared" si="7"/>
        <v>0</v>
      </c>
      <c r="J33" s="124">
        <f t="shared" si="7"/>
        <v>0</v>
      </c>
      <c r="K33" s="42">
        <f t="shared" si="7"/>
        <v>0</v>
      </c>
      <c r="L33" s="62">
        <f t="shared" si="7"/>
        <v>0</v>
      </c>
    </row>
    <row r="34" spans="1:12" x14ac:dyDescent="0.35">
      <c r="C34" s="100"/>
      <c r="D34" s="17"/>
      <c r="E34" s="17"/>
      <c r="F34" s="17"/>
      <c r="G34" s="10"/>
      <c r="H34" s="17"/>
      <c r="I34" s="11"/>
      <c r="J34" s="17"/>
      <c r="K34" s="17"/>
      <c r="L34" s="11"/>
    </row>
    <row r="35" spans="1:12" x14ac:dyDescent="0.35">
      <c r="A35" s="40" t="s">
        <v>88</v>
      </c>
      <c r="B35" s="40"/>
      <c r="C35" s="105"/>
      <c r="D35" s="84">
        <f>+'PCR Cycle 2'!D47</f>
        <v>1.1601199999999999E-3</v>
      </c>
      <c r="E35" s="84">
        <f>+'PCR Cycle 2'!E47</f>
        <v>1.1659400000000001E-3</v>
      </c>
      <c r="F35" s="84">
        <f>+'PCR Cycle 2'!F47</f>
        <v>1.14916E-3</v>
      </c>
      <c r="G35" s="85">
        <f>+'PCR Cycle 2'!G47</f>
        <v>1.13697E-3</v>
      </c>
      <c r="H35" s="84">
        <f>+'PCR Cycle 2'!H47</f>
        <v>1.1312099999999999E-3</v>
      </c>
      <c r="I35" s="93">
        <f>+'PCR Cycle 2'!I47</f>
        <v>1.13462E-3</v>
      </c>
      <c r="J35" s="84">
        <f>+'PCR Cycle 2'!J47</f>
        <v>1.13462E-3</v>
      </c>
      <c r="K35" s="84">
        <f>+'PCR Cycle 2'!K47</f>
        <v>1.13462E-3</v>
      </c>
      <c r="L35" s="86"/>
    </row>
    <row r="36" spans="1:12" x14ac:dyDescent="0.35">
      <c r="A36" s="40" t="s">
        <v>37</v>
      </c>
      <c r="B36" s="40"/>
      <c r="C36" s="107"/>
      <c r="D36" s="84"/>
      <c r="E36" s="84"/>
      <c r="F36" s="84"/>
      <c r="G36" s="85"/>
      <c r="H36" s="84"/>
      <c r="I36" s="86"/>
      <c r="J36" s="84"/>
      <c r="K36" s="84"/>
      <c r="L36" s="86"/>
    </row>
    <row r="37" spans="1:12" x14ac:dyDescent="0.35">
      <c r="A37" s="47" t="s">
        <v>24</v>
      </c>
      <c r="C37" s="101">
        <v>0</v>
      </c>
      <c r="D37" s="42">
        <f t="shared" ref="D37:L38" si="8">ROUND((C32+C37+D28/2)*D$35,2)</f>
        <v>0</v>
      </c>
      <c r="E37" s="42">
        <f t="shared" si="8"/>
        <v>0</v>
      </c>
      <c r="F37" s="109">
        <f t="shared" si="8"/>
        <v>0</v>
      </c>
      <c r="G37" s="41">
        <f t="shared" si="8"/>
        <v>0</v>
      </c>
      <c r="H37" s="124">
        <f t="shared" si="8"/>
        <v>0</v>
      </c>
      <c r="I37" s="50">
        <f t="shared" si="8"/>
        <v>0</v>
      </c>
      <c r="J37" s="166">
        <f t="shared" si="8"/>
        <v>0</v>
      </c>
      <c r="K37" s="109">
        <f t="shared" si="8"/>
        <v>0</v>
      </c>
      <c r="L37" s="62">
        <f t="shared" si="8"/>
        <v>0</v>
      </c>
    </row>
    <row r="38" spans="1:12" ht="15" thickBot="1" x14ac:dyDescent="0.4">
      <c r="A38" s="47" t="s">
        <v>25</v>
      </c>
      <c r="C38" s="101">
        <v>0</v>
      </c>
      <c r="D38" s="42">
        <f t="shared" si="8"/>
        <v>0</v>
      </c>
      <c r="E38" s="42">
        <f t="shared" si="8"/>
        <v>0</v>
      </c>
      <c r="F38" s="109">
        <f t="shared" si="8"/>
        <v>0</v>
      </c>
      <c r="G38" s="41">
        <f t="shared" si="8"/>
        <v>0</v>
      </c>
      <c r="H38" s="124">
        <f t="shared" si="8"/>
        <v>0</v>
      </c>
      <c r="I38" s="50">
        <f t="shared" si="8"/>
        <v>0</v>
      </c>
      <c r="J38" s="166">
        <f t="shared" si="8"/>
        <v>0</v>
      </c>
      <c r="K38" s="109">
        <f t="shared" si="8"/>
        <v>0</v>
      </c>
      <c r="L38" s="62">
        <f t="shared" si="8"/>
        <v>0</v>
      </c>
    </row>
    <row r="39" spans="1:12" ht="15.5" thickTop="1" thickBot="1" x14ac:dyDescent="0.4">
      <c r="A39" s="55" t="s">
        <v>22</v>
      </c>
      <c r="B39" s="55"/>
      <c r="C39" s="108">
        <v>0</v>
      </c>
      <c r="D39" s="43">
        <f t="shared" ref="D39:I39" si="9">SUM(D37:D38)+SUM(D32:D33)-D42</f>
        <v>0</v>
      </c>
      <c r="E39" s="43">
        <f t="shared" si="9"/>
        <v>0</v>
      </c>
      <c r="F39" s="51">
        <f t="shared" ref="F39:H39" si="10">SUM(F37:F38)+SUM(F32:F33)-F42</f>
        <v>0</v>
      </c>
      <c r="G39" s="148">
        <f t="shared" si="10"/>
        <v>0</v>
      </c>
      <c r="H39" s="51">
        <f t="shared" si="10"/>
        <v>0</v>
      </c>
      <c r="I39" s="63">
        <f t="shared" si="9"/>
        <v>0</v>
      </c>
      <c r="J39" s="167">
        <f t="shared" ref="J39:L39" si="11">SUM(J37:J38)+SUM(J32:J33)-J42</f>
        <v>0</v>
      </c>
      <c r="K39" s="51">
        <f t="shared" si="11"/>
        <v>0</v>
      </c>
      <c r="L39" s="63">
        <f t="shared" si="11"/>
        <v>0</v>
      </c>
    </row>
    <row r="40" spans="1:12" ht="15.5" thickTop="1" thickBot="1" x14ac:dyDescent="0.4">
      <c r="A40" s="55" t="s">
        <v>23</v>
      </c>
      <c r="B40" s="55"/>
      <c r="C40" s="108">
        <v>0</v>
      </c>
      <c r="D40" s="43">
        <f t="shared" ref="D40:I40" si="12">SUM(D37:D38)-D25</f>
        <v>0</v>
      </c>
      <c r="E40" s="43">
        <f t="shared" si="12"/>
        <v>0</v>
      </c>
      <c r="F40" s="51">
        <f t="shared" ref="F40:H40" si="13">SUM(F37:F38)-F25</f>
        <v>0</v>
      </c>
      <c r="G40" s="148">
        <f t="shared" si="13"/>
        <v>0</v>
      </c>
      <c r="H40" s="51">
        <f t="shared" si="13"/>
        <v>0</v>
      </c>
      <c r="I40" s="63">
        <f t="shared" si="12"/>
        <v>0</v>
      </c>
      <c r="J40" s="168">
        <f t="shared" ref="J40:L40" si="14">SUM(J37:J38)-J25</f>
        <v>0</v>
      </c>
      <c r="K40" s="43">
        <f t="shared" si="14"/>
        <v>0</v>
      </c>
      <c r="L40" s="43">
        <f t="shared" si="14"/>
        <v>0</v>
      </c>
    </row>
    <row r="41" spans="1:12" ht="15.5" thickTop="1" thickBot="1" x14ac:dyDescent="0.4">
      <c r="C41" s="100"/>
      <c r="D41" s="17"/>
      <c r="E41" s="17"/>
      <c r="F41" s="17"/>
      <c r="G41" s="10"/>
      <c r="H41" s="17"/>
      <c r="I41" s="11"/>
      <c r="J41" s="17"/>
      <c r="K41" s="17"/>
      <c r="L41" s="11"/>
    </row>
    <row r="42" spans="1:12" ht="15" thickBot="1" x14ac:dyDescent="0.4">
      <c r="A42" s="47" t="s">
        <v>36</v>
      </c>
      <c r="B42" s="120">
        <v>0</v>
      </c>
      <c r="C42" s="101">
        <f t="shared" ref="C42:L42" si="15">(C15-SUM(C18:C19))+SUM(C37:C38)+B42</f>
        <v>0</v>
      </c>
      <c r="D42" s="42">
        <f t="shared" si="15"/>
        <v>0</v>
      </c>
      <c r="E42" s="42">
        <f t="shared" si="15"/>
        <v>0</v>
      </c>
      <c r="F42" s="109">
        <f t="shared" si="15"/>
        <v>0</v>
      </c>
      <c r="G42" s="41">
        <f t="shared" si="15"/>
        <v>0</v>
      </c>
      <c r="H42" s="42">
        <f t="shared" si="15"/>
        <v>0</v>
      </c>
      <c r="I42" s="62">
        <f t="shared" si="15"/>
        <v>0</v>
      </c>
      <c r="J42" s="166">
        <f t="shared" si="15"/>
        <v>0</v>
      </c>
      <c r="K42" s="109">
        <f t="shared" si="15"/>
        <v>0</v>
      </c>
      <c r="L42" s="62">
        <f t="shared" si="15"/>
        <v>0</v>
      </c>
    </row>
    <row r="43" spans="1:12" x14ac:dyDescent="0.35">
      <c r="A43" s="47" t="s">
        <v>12</v>
      </c>
      <c r="C43" s="121"/>
      <c r="D43" s="17"/>
      <c r="E43" s="17"/>
      <c r="F43" s="17"/>
      <c r="G43" s="10"/>
      <c r="H43" s="17"/>
      <c r="I43" s="11"/>
      <c r="J43" s="17"/>
      <c r="K43" s="17"/>
      <c r="L43" s="11"/>
    </row>
    <row r="44" spans="1:12" ht="15" thickBot="1" x14ac:dyDescent="0.4">
      <c r="A44" s="38"/>
      <c r="B44" s="38"/>
      <c r="C44" s="149"/>
      <c r="D44" s="45"/>
      <c r="E44" s="45"/>
      <c r="F44" s="45"/>
      <c r="G44" s="44"/>
      <c r="H44" s="45"/>
      <c r="I44" s="46"/>
      <c r="J44" s="45"/>
      <c r="K44" s="45"/>
      <c r="L44" s="46"/>
    </row>
    <row r="46" spans="1:12" x14ac:dyDescent="0.35">
      <c r="A46" s="70" t="s">
        <v>11</v>
      </c>
      <c r="B46" s="70"/>
      <c r="C46" s="70"/>
    </row>
    <row r="47" spans="1:12" x14ac:dyDescent="0.35">
      <c r="A47" s="317" t="s">
        <v>156</v>
      </c>
      <c r="B47" s="317"/>
      <c r="C47" s="317"/>
      <c r="D47" s="317"/>
      <c r="E47" s="317"/>
      <c r="F47" s="317"/>
      <c r="G47" s="317"/>
      <c r="H47" s="317"/>
      <c r="I47" s="317"/>
      <c r="J47" s="185"/>
      <c r="K47" s="185"/>
      <c r="L47" s="185"/>
    </row>
    <row r="48" spans="1:12" ht="32.25" customHeight="1" x14ac:dyDescent="0.35">
      <c r="A48" s="317" t="s">
        <v>157</v>
      </c>
      <c r="B48" s="317"/>
      <c r="C48" s="317"/>
      <c r="D48" s="317"/>
      <c r="E48" s="317"/>
      <c r="F48" s="317"/>
      <c r="G48" s="317"/>
      <c r="H48" s="317"/>
      <c r="I48" s="317"/>
      <c r="J48" s="185"/>
      <c r="K48" s="185"/>
    </row>
    <row r="49" spans="1:12" ht="18.75" customHeight="1" x14ac:dyDescent="0.35">
      <c r="A49" s="3" t="s">
        <v>31</v>
      </c>
      <c r="B49" s="3"/>
      <c r="C49" s="3"/>
      <c r="I49" s="4"/>
      <c r="J49" s="185"/>
      <c r="K49" s="185"/>
      <c r="L49" s="185"/>
    </row>
    <row r="50" spans="1:12" x14ac:dyDescent="0.35">
      <c r="A50" s="3" t="s">
        <v>158</v>
      </c>
      <c r="B50" s="3"/>
      <c r="C50" s="3"/>
      <c r="I50" s="4"/>
    </row>
    <row r="51" spans="1:12" x14ac:dyDescent="0.35">
      <c r="A51" s="3" t="s">
        <v>126</v>
      </c>
      <c r="B51" s="3"/>
      <c r="C51" s="3"/>
      <c r="I51" s="4"/>
    </row>
    <row r="52" spans="1:12" x14ac:dyDescent="0.35">
      <c r="A52" s="3" t="s">
        <v>159</v>
      </c>
      <c r="B52" s="64"/>
      <c r="C52" s="64"/>
      <c r="D52" s="40"/>
      <c r="E52" s="40"/>
      <c r="F52" s="40"/>
      <c r="G52" s="40"/>
      <c r="H52" s="40"/>
      <c r="I52" s="40"/>
    </row>
    <row r="53" spans="1:12" x14ac:dyDescent="0.35">
      <c r="A53" s="3"/>
      <c r="B53" s="3"/>
      <c r="C53" s="3"/>
    </row>
  </sheetData>
  <mergeCells count="5">
    <mergeCell ref="D13:F13"/>
    <mergeCell ref="G13:I13"/>
    <mergeCell ref="J13:L13"/>
    <mergeCell ref="A47:I47"/>
    <mergeCell ref="A48:I48"/>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29"/>
  <sheetViews>
    <sheetView topLeftCell="A19" workbookViewId="0">
      <selection activeCell="J15" sqref="J15"/>
    </sheetView>
  </sheetViews>
  <sheetFormatPr defaultRowHeight="14.5" x14ac:dyDescent="0.35"/>
  <cols>
    <col min="1" max="1" width="27.7265625" customWidth="1"/>
    <col min="2" max="2" width="11.26953125" bestFit="1" customWidth="1"/>
    <col min="3" max="6" width="10.1796875" bestFit="1" customWidth="1"/>
  </cols>
  <sheetData>
    <row r="3" spans="1:6" ht="15" thickBot="1" x14ac:dyDescent="0.4">
      <c r="A3" s="3" t="s">
        <v>127</v>
      </c>
    </row>
    <row r="4" spans="1:6" ht="27.5" thickBot="1" x14ac:dyDescent="0.4">
      <c r="A4" s="88" t="s">
        <v>134</v>
      </c>
      <c r="B4" s="131" t="s">
        <v>133</v>
      </c>
      <c r="C4" s="131" t="s">
        <v>132</v>
      </c>
      <c r="D4" s="131" t="s">
        <v>131</v>
      </c>
      <c r="E4" s="131" t="s">
        <v>130</v>
      </c>
      <c r="F4" s="90" t="s">
        <v>28</v>
      </c>
    </row>
    <row r="5" spans="1:6" ht="15" thickBot="1" x14ac:dyDescent="0.4">
      <c r="A5" s="91" t="s">
        <v>24</v>
      </c>
      <c r="B5" s="243">
        <f>+'tariff tables'!S12+'tariff tables'!S20</f>
        <v>0</v>
      </c>
      <c r="C5" s="244">
        <f>+'tariff tables'!T12+'tariff tables'!T20</f>
        <v>4.0000000000000002E-4</v>
      </c>
      <c r="D5" s="244">
        <f>+'tariff tables'!U12+'tariff tables'!U20</f>
        <v>2.2000000000000001E-4</v>
      </c>
      <c r="E5" s="244">
        <f>+'tariff tables'!V12+'tariff tables'!V20</f>
        <v>0</v>
      </c>
      <c r="F5" s="242">
        <f>SUM(B5:E5)</f>
        <v>6.2E-4</v>
      </c>
    </row>
    <row r="6" spans="1:6" ht="15" thickBot="1" x14ac:dyDescent="0.4">
      <c r="A6" s="91" t="s">
        <v>108</v>
      </c>
      <c r="B6" s="243">
        <f>+'tariff tables'!S13+'tariff tables'!S21</f>
        <v>-5.0000000000000002E-5</v>
      </c>
      <c r="C6" s="244">
        <f>+'tariff tables'!T13+'tariff tables'!T21</f>
        <v>5.0999999999999993E-4</v>
      </c>
      <c r="D6" s="244">
        <f>+'tariff tables'!U13+'tariff tables'!U21</f>
        <v>9.3000000000000005E-4</v>
      </c>
      <c r="E6" s="244">
        <f>+'tariff tables'!V13+'tariff tables'!V21</f>
        <v>0</v>
      </c>
      <c r="F6" s="242">
        <f t="shared" ref="F6:F8" si="0">SUM(B6:E6)</f>
        <v>1.39E-3</v>
      </c>
    </row>
    <row r="7" spans="1:6" ht="15" thickBot="1" x14ac:dyDescent="0.4">
      <c r="A7" s="91" t="s">
        <v>109</v>
      </c>
      <c r="B7" s="243">
        <f>+'tariff tables'!S14+'tariff tables'!S22</f>
        <v>-5.0000000000000002E-5</v>
      </c>
      <c r="C7" s="244">
        <f>+'tariff tables'!T14+'tariff tables'!T22</f>
        <v>4.4000000000000002E-4</v>
      </c>
      <c r="D7" s="244">
        <f>+'tariff tables'!U14+'tariff tables'!U22</f>
        <v>1.0400000000000001E-3</v>
      </c>
      <c r="E7" s="244">
        <f>+'tariff tables'!V14+'tariff tables'!V22</f>
        <v>0</v>
      </c>
      <c r="F7" s="242">
        <f t="shared" si="0"/>
        <v>1.4300000000000001E-3</v>
      </c>
    </row>
    <row r="8" spans="1:6" ht="15" thickBot="1" x14ac:dyDescent="0.4">
      <c r="A8" s="91" t="s">
        <v>110</v>
      </c>
      <c r="B8" s="243">
        <f>+'tariff tables'!S15+'tariff tables'!S23</f>
        <v>-3.0000000000000001E-5</v>
      </c>
      <c r="C8" s="244">
        <f>+'tariff tables'!T15+'tariff tables'!T23</f>
        <v>1.1E-4</v>
      </c>
      <c r="D8" s="244">
        <f>+'tariff tables'!U15+'tariff tables'!U23</f>
        <v>5.1000000000000004E-4</v>
      </c>
      <c r="E8" s="244">
        <f>+'tariff tables'!V15+'tariff tables'!V23</f>
        <v>0</v>
      </c>
      <c r="F8" s="242">
        <f t="shared" si="0"/>
        <v>5.9000000000000003E-4</v>
      </c>
    </row>
    <row r="11" spans="1:6" ht="15" thickBot="1" x14ac:dyDescent="0.4">
      <c r="A11" s="3" t="s">
        <v>128</v>
      </c>
      <c r="B11" s="47"/>
      <c r="C11" s="47"/>
      <c r="D11" s="47"/>
      <c r="E11" s="47"/>
      <c r="F11" s="47"/>
    </row>
    <row r="12" spans="1:6" ht="27.5" thickBot="1" x14ac:dyDescent="0.4">
      <c r="A12" s="88" t="s">
        <v>134</v>
      </c>
      <c r="B12" s="131" t="s">
        <v>133</v>
      </c>
      <c r="C12" s="131" t="s">
        <v>132</v>
      </c>
      <c r="D12" s="131" t="s">
        <v>131</v>
      </c>
      <c r="E12" s="131" t="s">
        <v>130</v>
      </c>
      <c r="F12" s="90" t="s">
        <v>28</v>
      </c>
    </row>
    <row r="13" spans="1:6" ht="15" thickBot="1" x14ac:dyDescent="0.4">
      <c r="A13" s="91" t="s">
        <v>24</v>
      </c>
      <c r="B13" s="243">
        <f>+'tariff tables'!X12+'tariff tables'!X20</f>
        <v>2.4199999999999998E-3</v>
      </c>
      <c r="C13" s="244">
        <f>+'tariff tables'!Y12+'tariff tables'!Y20</f>
        <v>1.2899999999999999E-3</v>
      </c>
      <c r="D13" s="244">
        <f>+'tariff tables'!Z12+'tariff tables'!Z20</f>
        <v>0</v>
      </c>
      <c r="E13" s="244">
        <f>+'tariff tables'!AA12+'tariff tables'!AA20</f>
        <v>0</v>
      </c>
      <c r="F13" s="242">
        <f>SUM(B13:E13)</f>
        <v>3.7099999999999998E-3</v>
      </c>
    </row>
    <row r="14" spans="1:6" ht="15" thickBot="1" x14ac:dyDescent="0.4">
      <c r="A14" s="91" t="s">
        <v>108</v>
      </c>
      <c r="B14" s="243">
        <f>+'tariff tables'!X13+'tariff tables'!X21</f>
        <v>1.3799999999999999E-3</v>
      </c>
      <c r="C14" s="244">
        <f>+'tariff tables'!Y13+'tariff tables'!Y21</f>
        <v>4.8999999999999998E-4</v>
      </c>
      <c r="D14" s="244">
        <f>+'tariff tables'!Z13+'tariff tables'!Z21</f>
        <v>0</v>
      </c>
      <c r="E14" s="244">
        <f>+'tariff tables'!AA13+'tariff tables'!AA21</f>
        <v>0</v>
      </c>
      <c r="F14" s="242">
        <f t="shared" ref="F14:F16" si="1">SUM(B14:E14)</f>
        <v>1.8699999999999999E-3</v>
      </c>
    </row>
    <row r="15" spans="1:6" ht="15" thickBot="1" x14ac:dyDescent="0.4">
      <c r="A15" s="91" t="s">
        <v>109</v>
      </c>
      <c r="B15" s="243">
        <f>+'tariff tables'!X14+'tariff tables'!X22</f>
        <v>2.48E-3</v>
      </c>
      <c r="C15" s="244">
        <f>+'tariff tables'!Y14+'tariff tables'!Y22</f>
        <v>4.2999999999999999E-4</v>
      </c>
      <c r="D15" s="244">
        <f>+'tariff tables'!Z14+'tariff tables'!Z22</f>
        <v>0</v>
      </c>
      <c r="E15" s="244">
        <f>+'tariff tables'!AA14+'tariff tables'!AA22</f>
        <v>0</v>
      </c>
      <c r="F15" s="242">
        <f t="shared" si="1"/>
        <v>2.9099999999999998E-3</v>
      </c>
    </row>
    <row r="16" spans="1:6" ht="15" thickBot="1" x14ac:dyDescent="0.4">
      <c r="A16" s="91" t="s">
        <v>110</v>
      </c>
      <c r="B16" s="243">
        <f>+'tariff tables'!X15+'tariff tables'!X23</f>
        <v>2E-3</v>
      </c>
      <c r="C16" s="244">
        <f>+'tariff tables'!Y15+'tariff tables'!Y23</f>
        <v>1.9000000000000001E-4</v>
      </c>
      <c r="D16" s="244">
        <f>+'tariff tables'!Z15+'tariff tables'!Z23</f>
        <v>0</v>
      </c>
      <c r="E16" s="244">
        <f>+'tariff tables'!AA15+'tariff tables'!AA23</f>
        <v>0</v>
      </c>
      <c r="F16" s="242">
        <f t="shared" si="1"/>
        <v>2.1900000000000001E-3</v>
      </c>
    </row>
    <row r="19" spans="1:7" ht="15" thickBot="1" x14ac:dyDescent="0.4">
      <c r="A19" s="3" t="s">
        <v>129</v>
      </c>
      <c r="B19" s="47"/>
      <c r="C19" s="47"/>
      <c r="D19" s="47"/>
      <c r="E19" s="47"/>
      <c r="F19" s="47"/>
    </row>
    <row r="20" spans="1:7" ht="27.5" thickBot="1" x14ac:dyDescent="0.4">
      <c r="A20" s="88" t="s">
        <v>134</v>
      </c>
      <c r="B20" s="131" t="s">
        <v>133</v>
      </c>
      <c r="C20" s="131" t="s">
        <v>132</v>
      </c>
      <c r="D20" s="131" t="s">
        <v>131</v>
      </c>
      <c r="E20" s="131" t="s">
        <v>130</v>
      </c>
      <c r="F20" s="90" t="s">
        <v>28</v>
      </c>
    </row>
    <row r="21" spans="1:7" ht="15" thickBot="1" x14ac:dyDescent="0.4">
      <c r="A21" s="91" t="s">
        <v>24</v>
      </c>
      <c r="B21" s="243">
        <f t="shared" ref="B21:E24" si="2">+B5+B13</f>
        <v>2.4199999999999998E-3</v>
      </c>
      <c r="C21" s="244">
        <f t="shared" si="2"/>
        <v>1.6899999999999999E-3</v>
      </c>
      <c r="D21" s="244">
        <f t="shared" si="2"/>
        <v>2.2000000000000001E-4</v>
      </c>
      <c r="E21" s="244">
        <f t="shared" si="2"/>
        <v>0</v>
      </c>
      <c r="F21" s="242">
        <f>SUM(B21:E21)</f>
        <v>4.3299999999999996E-3</v>
      </c>
      <c r="G21" s="245">
        <f>+F21-'tariff tables'!H4</f>
        <v>0</v>
      </c>
    </row>
    <row r="22" spans="1:7" ht="15" thickBot="1" x14ac:dyDescent="0.4">
      <c r="A22" s="91" t="s">
        <v>108</v>
      </c>
      <c r="B22" s="243">
        <f t="shared" si="2"/>
        <v>1.33E-3</v>
      </c>
      <c r="C22" s="244">
        <f t="shared" si="2"/>
        <v>1E-3</v>
      </c>
      <c r="D22" s="244">
        <f t="shared" si="2"/>
        <v>9.3000000000000005E-4</v>
      </c>
      <c r="E22" s="244">
        <f t="shared" si="2"/>
        <v>0</v>
      </c>
      <c r="F22" s="242">
        <f t="shared" ref="F22:F24" si="3">SUM(B22:E22)</f>
        <v>3.2599999999999999E-3</v>
      </c>
      <c r="G22" s="245">
        <f>+F22-'tariff tables'!H5</f>
        <v>0</v>
      </c>
    </row>
    <row r="23" spans="1:7" ht="15" thickBot="1" x14ac:dyDescent="0.4">
      <c r="A23" s="91" t="s">
        <v>109</v>
      </c>
      <c r="B23" s="243">
        <f t="shared" si="2"/>
        <v>2.4299999999999999E-3</v>
      </c>
      <c r="C23" s="244">
        <f t="shared" si="2"/>
        <v>8.7000000000000001E-4</v>
      </c>
      <c r="D23" s="244">
        <f t="shared" si="2"/>
        <v>1.0400000000000001E-3</v>
      </c>
      <c r="E23" s="244">
        <f t="shared" si="2"/>
        <v>0</v>
      </c>
      <c r="F23" s="242">
        <f t="shared" si="3"/>
        <v>4.3400000000000001E-3</v>
      </c>
      <c r="G23" s="245">
        <f>+F23-'tariff tables'!H6</f>
        <v>0</v>
      </c>
    </row>
    <row r="24" spans="1:7" ht="15" thickBot="1" x14ac:dyDescent="0.4">
      <c r="A24" s="91" t="s">
        <v>110</v>
      </c>
      <c r="B24" s="243">
        <f t="shared" si="2"/>
        <v>1.97E-3</v>
      </c>
      <c r="C24" s="244">
        <f t="shared" si="2"/>
        <v>3.0000000000000003E-4</v>
      </c>
      <c r="D24" s="244">
        <f t="shared" si="2"/>
        <v>5.1000000000000004E-4</v>
      </c>
      <c r="E24" s="244">
        <f t="shared" si="2"/>
        <v>0</v>
      </c>
      <c r="F24" s="242">
        <f t="shared" si="3"/>
        <v>2.7799999999999999E-3</v>
      </c>
      <c r="G24" s="245">
        <f>+F24-'tariff tables'!H7</f>
        <v>0</v>
      </c>
    </row>
    <row r="26" spans="1:7" x14ac:dyDescent="0.35">
      <c r="B26" s="245">
        <f>+B21-'tariff tables'!J4</f>
        <v>0</v>
      </c>
      <c r="C26" s="245">
        <f>+C21-'tariff tables'!K4</f>
        <v>0</v>
      </c>
      <c r="D26" s="245">
        <f>+D21-'tariff tables'!L4</f>
        <v>0</v>
      </c>
      <c r="E26" s="245">
        <f>+E21-'tariff tables'!M4</f>
        <v>0</v>
      </c>
      <c r="F26" s="245"/>
    </row>
    <row r="27" spans="1:7" x14ac:dyDescent="0.35">
      <c r="B27" s="245">
        <f>+B22-'tariff tables'!J5</f>
        <v>0</v>
      </c>
      <c r="C27" s="245">
        <f>+C22-'tariff tables'!K5</f>
        <v>0</v>
      </c>
      <c r="D27" s="245">
        <f>+D22-'tariff tables'!L5</f>
        <v>0</v>
      </c>
      <c r="E27" s="245">
        <f>+E22-'tariff tables'!M5</f>
        <v>0</v>
      </c>
      <c r="F27" s="245"/>
    </row>
    <row r="28" spans="1:7" x14ac:dyDescent="0.35">
      <c r="B28" s="245">
        <f>+B23-'tariff tables'!J6</f>
        <v>0</v>
      </c>
      <c r="C28" s="245">
        <f>+C23-'tariff tables'!K6</f>
        <v>0</v>
      </c>
      <c r="D28" s="245">
        <f>+D23-'tariff tables'!L6</f>
        <v>0</v>
      </c>
      <c r="E28" s="245">
        <f>+E23-'tariff tables'!M6</f>
        <v>0</v>
      </c>
      <c r="F28" s="245"/>
    </row>
    <row r="29" spans="1:7" x14ac:dyDescent="0.35">
      <c r="B29" s="245">
        <f>+B24-'tariff tables'!J7</f>
        <v>0</v>
      </c>
      <c r="C29" s="245">
        <f>+C24-'tariff tables'!K7</f>
        <v>0</v>
      </c>
      <c r="D29" s="245">
        <f>+D24-'tariff tables'!L7</f>
        <v>0</v>
      </c>
      <c r="E29" s="245">
        <f>+E24-'tariff tables'!M7</f>
        <v>0</v>
      </c>
      <c r="F29" s="245"/>
    </row>
  </sheetData>
  <pageMargins left="0.7" right="0.7" top="0.75" bottom="0.75" header="0.3" footer="0.3"/>
  <pageSetup orientation="portrait" r:id="rId1"/>
  <headerFoot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49"/>
  <sheetViews>
    <sheetView workbookViewId="0">
      <selection activeCell="A14" sqref="A14"/>
    </sheetView>
  </sheetViews>
  <sheetFormatPr defaultColWidth="9.1796875" defaultRowHeight="14.5" x14ac:dyDescent="0.35"/>
  <cols>
    <col min="1" max="1" width="20.81640625" style="47" customWidth="1"/>
    <col min="2" max="2" width="22" style="47" customWidth="1"/>
    <col min="3" max="3" width="17.26953125" style="47" customWidth="1"/>
    <col min="4" max="16384" width="9.1796875" style="47"/>
  </cols>
  <sheetData>
    <row r="1" spans="1:25" x14ac:dyDescent="0.35">
      <c r="A1" s="64" t="s">
        <v>167</v>
      </c>
    </row>
    <row r="2" spans="1:25" x14ac:dyDescent="0.35">
      <c r="A2" s="9" t="s">
        <v>168</v>
      </c>
    </row>
    <row r="3" spans="1:25" ht="35.25" customHeight="1" x14ac:dyDescent="0.35">
      <c r="B3" s="300" t="s">
        <v>113</v>
      </c>
      <c r="C3" s="300"/>
    </row>
    <row r="4" spans="1:25" ht="43.5" x14ac:dyDescent="0.35">
      <c r="B4" s="275" t="s">
        <v>44</v>
      </c>
      <c r="C4" s="240" t="s">
        <v>26</v>
      </c>
    </row>
    <row r="5" spans="1:25" x14ac:dyDescent="0.35">
      <c r="A5" s="20" t="s">
        <v>24</v>
      </c>
      <c r="B5" s="276">
        <f>SUM('[1]Billed kWh Sales'!E34:F34)</f>
        <v>3552314165</v>
      </c>
      <c r="C5" s="238">
        <f>ROUND(SUM('[2]Monthly Program Costs'!$Z290:$AK290),2)</f>
        <v>9413167.1899999995</v>
      </c>
    </row>
    <row r="6" spans="1:25" x14ac:dyDescent="0.35">
      <c r="A6" s="20" t="s">
        <v>108</v>
      </c>
      <c r="B6" s="276">
        <f>SUM('[1]Billed kWh Sales'!E35:F35)</f>
        <v>1158179831</v>
      </c>
      <c r="C6" s="238">
        <f>ROUND(SUM('[2]Monthly Program Costs'!$Z291:$AK291),2)</f>
        <v>1820372.46</v>
      </c>
      <c r="E6" s="274">
        <f>+C6/SUM($C$6:$C$8)</f>
        <v>0.27528852001134341</v>
      </c>
    </row>
    <row r="7" spans="1:25" x14ac:dyDescent="0.35">
      <c r="A7" s="20" t="s">
        <v>109</v>
      </c>
      <c r="B7" s="276">
        <f>SUM('[1]Billed kWh Sales'!E36:F36)</f>
        <v>1153447148</v>
      </c>
      <c r="C7" s="238">
        <f>ROUND(SUM('[2]Monthly Program Costs'!$Z293:$AK293),2)</f>
        <v>2732402.49</v>
      </c>
      <c r="E7" s="274">
        <f t="shared" ref="E7:E8" si="0">+C7/SUM($C$6:$C$8)</f>
        <v>0.41321161140144347</v>
      </c>
    </row>
    <row r="8" spans="1:25" x14ac:dyDescent="0.35">
      <c r="A8" s="20" t="s">
        <v>110</v>
      </c>
      <c r="B8" s="276">
        <f>SUM('[1]Billed kWh Sales'!E37:F37)</f>
        <v>813865313</v>
      </c>
      <c r="C8" s="238">
        <f>ROUND(SUM('[2]Monthly Program Costs'!$Z294:$AK294),2)</f>
        <v>2059823.57</v>
      </c>
      <c r="E8" s="274">
        <f t="shared" si="0"/>
        <v>0.31149986858721312</v>
      </c>
      <c r="P8" s="1"/>
      <c r="Q8" s="1"/>
      <c r="R8" s="1"/>
      <c r="S8" s="1"/>
      <c r="T8" s="1"/>
      <c r="U8" s="1"/>
      <c r="V8" s="1"/>
      <c r="W8" s="1"/>
      <c r="X8" s="1"/>
      <c r="Y8" s="1"/>
    </row>
    <row r="9" spans="1:25" x14ac:dyDescent="0.35">
      <c r="A9" s="31" t="s">
        <v>112</v>
      </c>
      <c r="B9" s="277">
        <f>SUM(B5:B8)</f>
        <v>6677806457</v>
      </c>
      <c r="C9" s="239">
        <f>SUM(C5:C8)</f>
        <v>16025765.709999999</v>
      </c>
      <c r="P9" s="1"/>
      <c r="Q9" s="1"/>
      <c r="R9" s="1"/>
      <c r="S9" s="1"/>
      <c r="T9" s="1"/>
      <c r="U9" s="1"/>
      <c r="V9" s="1"/>
      <c r="W9" s="1"/>
      <c r="X9" s="1"/>
      <c r="Y9" s="1"/>
    </row>
    <row r="11" spans="1:25" x14ac:dyDescent="0.35">
      <c r="A11" s="54" t="s">
        <v>11</v>
      </c>
    </row>
    <row r="12" spans="1:25" ht="29.25" customHeight="1" x14ac:dyDescent="0.35">
      <c r="A12" s="301" t="s">
        <v>161</v>
      </c>
      <c r="B12" s="301"/>
      <c r="C12" s="301"/>
      <c r="D12" s="301"/>
      <c r="E12" s="301"/>
      <c r="F12" s="301"/>
      <c r="G12" s="301"/>
      <c r="H12" s="301"/>
      <c r="I12" s="301"/>
    </row>
    <row r="13" spans="1:25" ht="47.25" customHeight="1" x14ac:dyDescent="0.35">
      <c r="A13" s="301" t="s">
        <v>196</v>
      </c>
      <c r="B13" s="301"/>
      <c r="C13" s="301"/>
    </row>
    <row r="14" spans="1:25" x14ac:dyDescent="0.35">
      <c r="A14" s="3"/>
    </row>
    <row r="23" spans="3:3" x14ac:dyDescent="0.35">
      <c r="C23" s="2"/>
    </row>
    <row r="45" spans="2:3" x14ac:dyDescent="0.35">
      <c r="B45" s="8"/>
      <c r="C45" s="8"/>
    </row>
    <row r="49" spans="2:3" x14ac:dyDescent="0.35">
      <c r="B49" s="8"/>
      <c r="C49" s="8"/>
    </row>
  </sheetData>
  <mergeCells count="5">
    <mergeCell ref="B3:C3"/>
    <mergeCell ref="A13:C13"/>
    <mergeCell ref="A12:C12"/>
    <mergeCell ref="D12:F12"/>
    <mergeCell ref="G12:I12"/>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74"/>
  <sheetViews>
    <sheetView topLeftCell="M40" workbookViewId="0">
      <selection activeCell="O40" sqref="O1:O1048576"/>
    </sheetView>
  </sheetViews>
  <sheetFormatPr defaultColWidth="9.1796875" defaultRowHeight="14.5" x14ac:dyDescent="0.35"/>
  <cols>
    <col min="1" max="1" width="54.54296875" style="47" customWidth="1"/>
    <col min="2" max="2" width="14.7265625" style="47" customWidth="1"/>
    <col min="3" max="3" width="15" style="47" customWidth="1"/>
    <col min="4" max="4" width="15.26953125" style="47" customWidth="1"/>
    <col min="5" max="5" width="15.81640625" style="47" customWidth="1"/>
    <col min="6" max="6" width="17.54296875" style="47" customWidth="1"/>
    <col min="7" max="8" width="13.26953125" style="47" customWidth="1"/>
    <col min="9" max="9" width="15.7265625" style="47" customWidth="1"/>
    <col min="10" max="11" width="12.54296875" style="47" bestFit="1" customWidth="1"/>
    <col min="12" max="12" width="14.453125" style="47" customWidth="1"/>
    <col min="13" max="13" width="15" style="47" bestFit="1" customWidth="1"/>
    <col min="14" max="14" width="16.26953125" style="47" bestFit="1" customWidth="1"/>
    <col min="15" max="15" width="16.1796875" style="47" customWidth="1"/>
    <col min="16" max="16" width="17.26953125" style="47" bestFit="1" customWidth="1"/>
    <col min="17" max="17" width="17.453125" style="47" customWidth="1"/>
    <col min="18" max="18" width="15.54296875" style="47" customWidth="1"/>
    <col min="19" max="19" width="13" style="47" customWidth="1"/>
    <col min="20" max="20" width="9.1796875" style="47"/>
    <col min="21" max="21" width="14.26953125" style="47" bestFit="1" customWidth="1"/>
    <col min="22" max="16384" width="9.1796875" style="47"/>
  </cols>
  <sheetData>
    <row r="1" spans="1:34" x14ac:dyDescent="0.35">
      <c r="A1" s="3" t="str">
        <f>+'PPC Cycle 3'!A1</f>
        <v>Evergy Missouri West, Inc. - DSIM Rider Update Filed 06/01/2021</v>
      </c>
      <c r="B1" s="3"/>
      <c r="C1" s="3"/>
    </row>
    <row r="2" spans="1:34" x14ac:dyDescent="0.35">
      <c r="D2" s="3" t="s">
        <v>60</v>
      </c>
    </row>
    <row r="3" spans="1:34" ht="29" x14ac:dyDescent="0.35">
      <c r="D3" s="49" t="s">
        <v>46</v>
      </c>
      <c r="E3" s="49" t="s">
        <v>45</v>
      </c>
      <c r="F3" s="71" t="s">
        <v>2</v>
      </c>
      <c r="G3" s="49" t="s">
        <v>3</v>
      </c>
      <c r="H3" s="71" t="s">
        <v>55</v>
      </c>
      <c r="I3" s="49" t="s">
        <v>10</v>
      </c>
      <c r="J3" s="49" t="s">
        <v>4</v>
      </c>
    </row>
    <row r="4" spans="1:34" x14ac:dyDescent="0.35">
      <c r="A4" s="20" t="s">
        <v>24</v>
      </c>
      <c r="D4" s="22">
        <f>SUM(C32:L32)</f>
        <v>9564.35</v>
      </c>
      <c r="E4" s="139">
        <f>SUM(C26:L26)</f>
        <v>1816355347.7184999</v>
      </c>
      <c r="F4" s="22">
        <f>SUM(C22:K22)</f>
        <v>0</v>
      </c>
      <c r="G4" s="22">
        <f>F4-D4</f>
        <v>-9564.35</v>
      </c>
      <c r="H4" s="22">
        <f>+B44</f>
        <v>13521.922319999856</v>
      </c>
      <c r="I4" s="22">
        <f>SUM(C49:K49)</f>
        <v>80.259999999999991</v>
      </c>
      <c r="J4" s="26">
        <f>SUM(G4:I4)</f>
        <v>4037.8323199998558</v>
      </c>
      <c r="K4" s="48">
        <f>+J4-L44</f>
        <v>0</v>
      </c>
    </row>
    <row r="5" spans="1:34" ht="15" thickBot="1" x14ac:dyDescent="0.4">
      <c r="A5" s="20" t="s">
        <v>25</v>
      </c>
      <c r="D5" s="22">
        <f>SUM(C33:L35)</f>
        <v>-335475.69999999995</v>
      </c>
      <c r="E5" s="139">
        <f>SUM(C27:L29)</f>
        <v>1434756561.8663998</v>
      </c>
      <c r="F5" s="22">
        <f>SUM(C23:K23)</f>
        <v>0</v>
      </c>
      <c r="G5" s="22">
        <f>F5-D5</f>
        <v>335475.69999999995</v>
      </c>
      <c r="H5" s="22">
        <f>+B45</f>
        <v>-482037.71896000003</v>
      </c>
      <c r="I5" s="22">
        <f>SUM(C50:K50)</f>
        <v>-2983.59</v>
      </c>
      <c r="J5" s="26">
        <f>SUM(G5:I5)</f>
        <v>-149545.60896000007</v>
      </c>
      <c r="K5" s="48">
        <f>+J5-L45</f>
        <v>0</v>
      </c>
    </row>
    <row r="6" spans="1:34" ht="15.5" thickTop="1" thickBot="1" x14ac:dyDescent="0.4">
      <c r="D6" s="28">
        <f t="shared" ref="D6" si="0">SUM(D4:D5)</f>
        <v>-325911.34999999998</v>
      </c>
      <c r="E6" s="28">
        <f t="shared" ref="E6:H6" si="1">SUM(E4:E5)</f>
        <v>3251111909.5848999</v>
      </c>
      <c r="F6" s="28">
        <f t="shared" si="1"/>
        <v>0</v>
      </c>
      <c r="G6" s="28">
        <f t="shared" si="1"/>
        <v>325911.34999999998</v>
      </c>
      <c r="H6" s="28">
        <f t="shared" si="1"/>
        <v>-468515.79664000019</v>
      </c>
      <c r="I6" s="28">
        <f>SUM(I4:I5)</f>
        <v>-2903.33</v>
      </c>
      <c r="J6" s="28">
        <f>SUM(J4:J5)</f>
        <v>-145507.77664000023</v>
      </c>
    </row>
    <row r="7" spans="1:34" ht="44" thickTop="1" x14ac:dyDescent="0.35">
      <c r="D7" s="236"/>
      <c r="E7" s="237"/>
      <c r="F7" s="236"/>
      <c r="G7" s="236"/>
      <c r="H7" s="236"/>
      <c r="I7" s="235"/>
      <c r="J7" s="235"/>
      <c r="K7" s="234" t="s">
        <v>123</v>
      </c>
    </row>
    <row r="8" spans="1:34" x14ac:dyDescent="0.35">
      <c r="A8" s="20" t="s">
        <v>108</v>
      </c>
      <c r="D8" s="236"/>
      <c r="E8" s="237"/>
      <c r="F8" s="236"/>
      <c r="G8" s="236"/>
      <c r="H8" s="236"/>
      <c r="I8" s="235"/>
      <c r="J8" s="26">
        <f>ROUND($J$5*K8,2)</f>
        <v>-58635.77</v>
      </c>
      <c r="K8" s="232">
        <f>+'[3]Monthly TD Calc'!$CY$44</f>
        <v>0.39209287804949344</v>
      </c>
    </row>
    <row r="9" spans="1:34" x14ac:dyDescent="0.35">
      <c r="A9" s="20" t="s">
        <v>109</v>
      </c>
      <c r="D9" s="236"/>
      <c r="E9" s="237"/>
      <c r="F9" s="236"/>
      <c r="G9" s="236"/>
      <c r="H9" s="236"/>
      <c r="I9" s="235"/>
      <c r="J9" s="26">
        <f t="shared" ref="J9:J10" si="2">ROUND($J$5*K9,2)</f>
        <v>-67947.41</v>
      </c>
      <c r="K9" s="232">
        <f>+'[3]Monthly TD Calc'!$DA$44</f>
        <v>0.45435908608374953</v>
      </c>
    </row>
    <row r="10" spans="1:34" ht="15" thickBot="1" x14ac:dyDescent="0.4">
      <c r="A10" s="20" t="s">
        <v>110</v>
      </c>
      <c r="D10" s="236"/>
      <c r="E10" s="237"/>
      <c r="F10" s="236"/>
      <c r="G10" s="236"/>
      <c r="H10" s="236"/>
      <c r="I10" s="235"/>
      <c r="J10" s="26">
        <f t="shared" si="2"/>
        <v>-22962.43</v>
      </c>
      <c r="K10" s="232">
        <f>+'[3]Monthly TD Calc'!$DB$44</f>
        <v>0.15354803586675725</v>
      </c>
    </row>
    <row r="11" spans="1:34" ht="15.5" thickTop="1" thickBot="1" x14ac:dyDescent="0.4">
      <c r="A11" s="20" t="s">
        <v>112</v>
      </c>
      <c r="D11" s="236"/>
      <c r="E11" s="237"/>
      <c r="F11" s="236"/>
      <c r="G11" s="236"/>
      <c r="H11" s="236"/>
      <c r="I11" s="235"/>
      <c r="J11" s="28">
        <f>SUM(J8:J10)</f>
        <v>-149545.60999999999</v>
      </c>
      <c r="K11" s="233">
        <f>SUM(K8:K10)</f>
        <v>1.0000000000000002</v>
      </c>
    </row>
    <row r="12" spans="1:34" ht="15.5" thickTop="1" thickBot="1" x14ac:dyDescent="0.4"/>
    <row r="13" spans="1:34" ht="73" thickBot="1" x14ac:dyDescent="0.4">
      <c r="B13" s="119" t="s">
        <v>169</v>
      </c>
      <c r="C13" s="154" t="s">
        <v>170</v>
      </c>
      <c r="D13" s="306" t="s">
        <v>33</v>
      </c>
      <c r="E13" s="306"/>
      <c r="F13" s="307"/>
      <c r="G13" s="308" t="s">
        <v>33</v>
      </c>
      <c r="H13" s="309"/>
      <c r="I13" s="310"/>
      <c r="J13" s="302" t="s">
        <v>8</v>
      </c>
      <c r="K13" s="303"/>
      <c r="L13" s="304"/>
    </row>
    <row r="14" spans="1:34" x14ac:dyDescent="0.35">
      <c r="A14" s="47" t="s">
        <v>32</v>
      </c>
      <c r="C14" s="14"/>
      <c r="D14" s="19">
        <v>44165</v>
      </c>
      <c r="E14" s="19">
        <f>EOMONTH(D14,1)</f>
        <v>44196</v>
      </c>
      <c r="F14" s="19">
        <f t="shared" ref="F14:L14" si="3">EOMONTH(E14,1)</f>
        <v>44227</v>
      </c>
      <c r="G14" s="14">
        <f t="shared" si="3"/>
        <v>44255</v>
      </c>
      <c r="H14" s="19">
        <f t="shared" si="3"/>
        <v>44286</v>
      </c>
      <c r="I14" s="15">
        <f t="shared" si="3"/>
        <v>44316</v>
      </c>
      <c r="J14" s="19">
        <f t="shared" si="3"/>
        <v>44347</v>
      </c>
      <c r="K14" s="19">
        <f t="shared" si="3"/>
        <v>44377</v>
      </c>
      <c r="L14" s="96">
        <f t="shared" si="3"/>
        <v>44408</v>
      </c>
      <c r="Y14" s="1"/>
      <c r="Z14" s="1"/>
      <c r="AA14" s="1"/>
      <c r="AB14" s="1"/>
      <c r="AC14" s="1"/>
      <c r="AD14" s="1"/>
      <c r="AE14" s="1"/>
      <c r="AF14" s="1"/>
      <c r="AG14" s="1"/>
      <c r="AH14" s="1"/>
    </row>
    <row r="15" spans="1:34" x14ac:dyDescent="0.35">
      <c r="A15" s="47" t="s">
        <v>24</v>
      </c>
      <c r="C15" s="98">
        <v>0</v>
      </c>
      <c r="D15" s="110">
        <v>0</v>
      </c>
      <c r="E15" s="110">
        <f>ROUND('[4]MO West MEEIA Cycle 2'!C10,2)</f>
        <v>0</v>
      </c>
      <c r="F15" s="111">
        <f>ROUND('[4]MO West MEEIA Cycle 2'!D10,2)</f>
        <v>0</v>
      </c>
      <c r="G15" s="16">
        <v>0</v>
      </c>
      <c r="H15" s="56">
        <v>0</v>
      </c>
      <c r="I15" s="169">
        <v>0</v>
      </c>
      <c r="J15" s="179">
        <v>0</v>
      </c>
      <c r="K15" s="141">
        <v>0</v>
      </c>
      <c r="L15" s="77"/>
    </row>
    <row r="16" spans="1:34" x14ac:dyDescent="0.35">
      <c r="A16" s="47" t="s">
        <v>25</v>
      </c>
      <c r="C16" s="98">
        <v>0</v>
      </c>
      <c r="D16" s="110">
        <v>0</v>
      </c>
      <c r="E16" s="110">
        <f>ROUND('[4]MO West MEEIA Cycle 2'!C11,2)</f>
        <v>-22840.19</v>
      </c>
      <c r="F16" s="111">
        <f>ROUND('[4]MO West MEEIA Cycle 2'!D11,2)</f>
        <v>22840.19</v>
      </c>
      <c r="G16" s="16">
        <v>0</v>
      </c>
      <c r="H16" s="56">
        <v>0</v>
      </c>
      <c r="I16" s="169">
        <v>0</v>
      </c>
      <c r="J16" s="179">
        <v>0</v>
      </c>
      <c r="K16" s="141">
        <v>0</v>
      </c>
      <c r="L16" s="77"/>
      <c r="M16" s="64" t="s">
        <v>27</v>
      </c>
    </row>
    <row r="17" spans="1:14" x14ac:dyDescent="0.35">
      <c r="A17" s="47" t="s">
        <v>0</v>
      </c>
      <c r="C17" s="98">
        <v>0</v>
      </c>
      <c r="D17" s="110">
        <v>0</v>
      </c>
      <c r="E17" s="110">
        <f>ROUND('[4]MO West MEEIA Cycle 2'!C12,2)</f>
        <v>0</v>
      </c>
      <c r="F17" s="111">
        <f>ROUND('[4]MO West MEEIA Cycle 2'!D12,2)</f>
        <v>0</v>
      </c>
      <c r="G17" s="16">
        <v>0</v>
      </c>
      <c r="H17" s="56">
        <v>0</v>
      </c>
      <c r="I17" s="169">
        <v>0</v>
      </c>
      <c r="J17" s="179">
        <v>0</v>
      </c>
      <c r="K17" s="141">
        <v>0</v>
      </c>
      <c r="L17" s="77"/>
      <c r="M17" s="74">
        <v>0.5</v>
      </c>
    </row>
    <row r="18" spans="1:14" x14ac:dyDescent="0.35">
      <c r="A18" s="47" t="s">
        <v>1</v>
      </c>
      <c r="C18" s="98">
        <v>0</v>
      </c>
      <c r="D18" s="110">
        <v>0</v>
      </c>
      <c r="E18" s="110">
        <f>ROUND('[4]MO West MEEIA Cycle 2'!C13,2)</f>
        <v>0</v>
      </c>
      <c r="F18" s="111">
        <f>ROUND('[4]MO West MEEIA Cycle 2'!D13,2)</f>
        <v>0</v>
      </c>
      <c r="G18" s="16">
        <v>0</v>
      </c>
      <c r="H18" s="56">
        <v>0</v>
      </c>
      <c r="I18" s="169">
        <v>0</v>
      </c>
      <c r="J18" s="179">
        <v>0</v>
      </c>
      <c r="K18" s="141">
        <v>0</v>
      </c>
      <c r="L18" s="77"/>
      <c r="M18" s="64"/>
    </row>
    <row r="19" spans="1:14" x14ac:dyDescent="0.35">
      <c r="C19" s="99"/>
      <c r="D19" s="32"/>
      <c r="E19" s="32"/>
      <c r="F19" s="32"/>
      <c r="G19" s="29"/>
      <c r="H19" s="32"/>
      <c r="I19" s="11"/>
      <c r="J19" s="32"/>
      <c r="K19" s="32"/>
      <c r="L19" s="30"/>
    </row>
    <row r="20" spans="1:14" x14ac:dyDescent="0.35">
      <c r="C20" s="99"/>
      <c r="D20" s="32"/>
      <c r="E20" s="32"/>
      <c r="F20" s="32"/>
      <c r="G20" s="29"/>
      <c r="H20" s="32"/>
      <c r="I20" s="11"/>
      <c r="J20" s="32"/>
      <c r="K20" s="32"/>
      <c r="L20" s="30"/>
    </row>
    <row r="21" spans="1:14" x14ac:dyDescent="0.35">
      <c r="A21" s="47" t="s">
        <v>35</v>
      </c>
      <c r="C21" s="100"/>
      <c r="D21" s="32"/>
      <c r="E21" s="32"/>
      <c r="F21" s="32"/>
      <c r="G21" s="29"/>
      <c r="H21" s="32"/>
      <c r="I21" s="170"/>
      <c r="J21" s="17"/>
      <c r="K21" s="17"/>
      <c r="L21" s="11"/>
    </row>
    <row r="22" spans="1:14" x14ac:dyDescent="0.35">
      <c r="A22" s="47" t="s">
        <v>24</v>
      </c>
      <c r="C22" s="41">
        <f t="shared" ref="C22:K22" si="4">C15+($M$17*C$17)+($M$17*C$18)</f>
        <v>0</v>
      </c>
      <c r="D22" s="42">
        <f t="shared" si="4"/>
        <v>0</v>
      </c>
      <c r="E22" s="42">
        <f t="shared" si="4"/>
        <v>0</v>
      </c>
      <c r="F22" s="109">
        <f t="shared" si="4"/>
        <v>0</v>
      </c>
      <c r="G22" s="41">
        <f t="shared" si="4"/>
        <v>0</v>
      </c>
      <c r="H22" s="42">
        <f t="shared" si="4"/>
        <v>0</v>
      </c>
      <c r="I22" s="62">
        <f t="shared" si="4"/>
        <v>0</v>
      </c>
      <c r="J22" s="124">
        <f t="shared" si="4"/>
        <v>0</v>
      </c>
      <c r="K22" s="42">
        <f t="shared" si="4"/>
        <v>0</v>
      </c>
      <c r="L22" s="62">
        <f t="shared" ref="L22" si="5">L15+($M$17*L$17)+($M$17*L$18)+L$19*(1-$M$19)</f>
        <v>0</v>
      </c>
    </row>
    <row r="23" spans="1:14" x14ac:dyDescent="0.35">
      <c r="A23" s="47" t="s">
        <v>25</v>
      </c>
      <c r="C23" s="41">
        <f t="shared" ref="C23:K23" si="6">(C$16+$M$17*C$17)+C$18*$M$17</f>
        <v>0</v>
      </c>
      <c r="D23" s="42">
        <f t="shared" si="6"/>
        <v>0</v>
      </c>
      <c r="E23" s="42">
        <f t="shared" si="6"/>
        <v>-22840.19</v>
      </c>
      <c r="F23" s="109">
        <f t="shared" si="6"/>
        <v>22840.19</v>
      </c>
      <c r="G23" s="41">
        <f t="shared" si="6"/>
        <v>0</v>
      </c>
      <c r="H23" s="42">
        <f t="shared" si="6"/>
        <v>0</v>
      </c>
      <c r="I23" s="62">
        <f t="shared" si="6"/>
        <v>0</v>
      </c>
      <c r="J23" s="124">
        <f t="shared" si="6"/>
        <v>0</v>
      </c>
      <c r="K23" s="42">
        <f t="shared" si="6"/>
        <v>0</v>
      </c>
      <c r="L23" s="62">
        <f t="shared" ref="L23" si="7">(L$16+$M$17*L$17+L$19*$M$19)+L$18*$M$17</f>
        <v>0</v>
      </c>
    </row>
    <row r="24" spans="1:14" x14ac:dyDescent="0.35">
      <c r="C24" s="100"/>
      <c r="D24" s="32"/>
      <c r="E24" s="32"/>
      <c r="F24" s="32"/>
      <c r="G24" s="29"/>
      <c r="H24" s="32"/>
      <c r="I24" s="11"/>
      <c r="J24" s="17"/>
      <c r="K24" s="17"/>
      <c r="L24" s="11"/>
    </row>
    <row r="25" spans="1:14" x14ac:dyDescent="0.35">
      <c r="A25" s="40" t="s">
        <v>47</v>
      </c>
      <c r="B25" s="40"/>
      <c r="C25" s="102"/>
      <c r="D25" s="32"/>
      <c r="E25" s="32"/>
      <c r="F25" s="32"/>
      <c r="G25" s="29"/>
      <c r="H25" s="32"/>
      <c r="I25" s="11"/>
      <c r="J25" s="17"/>
      <c r="K25" s="17"/>
      <c r="L25" s="11"/>
    </row>
    <row r="26" spans="1:14" x14ac:dyDescent="0.35">
      <c r="A26" s="47" t="s">
        <v>24</v>
      </c>
      <c r="C26" s="103">
        <v>-833376842</v>
      </c>
      <c r="D26" s="112">
        <f>+'[5]Nov 2020'!$C108</f>
        <v>232114440.99309999</v>
      </c>
      <c r="E26" s="112">
        <f>+'[5]Dec 2020'!$C108</f>
        <v>298579042.8743</v>
      </c>
      <c r="F26" s="112">
        <f>+'[5]Jan 2021'!$C108</f>
        <v>370201952.93150002</v>
      </c>
      <c r="G26" s="189">
        <f>+'[5]Feb 2021'!$C108</f>
        <v>384763407.76300001</v>
      </c>
      <c r="H26" s="192">
        <f>+'[5]Mar 2021'!$C108</f>
        <v>318238133.59289998</v>
      </c>
      <c r="I26" s="184">
        <f>+'[5]Apr 2021'!$C108</f>
        <v>218374311.56370002</v>
      </c>
      <c r="J26" s="180">
        <f>+'[1]Billed kWh Sales'!I25</f>
        <v>204882238</v>
      </c>
      <c r="K26" s="142">
        <f>+'[1]Billed kWh Sales'!J25</f>
        <v>258945083</v>
      </c>
      <c r="L26" s="78">
        <f>+'[1]Billed kWh Sales'!K25</f>
        <v>363633579</v>
      </c>
    </row>
    <row r="27" spans="1:14" x14ac:dyDescent="0.35">
      <c r="A27" s="47" t="s">
        <v>108</v>
      </c>
      <c r="C27" s="103">
        <v>-245276028</v>
      </c>
      <c r="D27" s="112">
        <f>+'[5]Nov 2020'!$C109</f>
        <v>82722547.919300005</v>
      </c>
      <c r="E27" s="112">
        <f>+'[5]Dec 2020'!$C109</f>
        <v>94951919.190199986</v>
      </c>
      <c r="F27" s="112">
        <f>+'[5]Jan 2021'!$C109</f>
        <v>103348427.90530004</v>
      </c>
      <c r="G27" s="189">
        <f>+'[5]Feb 2021'!$C109</f>
        <v>108815503.55120002</v>
      </c>
      <c r="H27" s="192">
        <f>+'[5]Mar 2021'!$C109</f>
        <v>97302567.634599984</v>
      </c>
      <c r="I27" s="184">
        <f>+'[5]Apr 2021'!$C109</f>
        <v>79771159.937600002</v>
      </c>
      <c r="J27" s="180">
        <f>+'[1]Billed kWh Sales'!I26</f>
        <v>90045195</v>
      </c>
      <c r="K27" s="142">
        <f>+'[1]Billed kWh Sales'!J26</f>
        <v>100346029</v>
      </c>
      <c r="L27" s="78">
        <f>+'[1]Billed kWh Sales'!K26</f>
        <v>110434275</v>
      </c>
    </row>
    <row r="28" spans="1:14" x14ac:dyDescent="0.35">
      <c r="A28" s="47" t="s">
        <v>109</v>
      </c>
      <c r="C28" s="103">
        <v>-371821642</v>
      </c>
      <c r="D28" s="112">
        <f>+'[5]Nov 2020'!$C110</f>
        <v>84376904.243999988</v>
      </c>
      <c r="E28" s="112">
        <f>+'[5]Dec 2020'!$C110</f>
        <v>91324181.064899981</v>
      </c>
      <c r="F28" s="112">
        <f>+'[5]Jan 2021'!$C110</f>
        <v>92282062.262799993</v>
      </c>
      <c r="G28" s="189">
        <f>+'[5]Feb 2021'!$C110</f>
        <v>105744512.57329997</v>
      </c>
      <c r="H28" s="192">
        <f>+'[5]Mar 2021'!$C110</f>
        <v>89522084.768100008</v>
      </c>
      <c r="I28" s="184">
        <f>+'[5]Apr 2021'!$C110</f>
        <v>81440964.368799999</v>
      </c>
      <c r="J28" s="180">
        <f>+'[1]Billed kWh Sales'!I27</f>
        <v>89677243</v>
      </c>
      <c r="K28" s="142">
        <f>+'[1]Billed kWh Sales'!J27</f>
        <v>99935984</v>
      </c>
      <c r="L28" s="78">
        <f>+'[1]Billed kWh Sales'!K27</f>
        <v>109983006</v>
      </c>
    </row>
    <row r="29" spans="1:14" x14ac:dyDescent="0.35">
      <c r="A29" s="47" t="s">
        <v>110</v>
      </c>
      <c r="C29" s="103">
        <v>-216610115</v>
      </c>
      <c r="D29" s="112">
        <f>+'[5]Nov 2020'!$C111</f>
        <v>60224453.990400009</v>
      </c>
      <c r="E29" s="112">
        <f>+'[5]Dec 2020'!$C111</f>
        <v>62522212.070400007</v>
      </c>
      <c r="F29" s="112">
        <f>+'[5]Jan 2021'!$C111</f>
        <v>59349815.318599999</v>
      </c>
      <c r="G29" s="189">
        <f>+'[5]Feb 2021'!$C111</f>
        <v>48789647.199599996</v>
      </c>
      <c r="H29" s="192">
        <f>+'[5]Mar 2021'!$C111</f>
        <v>55995303.549599998</v>
      </c>
      <c r="I29" s="184">
        <f>+'[5]Apr 2021'!$C111</f>
        <v>58165062.317699991</v>
      </c>
      <c r="J29" s="180">
        <f>+'[1]Billed kWh Sales'!I28</f>
        <v>63275719</v>
      </c>
      <c r="K29" s="142">
        <f>+'[1]Billed kWh Sales'!J28</f>
        <v>70514224</v>
      </c>
      <c r="L29" s="78">
        <f>+'[1]Billed kWh Sales'!K28</f>
        <v>77603342</v>
      </c>
    </row>
    <row r="30" spans="1:14" x14ac:dyDescent="0.35">
      <c r="C30" s="100"/>
      <c r="D30" s="32"/>
      <c r="E30" s="32"/>
      <c r="F30" s="32"/>
      <c r="G30" s="29"/>
      <c r="H30" s="32"/>
      <c r="I30" s="11"/>
      <c r="J30" s="17"/>
      <c r="K30" s="17"/>
      <c r="L30" s="11"/>
    </row>
    <row r="31" spans="1:14" x14ac:dyDescent="0.35">
      <c r="A31" s="47" t="s">
        <v>34</v>
      </c>
      <c r="C31" s="100"/>
      <c r="D31" s="18"/>
      <c r="E31" s="18"/>
      <c r="F31" s="18"/>
      <c r="G31" s="92"/>
      <c r="H31" s="18"/>
      <c r="I31" s="11"/>
      <c r="J31" s="58"/>
      <c r="K31" s="58"/>
      <c r="L31" s="59"/>
      <c r="M31" s="64" t="s">
        <v>50</v>
      </c>
      <c r="N31" s="40"/>
    </row>
    <row r="32" spans="1:14" x14ac:dyDescent="0.35">
      <c r="A32" s="47" t="s">
        <v>24</v>
      </c>
      <c r="C32" s="98">
        <v>-8333.77</v>
      </c>
      <c r="D32" s="110">
        <f>ROUND('[5]Nov 2020'!$F36+'[5]Nov 2020'!$F44,2)</f>
        <v>2438.09</v>
      </c>
      <c r="E32" s="110">
        <f>ROUND('[5]Dec 2020'!$F36+'[5]Dec 2020'!$F44,2)</f>
        <v>3237.71</v>
      </c>
      <c r="F32" s="112">
        <f>ROUND('[5]Jan 2021'!$F36+'[5]Jan 2021'!$F44,2)</f>
        <v>3737.79</v>
      </c>
      <c r="G32" s="190">
        <f>ROUND('[5]Feb 2021'!$F36+'[5]Feb 2021'!$F44,2)</f>
        <v>142.5</v>
      </c>
      <c r="H32" s="56">
        <f>ROUND('[5]Mar 2021'!$F36+'[5]Mar 2021'!$F44,2)</f>
        <v>38.17</v>
      </c>
      <c r="I32" s="182">
        <f>ROUND('[5]Apr 2021'!$F36+'[5]Apr 2021'!$F44,2)</f>
        <v>29.25</v>
      </c>
      <c r="J32" s="124">
        <f t="shared" ref="J32:L35" si="8">ROUND(J26*$M32,2)</f>
        <v>2048.8200000000002</v>
      </c>
      <c r="K32" s="42">
        <f t="shared" si="8"/>
        <v>2589.4499999999998</v>
      </c>
      <c r="L32" s="62">
        <f t="shared" si="8"/>
        <v>3636.34</v>
      </c>
      <c r="M32" s="73">
        <v>1.0000000000000001E-5</v>
      </c>
    </row>
    <row r="33" spans="1:13" x14ac:dyDescent="0.35">
      <c r="A33" s="47" t="s">
        <v>108</v>
      </c>
      <c r="C33" s="98">
        <v>100563.17000000001</v>
      </c>
      <c r="D33" s="110">
        <f>ROUND('[5]Nov 2020'!$F37+'[5]Nov 2020'!$F45,2)</f>
        <v>-32342.54</v>
      </c>
      <c r="E33" s="110">
        <f>ROUND('[5]Dec 2020'!$F37+'[5]Dec 2020'!$F45,2)</f>
        <v>-37294.17</v>
      </c>
      <c r="F33" s="112">
        <f>ROUND('[5]Jan 2021'!$F37+'[5]Jan 2021'!$F45,2)</f>
        <v>-42998.31</v>
      </c>
      <c r="G33" s="190">
        <f>ROUND('[5]Feb 2021'!$F37+'[5]Feb 2021'!$F45,2)</f>
        <v>-19214.61</v>
      </c>
      <c r="H33" s="56">
        <f>ROUND('[5]Mar 2021'!$F37+'[5]Mar 2021'!$F45,2)</f>
        <v>-21421.21</v>
      </c>
      <c r="I33" s="182">
        <f>ROUND('[5]Apr 2021'!$F37+'[5]Apr 2021'!$F45,2)</f>
        <v>-14846.13</v>
      </c>
      <c r="J33" s="124">
        <f t="shared" si="8"/>
        <v>-36918.53</v>
      </c>
      <c r="K33" s="42">
        <f t="shared" si="8"/>
        <v>-41141.870000000003</v>
      </c>
      <c r="L33" s="62">
        <f t="shared" si="8"/>
        <v>-45278.05</v>
      </c>
      <c r="M33" s="73">
        <v>-4.0999999999999994E-4</v>
      </c>
    </row>
    <row r="34" spans="1:13" x14ac:dyDescent="0.35">
      <c r="A34" s="47" t="s">
        <v>109</v>
      </c>
      <c r="C34" s="98">
        <v>118982.92</v>
      </c>
      <c r="D34" s="110">
        <f>ROUND('[5]Nov 2020'!$F38+'[5]Nov 2020'!$F46,2)</f>
        <v>-25985.78</v>
      </c>
      <c r="E34" s="110">
        <f>ROUND('[5]Dec 2020'!$F38+'[5]Dec 2020'!$F46,2)</f>
        <v>-28216.62</v>
      </c>
      <c r="F34" s="112">
        <f>ROUND('[5]Jan 2021'!$F38+'[5]Jan 2021'!$F46,2)</f>
        <v>-28467.16</v>
      </c>
      <c r="G34" s="190">
        <f>ROUND('[5]Feb 2021'!$F38+'[5]Feb 2021'!$F46,2)</f>
        <v>-14506.69</v>
      </c>
      <c r="H34" s="56">
        <f>ROUND('[5]Mar 2021'!$F38+'[5]Mar 2021'!$F46,2)</f>
        <v>-13015.88</v>
      </c>
      <c r="I34" s="182">
        <f>ROUND('[5]Apr 2021'!$F38+'[5]Apr 2021'!$F46,2)</f>
        <v>-11784.25</v>
      </c>
      <c r="J34" s="124">
        <f t="shared" si="8"/>
        <v>-28696.720000000001</v>
      </c>
      <c r="K34" s="42">
        <f t="shared" si="8"/>
        <v>-31979.51</v>
      </c>
      <c r="L34" s="62">
        <f t="shared" si="8"/>
        <v>-35194.559999999998</v>
      </c>
      <c r="M34" s="73">
        <v>-3.2000000000000003E-4</v>
      </c>
    </row>
    <row r="35" spans="1:13" x14ac:dyDescent="0.35">
      <c r="A35" s="47" t="s">
        <v>110</v>
      </c>
      <c r="C35" s="98">
        <v>38989.82</v>
      </c>
      <c r="D35" s="110">
        <f>ROUND('[5]Nov 2020'!$F39+'[5]Nov 2020'!$F47,2)</f>
        <v>-10503.9</v>
      </c>
      <c r="E35" s="110">
        <f>ROUND('[5]Dec 2020'!$F39+'[5]Dec 2020'!$F47,2)</f>
        <v>-10951.55</v>
      </c>
      <c r="F35" s="112">
        <f>ROUND('[5]Jan 2021'!$F39+'[5]Jan 2021'!$F47,2)</f>
        <v>-10828.8</v>
      </c>
      <c r="G35" s="190">
        <f>ROUND('[5]Feb 2021'!$F39+'[5]Feb 2021'!$F47,2)</f>
        <v>-4346.88</v>
      </c>
      <c r="H35" s="56">
        <f>ROUND('[5]Mar 2021'!$F39+'[5]Mar 2021'!$F47,2)</f>
        <v>-5227.79</v>
      </c>
      <c r="I35" s="182">
        <f>ROUND('[5]Apr 2021'!$F39+'[5]Apr 2021'!$F47,2)</f>
        <v>-4799.3100000000004</v>
      </c>
      <c r="J35" s="124">
        <f t="shared" si="8"/>
        <v>-11389.63</v>
      </c>
      <c r="K35" s="42">
        <f t="shared" si="8"/>
        <v>-12692.56</v>
      </c>
      <c r="L35" s="62">
        <f t="shared" si="8"/>
        <v>-13968.6</v>
      </c>
      <c r="M35" s="73">
        <v>-1.8000000000000001E-4</v>
      </c>
    </row>
    <row r="36" spans="1:13" x14ac:dyDescent="0.35">
      <c r="C36" s="68"/>
      <c r="D36" s="18"/>
      <c r="E36" s="18"/>
      <c r="F36" s="18"/>
      <c r="G36" s="92"/>
      <c r="H36" s="18"/>
      <c r="I36" s="11"/>
      <c r="J36" s="57"/>
      <c r="K36" s="57"/>
      <c r="L36" s="13"/>
      <c r="M36" s="4"/>
    </row>
    <row r="37" spans="1:13" ht="15" thickBot="1" x14ac:dyDescent="0.4">
      <c r="A37" s="47" t="s">
        <v>14</v>
      </c>
      <c r="C37" s="104">
        <v>1488.04</v>
      </c>
      <c r="D37" s="113">
        <v>-793.56000000000006</v>
      </c>
      <c r="E37" s="113">
        <v>-730.4</v>
      </c>
      <c r="F37" s="114">
        <v>-633.51</v>
      </c>
      <c r="G37" s="27">
        <v>-548.30999999999995</v>
      </c>
      <c r="H37" s="123">
        <v>-502.28000000000003</v>
      </c>
      <c r="I37" s="183">
        <v>-464.08</v>
      </c>
      <c r="J37" s="181">
        <v>-404.26000000000005</v>
      </c>
      <c r="K37" s="143">
        <v>-314.98999999999995</v>
      </c>
      <c r="L37" s="82"/>
    </row>
    <row r="38" spans="1:13" x14ac:dyDescent="0.35">
      <c r="C38" s="100"/>
      <c r="D38" s="32"/>
      <c r="E38" s="32"/>
      <c r="F38" s="32"/>
      <c r="G38" s="29"/>
      <c r="H38" s="32"/>
      <c r="I38" s="11"/>
      <c r="J38" s="17"/>
      <c r="K38" s="17"/>
      <c r="L38" s="11"/>
    </row>
    <row r="39" spans="1:13" x14ac:dyDescent="0.35">
      <c r="A39" s="47" t="s">
        <v>52</v>
      </c>
      <c r="C39" s="100"/>
      <c r="D39" s="32"/>
      <c r="E39" s="32"/>
      <c r="F39" s="32"/>
      <c r="G39" s="29"/>
      <c r="H39" s="32"/>
      <c r="I39" s="11"/>
      <c r="J39" s="17"/>
      <c r="K39" s="17"/>
      <c r="L39" s="11"/>
    </row>
    <row r="40" spans="1:13" x14ac:dyDescent="0.35">
      <c r="A40" s="47" t="s">
        <v>24</v>
      </c>
      <c r="C40" s="41">
        <f t="shared" ref="C40:L40" si="9">C22-C32</f>
        <v>8333.77</v>
      </c>
      <c r="D40" s="42">
        <f t="shared" si="9"/>
        <v>-2438.09</v>
      </c>
      <c r="E40" s="42">
        <f t="shared" si="9"/>
        <v>-3237.71</v>
      </c>
      <c r="F40" s="109">
        <f t="shared" si="9"/>
        <v>-3737.79</v>
      </c>
      <c r="G40" s="41">
        <f t="shared" si="9"/>
        <v>-142.5</v>
      </c>
      <c r="H40" s="42">
        <f t="shared" si="9"/>
        <v>-38.17</v>
      </c>
      <c r="I40" s="62">
        <f t="shared" si="9"/>
        <v>-29.25</v>
      </c>
      <c r="J40" s="124">
        <f t="shared" si="9"/>
        <v>-2048.8200000000002</v>
      </c>
      <c r="K40" s="42">
        <f t="shared" si="9"/>
        <v>-2589.4499999999998</v>
      </c>
      <c r="L40" s="50">
        <f t="shared" si="9"/>
        <v>-3636.34</v>
      </c>
    </row>
    <row r="41" spans="1:13" x14ac:dyDescent="0.35">
      <c r="A41" s="47" t="s">
        <v>25</v>
      </c>
      <c r="C41" s="41">
        <f>C23-SUM(C33:C35)</f>
        <v>-258535.91000000003</v>
      </c>
      <c r="D41" s="42">
        <f t="shared" ref="D41:L41" si="10">D23-SUM(D33:D35)</f>
        <v>68832.22</v>
      </c>
      <c r="E41" s="42">
        <f t="shared" si="10"/>
        <v>53622.149999999994</v>
      </c>
      <c r="F41" s="109">
        <f t="shared" si="10"/>
        <v>105134.46</v>
      </c>
      <c r="G41" s="41">
        <f t="shared" si="10"/>
        <v>38068.18</v>
      </c>
      <c r="H41" s="42">
        <f t="shared" si="10"/>
        <v>39664.879999999997</v>
      </c>
      <c r="I41" s="62">
        <f t="shared" si="10"/>
        <v>31429.69</v>
      </c>
      <c r="J41" s="124">
        <f t="shared" si="10"/>
        <v>77004.88</v>
      </c>
      <c r="K41" s="42">
        <f t="shared" si="10"/>
        <v>85813.94</v>
      </c>
      <c r="L41" s="50">
        <f t="shared" si="10"/>
        <v>94441.21</v>
      </c>
    </row>
    <row r="42" spans="1:13" x14ac:dyDescent="0.35">
      <c r="C42" s="100"/>
      <c r="D42" s="32"/>
      <c r="E42" s="32"/>
      <c r="F42" s="32"/>
      <c r="G42" s="29"/>
      <c r="H42" s="32"/>
      <c r="I42" s="11"/>
      <c r="J42" s="17"/>
      <c r="K42" s="17"/>
      <c r="L42" s="11"/>
    </row>
    <row r="43" spans="1:13" ht="15" thickBot="1" x14ac:dyDescent="0.4">
      <c r="A43" s="47" t="s">
        <v>53</v>
      </c>
      <c r="C43" s="105"/>
      <c r="D43" s="32"/>
      <c r="E43" s="32"/>
      <c r="F43" s="32"/>
      <c r="G43" s="29"/>
      <c r="H43" s="32"/>
      <c r="I43" s="11"/>
      <c r="J43" s="17"/>
      <c r="K43" s="17"/>
      <c r="L43" s="11"/>
    </row>
    <row r="44" spans="1:13" x14ac:dyDescent="0.35">
      <c r="A44" s="47" t="s">
        <v>24</v>
      </c>
      <c r="B44" s="117">
        <v>13521.922319999856</v>
      </c>
      <c r="C44" s="42">
        <f>B44+C40+B49</f>
        <v>21855.692319999856</v>
      </c>
      <c r="D44" s="42">
        <f t="shared" ref="D44:L44" si="11">C44+D40+C49</f>
        <v>19371.912319999858</v>
      </c>
      <c r="E44" s="42">
        <f t="shared" si="11"/>
        <v>16158.092319999858</v>
      </c>
      <c r="F44" s="109">
        <f t="shared" si="11"/>
        <v>12441.032319999857</v>
      </c>
      <c r="G44" s="41">
        <f t="shared" si="11"/>
        <v>12314.972319999857</v>
      </c>
      <c r="H44" s="42">
        <f t="shared" si="11"/>
        <v>12290.882319999857</v>
      </c>
      <c r="I44" s="62">
        <f t="shared" si="11"/>
        <v>12275.562319999857</v>
      </c>
      <c r="J44" s="124">
        <f t="shared" si="11"/>
        <v>10240.682319999858</v>
      </c>
      <c r="K44" s="42">
        <f t="shared" si="11"/>
        <v>7664.0123199998579</v>
      </c>
      <c r="L44" s="50">
        <f t="shared" si="11"/>
        <v>4037.8323199998576</v>
      </c>
    </row>
    <row r="45" spans="1:13" ht="15" thickBot="1" x14ac:dyDescent="0.4">
      <c r="A45" s="47" t="s">
        <v>25</v>
      </c>
      <c r="B45" s="118">
        <v>-482037.71896000003</v>
      </c>
      <c r="C45" s="42">
        <f>B45+C41+B50</f>
        <v>-740573.62896000012</v>
      </c>
      <c r="D45" s="42">
        <f t="shared" ref="D45:L45" si="12">C45+D41+C50</f>
        <v>-670207.67896000016</v>
      </c>
      <c r="E45" s="42">
        <f t="shared" si="12"/>
        <v>-617402.97896000009</v>
      </c>
      <c r="F45" s="109">
        <f t="shared" si="12"/>
        <v>-513019.62896000006</v>
      </c>
      <c r="G45" s="41">
        <f t="shared" si="12"/>
        <v>-475601.39896000008</v>
      </c>
      <c r="H45" s="42">
        <f t="shared" si="12"/>
        <v>-436498.90896000009</v>
      </c>
      <c r="I45" s="62">
        <f t="shared" si="12"/>
        <v>-405585.42896000011</v>
      </c>
      <c r="J45" s="124">
        <f t="shared" si="12"/>
        <v>-329058.56896000012</v>
      </c>
      <c r="K45" s="42">
        <f t="shared" si="12"/>
        <v>-243661.66896000013</v>
      </c>
      <c r="L45" s="50">
        <f t="shared" si="12"/>
        <v>-149545.60896000013</v>
      </c>
    </row>
    <row r="46" spans="1:13" x14ac:dyDescent="0.35">
      <c r="C46" s="100"/>
      <c r="D46" s="32"/>
      <c r="E46" s="32"/>
      <c r="F46" s="32"/>
      <c r="G46" s="29"/>
      <c r="H46" s="32"/>
      <c r="I46" s="11"/>
      <c r="J46" s="17"/>
      <c r="K46" s="17"/>
      <c r="L46" s="11"/>
    </row>
    <row r="47" spans="1:13" x14ac:dyDescent="0.35">
      <c r="A47" s="40" t="s">
        <v>49</v>
      </c>
      <c r="B47" s="40"/>
      <c r="C47" s="105"/>
      <c r="D47" s="84">
        <f>+'[6]Nov 2020'!$F$51</f>
        <v>1.1601199999999999E-3</v>
      </c>
      <c r="E47" s="84">
        <f>+'[6]Dec 2020'!$F$51</f>
        <v>1.1659400000000001E-3</v>
      </c>
      <c r="F47" s="84">
        <f>+'[6]Jan 2021'!$F$51</f>
        <v>1.14916E-3</v>
      </c>
      <c r="G47" s="85">
        <f>+'[6]Feb 2021'!$F$48</f>
        <v>1.13697E-3</v>
      </c>
      <c r="H47" s="84">
        <f>+'[6]Mar 2021'!$F$51</f>
        <v>1.1312099999999999E-3</v>
      </c>
      <c r="I47" s="93">
        <f>+'[6]Apr 2021'!$F$51</f>
        <v>1.13462E-3</v>
      </c>
      <c r="J47" s="84">
        <f>+I47</f>
        <v>1.13462E-3</v>
      </c>
      <c r="K47" s="84">
        <f>+J47</f>
        <v>1.13462E-3</v>
      </c>
      <c r="L47" s="93"/>
    </row>
    <row r="48" spans="1:13" x14ac:dyDescent="0.35">
      <c r="A48" s="40" t="s">
        <v>37</v>
      </c>
      <c r="B48" s="40"/>
      <c r="C48" s="100"/>
      <c r="D48" s="32"/>
      <c r="E48" s="32"/>
      <c r="F48" s="32"/>
      <c r="G48" s="29"/>
      <c r="H48" s="32"/>
      <c r="I48" s="11"/>
      <c r="J48" s="17"/>
      <c r="K48" s="17"/>
      <c r="L48" s="11"/>
      <c r="M48" s="72"/>
    </row>
    <row r="49" spans="1:12" x14ac:dyDescent="0.35">
      <c r="A49" s="47" t="s">
        <v>24</v>
      </c>
      <c r="C49" s="41">
        <v>-45.69</v>
      </c>
      <c r="D49" s="42">
        <f t="shared" ref="D49" si="13">ROUND((C44+C49+D40/2)*D$47,2)</f>
        <v>23.89</v>
      </c>
      <c r="E49" s="42">
        <f t="shared" ref="E49:E50" si="14">ROUND((D44+D49+E40/2)*E$47,2)</f>
        <v>20.73</v>
      </c>
      <c r="F49" s="109">
        <f t="shared" ref="F49:F50" si="15">ROUND((E44+E49+F40/2)*F$47,2)</f>
        <v>16.440000000000001</v>
      </c>
      <c r="G49" s="41">
        <f t="shared" ref="G49:G50" si="16">ROUND((F44+F49+G40/2)*G$47,2)</f>
        <v>14.08</v>
      </c>
      <c r="H49" s="124">
        <f t="shared" ref="H49:I50" si="17">ROUND((G44+G49+H40/2)*H$47,2)</f>
        <v>13.93</v>
      </c>
      <c r="I49" s="62">
        <f t="shared" si="17"/>
        <v>13.94</v>
      </c>
      <c r="J49" s="124">
        <f t="shared" ref="J49:J50" si="18">ROUND((I44+I49+J40/2)*J$47,2)</f>
        <v>12.78</v>
      </c>
      <c r="K49" s="124">
        <f t="shared" ref="K49:K50" si="19">ROUND((J44+J49+K40/2)*K$47,2)</f>
        <v>10.16</v>
      </c>
      <c r="L49" s="50"/>
    </row>
    <row r="50" spans="1:12" ht="15" thickBot="1" x14ac:dyDescent="0.4">
      <c r="A50" s="47" t="s">
        <v>25</v>
      </c>
      <c r="C50" s="115">
        <v>1533.73</v>
      </c>
      <c r="D50" s="42">
        <f>ROUND((C45+C50+D41/2)*D$47,2)</f>
        <v>-817.45</v>
      </c>
      <c r="E50" s="42">
        <f t="shared" si="14"/>
        <v>-751.11</v>
      </c>
      <c r="F50" s="109">
        <f t="shared" si="15"/>
        <v>-649.95000000000005</v>
      </c>
      <c r="G50" s="41">
        <f t="shared" si="16"/>
        <v>-562.39</v>
      </c>
      <c r="H50" s="124">
        <f t="shared" si="17"/>
        <v>-516.21</v>
      </c>
      <c r="I50" s="62">
        <f t="shared" si="17"/>
        <v>-478.02</v>
      </c>
      <c r="J50" s="124">
        <f t="shared" si="18"/>
        <v>-417.04</v>
      </c>
      <c r="K50" s="124">
        <f t="shared" si="19"/>
        <v>-325.14999999999998</v>
      </c>
      <c r="L50" s="50"/>
    </row>
    <row r="51" spans="1:12" ht="15.5" thickTop="1" thickBot="1" x14ac:dyDescent="0.4">
      <c r="A51" s="55" t="s">
        <v>22</v>
      </c>
      <c r="B51" s="55"/>
      <c r="C51" s="116">
        <v>0</v>
      </c>
      <c r="D51" s="33">
        <f t="shared" ref="D51:L51" si="20">SUM(D49:D50)+SUM(D44:D45)-D54</f>
        <v>0</v>
      </c>
      <c r="E51" s="33">
        <f t="shared" si="20"/>
        <v>0</v>
      </c>
      <c r="F51" s="51">
        <f t="shared" si="20"/>
        <v>0</v>
      </c>
      <c r="G51" s="125">
        <f t="shared" si="20"/>
        <v>0</v>
      </c>
      <c r="H51" s="33">
        <f t="shared" si="20"/>
        <v>0</v>
      </c>
      <c r="I51" s="63">
        <f t="shared" si="20"/>
        <v>0</v>
      </c>
      <c r="J51" s="168">
        <f t="shared" si="20"/>
        <v>0</v>
      </c>
      <c r="K51" s="33">
        <f t="shared" si="20"/>
        <v>0</v>
      </c>
      <c r="L51" s="97">
        <f t="shared" si="20"/>
        <v>0</v>
      </c>
    </row>
    <row r="52" spans="1:12" ht="15.5" thickTop="1" thickBot="1" x14ac:dyDescent="0.4">
      <c r="A52" s="55" t="s">
        <v>23</v>
      </c>
      <c r="B52" s="55"/>
      <c r="C52" s="108">
        <v>0</v>
      </c>
      <c r="D52" s="33">
        <f t="shared" ref="D52:L52" si="21">SUM(D49:D50)-D37</f>
        <v>0</v>
      </c>
      <c r="E52" s="33">
        <f t="shared" si="21"/>
        <v>1.999999999998181E-2</v>
      </c>
      <c r="F52" s="51">
        <f t="shared" si="21"/>
        <v>0</v>
      </c>
      <c r="G52" s="52">
        <f t="shared" si="21"/>
        <v>0</v>
      </c>
      <c r="H52" s="33">
        <f t="shared" si="21"/>
        <v>0</v>
      </c>
      <c r="I52" s="63">
        <f t="shared" si="21"/>
        <v>0</v>
      </c>
      <c r="J52" s="168">
        <f t="shared" si="21"/>
        <v>0</v>
      </c>
      <c r="K52" s="33">
        <f t="shared" si="21"/>
        <v>0</v>
      </c>
      <c r="L52" s="97">
        <f t="shared" si="21"/>
        <v>0</v>
      </c>
    </row>
    <row r="53" spans="1:12" ht="15.5" thickTop="1" thickBot="1" x14ac:dyDescent="0.4">
      <c r="C53" s="100"/>
      <c r="D53" s="17"/>
      <c r="E53" s="17"/>
      <c r="F53" s="17"/>
      <c r="G53" s="10"/>
      <c r="H53" s="17"/>
      <c r="I53" s="11"/>
      <c r="J53" s="17"/>
      <c r="K53" s="17"/>
      <c r="L53" s="11"/>
    </row>
    <row r="54" spans="1:12" ht="15" thickBot="1" x14ac:dyDescent="0.4">
      <c r="A54" s="47" t="s">
        <v>36</v>
      </c>
      <c r="B54" s="120">
        <f>+B44+B45</f>
        <v>-468515.79664000019</v>
      </c>
      <c r="C54" s="41">
        <f t="shared" ref="C54:L54" si="22">(SUM(C15:C19)-SUM(C32:C35))+SUM(C49:C50)+B54</f>
        <v>-717229.89664000017</v>
      </c>
      <c r="D54" s="42">
        <f t="shared" si="22"/>
        <v>-651629.32664000022</v>
      </c>
      <c r="E54" s="42">
        <f t="shared" si="22"/>
        <v>-601975.26664000016</v>
      </c>
      <c r="F54" s="109">
        <f t="shared" si="22"/>
        <v>-501212.10664000013</v>
      </c>
      <c r="G54" s="41">
        <f t="shared" si="22"/>
        <v>-463834.73664000013</v>
      </c>
      <c r="H54" s="42">
        <f t="shared" si="22"/>
        <v>-424710.30664000014</v>
      </c>
      <c r="I54" s="62">
        <f t="shared" si="22"/>
        <v>-393773.94664000015</v>
      </c>
      <c r="J54" s="124">
        <f t="shared" si="22"/>
        <v>-319222.14664000017</v>
      </c>
      <c r="K54" s="42">
        <f t="shared" si="22"/>
        <v>-236312.64664000017</v>
      </c>
      <c r="L54" s="62">
        <f t="shared" si="22"/>
        <v>-145507.77664000017</v>
      </c>
    </row>
    <row r="55" spans="1:12" x14ac:dyDescent="0.35">
      <c r="A55" s="47" t="s">
        <v>12</v>
      </c>
      <c r="C55" s="121"/>
      <c r="D55" s="57"/>
      <c r="E55" s="57"/>
      <c r="F55" s="57"/>
      <c r="G55" s="12"/>
      <c r="H55" s="57"/>
      <c r="I55" s="11"/>
      <c r="J55" s="17"/>
      <c r="K55" s="17"/>
      <c r="L55" s="11"/>
    </row>
    <row r="56" spans="1:12" ht="15" thickBot="1" x14ac:dyDescent="0.4">
      <c r="B56" s="17"/>
      <c r="C56" s="44"/>
      <c r="D56" s="45"/>
      <c r="E56" s="45"/>
      <c r="F56" s="45"/>
      <c r="G56" s="44"/>
      <c r="H56" s="45"/>
      <c r="I56" s="46"/>
      <c r="J56" s="45"/>
      <c r="K56" s="45"/>
      <c r="L56" s="46"/>
    </row>
    <row r="58" spans="1:12" x14ac:dyDescent="0.35">
      <c r="A58" s="70" t="s">
        <v>11</v>
      </c>
      <c r="B58" s="70"/>
      <c r="C58" s="70"/>
    </row>
    <row r="59" spans="1:12" ht="42.75" customHeight="1" x14ac:dyDescent="0.35">
      <c r="A59" s="305" t="s">
        <v>160</v>
      </c>
      <c r="B59" s="305"/>
      <c r="C59" s="305"/>
      <c r="D59" s="305"/>
      <c r="E59" s="305"/>
      <c r="F59" s="305"/>
      <c r="G59" s="305"/>
      <c r="H59" s="305"/>
      <c r="I59" s="305"/>
      <c r="J59" s="147"/>
      <c r="K59" s="147"/>
      <c r="L59" s="147"/>
    </row>
    <row r="60" spans="1:12" ht="33.75" customHeight="1" x14ac:dyDescent="0.35">
      <c r="A60" s="305" t="s">
        <v>172</v>
      </c>
      <c r="B60" s="305"/>
      <c r="C60" s="305"/>
      <c r="D60" s="305"/>
      <c r="E60" s="305"/>
      <c r="F60" s="305"/>
      <c r="G60" s="305"/>
      <c r="H60" s="305"/>
      <c r="I60" s="305"/>
      <c r="J60" s="147"/>
      <c r="K60" s="147"/>
      <c r="L60" s="147"/>
    </row>
    <row r="61" spans="1:12" ht="33.75" customHeight="1" x14ac:dyDescent="0.35">
      <c r="A61" s="305" t="s">
        <v>173</v>
      </c>
      <c r="B61" s="305"/>
      <c r="C61" s="305"/>
      <c r="D61" s="305"/>
      <c r="E61" s="305"/>
      <c r="F61" s="305"/>
      <c r="G61" s="305"/>
      <c r="H61" s="305"/>
      <c r="I61" s="305"/>
      <c r="J61" s="147"/>
      <c r="K61" s="147"/>
      <c r="L61" s="147"/>
    </row>
    <row r="62" spans="1:12" x14ac:dyDescent="0.35">
      <c r="A62" s="3" t="s">
        <v>31</v>
      </c>
      <c r="B62" s="3"/>
      <c r="C62" s="3"/>
      <c r="I62" s="4"/>
    </row>
    <row r="63" spans="1:12" x14ac:dyDescent="0.35">
      <c r="A63" s="64" t="s">
        <v>174</v>
      </c>
      <c r="B63" s="3"/>
      <c r="C63" s="3"/>
      <c r="I63" s="4"/>
    </row>
    <row r="64" spans="1:12" x14ac:dyDescent="0.35">
      <c r="A64" s="3" t="s">
        <v>51</v>
      </c>
      <c r="B64" s="3"/>
      <c r="C64" s="3"/>
      <c r="I64" s="4"/>
    </row>
    <row r="65" spans="1:13" x14ac:dyDescent="0.35">
      <c r="A65" s="3" t="s">
        <v>175</v>
      </c>
    </row>
    <row r="74" spans="1:13" x14ac:dyDescent="0.35">
      <c r="M74" s="8"/>
    </row>
  </sheetData>
  <mergeCells count="6">
    <mergeCell ref="J13:L13"/>
    <mergeCell ref="A61:I61"/>
    <mergeCell ref="D13:F13"/>
    <mergeCell ref="A59:I59"/>
    <mergeCell ref="A60:I60"/>
    <mergeCell ref="G13:I13"/>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I74"/>
  <sheetViews>
    <sheetView topLeftCell="K1" workbookViewId="0">
      <selection activeCell="P1" sqref="P1:P1048576"/>
    </sheetView>
  </sheetViews>
  <sheetFormatPr defaultColWidth="9.1796875" defaultRowHeight="14.5" x14ac:dyDescent="0.35"/>
  <cols>
    <col min="1" max="1" width="54.54296875" style="47" customWidth="1"/>
    <col min="2" max="2" width="14.7265625" style="47" customWidth="1"/>
    <col min="3" max="4" width="15" style="47" customWidth="1"/>
    <col min="5" max="5" width="15.26953125" style="47" customWidth="1"/>
    <col min="6" max="6" width="15.81640625" style="47" customWidth="1"/>
    <col min="7" max="7" width="17.54296875" style="47" customWidth="1"/>
    <col min="8" max="9" width="13.26953125" style="47" customWidth="1"/>
    <col min="10" max="10" width="15.7265625" style="47" customWidth="1"/>
    <col min="11" max="12" width="12.54296875" style="47" bestFit="1" customWidth="1"/>
    <col min="13" max="13" width="14.453125" style="47" customWidth="1"/>
    <col min="14" max="14" width="15" style="47" bestFit="1" customWidth="1"/>
    <col min="15" max="15" width="16.26953125" style="47" bestFit="1" customWidth="1"/>
    <col min="16" max="16" width="16.1796875" style="47" customWidth="1"/>
    <col min="17" max="17" width="17.26953125" style="47" bestFit="1" customWidth="1"/>
    <col min="18" max="18" width="17.453125" style="47" customWidth="1"/>
    <col min="19" max="19" width="15.54296875" style="47" customWidth="1"/>
    <col min="20" max="20" width="13" style="47" customWidth="1"/>
    <col min="21" max="21" width="9.1796875" style="47"/>
    <col min="22" max="22" width="14.26953125" style="47" bestFit="1" customWidth="1"/>
    <col min="23" max="16384" width="9.1796875" style="47"/>
  </cols>
  <sheetData>
    <row r="1" spans="1:35" x14ac:dyDescent="0.35">
      <c r="A1" s="3" t="str">
        <f>+'PPC Cycle 3'!A1</f>
        <v>Evergy Missouri West, Inc. - DSIM Rider Update Filed 06/01/2021</v>
      </c>
      <c r="B1" s="3"/>
      <c r="C1" s="3"/>
      <c r="D1" s="3"/>
    </row>
    <row r="2" spans="1:35" x14ac:dyDescent="0.35">
      <c r="E2" s="3" t="s">
        <v>138</v>
      </c>
    </row>
    <row r="3" spans="1:35" ht="29" x14ac:dyDescent="0.35">
      <c r="E3" s="49" t="s">
        <v>46</v>
      </c>
      <c r="F3" s="49" t="s">
        <v>45</v>
      </c>
      <c r="G3" s="71" t="s">
        <v>2</v>
      </c>
      <c r="H3" s="49" t="s">
        <v>3</v>
      </c>
      <c r="I3" s="71" t="s">
        <v>55</v>
      </c>
      <c r="J3" s="49" t="s">
        <v>10</v>
      </c>
      <c r="K3" s="49" t="s">
        <v>4</v>
      </c>
    </row>
    <row r="4" spans="1:35" x14ac:dyDescent="0.35">
      <c r="A4" s="20" t="s">
        <v>24</v>
      </c>
      <c r="E4" s="22">
        <f>SUM(C26:M26)</f>
        <v>4676985.66</v>
      </c>
      <c r="F4" s="139">
        <f>SUM(C20:M20)</f>
        <v>1816355347.7184999</v>
      </c>
      <c r="G4" s="22">
        <f>SUM(C14:L14)</f>
        <v>4023311.85</v>
      </c>
      <c r="H4" s="22">
        <f>G4-E4</f>
        <v>-653673.81000000006</v>
      </c>
      <c r="I4" s="22">
        <f>+B40</f>
        <v>-138607.92999999967</v>
      </c>
      <c r="J4" s="22">
        <f>SUM(C47:L47)</f>
        <v>-781.44000000000017</v>
      </c>
      <c r="K4" s="26">
        <f>SUM(H4:J4)</f>
        <v>-793063.1799999997</v>
      </c>
      <c r="L4" s="48">
        <f>+K4-M40</f>
        <v>0</v>
      </c>
    </row>
    <row r="5" spans="1:35" x14ac:dyDescent="0.35">
      <c r="A5" s="20" t="s">
        <v>108</v>
      </c>
      <c r="E5" s="22">
        <f>SUM(C27:M27)</f>
        <v>1283944.6999999997</v>
      </c>
      <c r="F5" s="139">
        <f>SUM(C21:M21)</f>
        <v>622461597.13820004</v>
      </c>
      <c r="G5" s="22">
        <f>SUM(C15:L15)</f>
        <v>1178610.73</v>
      </c>
      <c r="H5" s="22">
        <f>G5-E5</f>
        <v>-105333.96999999974</v>
      </c>
      <c r="I5" s="22">
        <f>+B41</f>
        <v>-117127.06999999996</v>
      </c>
      <c r="J5" s="22">
        <f>SUM(C48:L48)</f>
        <v>260.95999999999998</v>
      </c>
      <c r="K5" s="26">
        <f>SUM(H5:J5)</f>
        <v>-222200.0799999997</v>
      </c>
      <c r="L5" s="48">
        <f t="shared" ref="L5:L6" si="0">+K5-M41</f>
        <v>2.6193447411060333E-10</v>
      </c>
    </row>
    <row r="6" spans="1:35" x14ac:dyDescent="0.35">
      <c r="A6" s="20" t="s">
        <v>109</v>
      </c>
      <c r="E6" s="22">
        <f>SUM(C28:M28)</f>
        <v>1001286.4899999998</v>
      </c>
      <c r="F6" s="139">
        <f>SUM(C22:M22)</f>
        <v>472465300.28189993</v>
      </c>
      <c r="G6" s="22">
        <f>SUM(C16:L16)</f>
        <v>1026347.29</v>
      </c>
      <c r="H6" s="22">
        <f>G6-E6</f>
        <v>25060.800000000279</v>
      </c>
      <c r="I6" s="22">
        <f>+B42</f>
        <v>99735.659999999902</v>
      </c>
      <c r="J6" s="22">
        <f>SUM(C49:L49)</f>
        <v>1984.3300000000002</v>
      </c>
      <c r="K6" s="26">
        <f>SUM(H6:J6)</f>
        <v>126780.79000000018</v>
      </c>
      <c r="L6" s="48">
        <f t="shared" si="0"/>
        <v>2.4738255888223648E-10</v>
      </c>
    </row>
    <row r="7" spans="1:35" ht="15" thickBot="1" x14ac:dyDescent="0.4">
      <c r="A7" s="20" t="s">
        <v>110</v>
      </c>
      <c r="E7" s="22">
        <f>SUM(C29:M29)</f>
        <v>958613.74</v>
      </c>
      <c r="F7" s="139">
        <f>SUM(C23:M23)</f>
        <v>339829664.44630003</v>
      </c>
      <c r="G7" s="22">
        <f>SUM(C17:L17)</f>
        <v>347618.91999999993</v>
      </c>
      <c r="H7" s="22">
        <f>G7-E7</f>
        <v>-610994.82000000007</v>
      </c>
      <c r="I7" s="22">
        <f>+B43</f>
        <v>182103.06999999995</v>
      </c>
      <c r="J7" s="22">
        <f>SUM(C50:L50)</f>
        <v>-976.3900000000001</v>
      </c>
      <c r="K7" s="26">
        <f>SUM(H7:J7)</f>
        <v>-429868.14000000013</v>
      </c>
      <c r="L7" s="48">
        <f>+K7-M43</f>
        <v>0</v>
      </c>
    </row>
    <row r="8" spans="1:35" ht="15.5" thickTop="1" thickBot="1" x14ac:dyDescent="0.4">
      <c r="E8" s="28">
        <f t="shared" ref="E8:K8" si="1">SUM(E4:E7)</f>
        <v>7920830.5899999999</v>
      </c>
      <c r="F8" s="28">
        <f t="shared" si="1"/>
        <v>3251111909.5848999</v>
      </c>
      <c r="G8" s="28">
        <f t="shared" si="1"/>
        <v>6575888.79</v>
      </c>
      <c r="H8" s="28">
        <f t="shared" si="1"/>
        <v>-1344941.7999999996</v>
      </c>
      <c r="I8" s="28">
        <f t="shared" si="1"/>
        <v>26103.730000000214</v>
      </c>
      <c r="J8" s="28">
        <f t="shared" si="1"/>
        <v>487.45999999999981</v>
      </c>
      <c r="K8" s="28">
        <f t="shared" si="1"/>
        <v>-1318350.6099999994</v>
      </c>
    </row>
    <row r="9" spans="1:35" ht="15.5" thickTop="1" thickBot="1" x14ac:dyDescent="0.4"/>
    <row r="10" spans="1:35" ht="116.5" thickBot="1" x14ac:dyDescent="0.4">
      <c r="B10" s="119" t="str">
        <f>+'PCR Cycle 2'!B13</f>
        <v>Cumulative Over/Under Carryover From 12/01/2021 Filing</v>
      </c>
      <c r="C10" s="154" t="str">
        <f>+'PCR Cycle 2'!C13</f>
        <v>Reverse May 2021 - July 2021  Forecast From 12/01/2021 Filing</v>
      </c>
      <c r="D10" s="292" t="s">
        <v>193</v>
      </c>
      <c r="E10" s="306" t="s">
        <v>33</v>
      </c>
      <c r="F10" s="306"/>
      <c r="G10" s="307"/>
      <c r="H10" s="308" t="s">
        <v>33</v>
      </c>
      <c r="I10" s="309"/>
      <c r="J10" s="310"/>
      <c r="K10" s="302" t="s">
        <v>8</v>
      </c>
      <c r="L10" s="303"/>
      <c r="M10" s="304"/>
    </row>
    <row r="11" spans="1:35" x14ac:dyDescent="0.35">
      <c r="C11" s="14"/>
      <c r="D11" s="19"/>
      <c r="E11" s="19">
        <f>+'PCR Cycle 2'!D14</f>
        <v>44165</v>
      </c>
      <c r="F11" s="19">
        <f>+'PCR Cycle 2'!E14</f>
        <v>44196</v>
      </c>
      <c r="G11" s="19">
        <f>+'PCR Cycle 2'!F14</f>
        <v>44227</v>
      </c>
      <c r="H11" s="14">
        <f>+'PCR Cycle 2'!G14</f>
        <v>44255</v>
      </c>
      <c r="I11" s="19">
        <f>+'PCR Cycle 2'!H14</f>
        <v>44286</v>
      </c>
      <c r="J11" s="15">
        <f>+'PCR Cycle 2'!I14</f>
        <v>44316</v>
      </c>
      <c r="K11" s="19">
        <f>+'PCR Cycle 2'!J14</f>
        <v>44347</v>
      </c>
      <c r="L11" s="19">
        <f>+'PCR Cycle 2'!K14</f>
        <v>44377</v>
      </c>
      <c r="M11" s="96">
        <f>+'PCR Cycle 2'!L14</f>
        <v>44408</v>
      </c>
      <c r="Z11" s="1"/>
      <c r="AA11" s="1"/>
      <c r="AB11" s="1"/>
      <c r="AC11" s="1"/>
      <c r="AD11" s="1"/>
      <c r="AE11" s="1"/>
      <c r="AF11" s="1"/>
      <c r="AG11" s="1"/>
      <c r="AH11" s="1"/>
      <c r="AI11" s="1"/>
    </row>
    <row r="12" spans="1:35" x14ac:dyDescent="0.35">
      <c r="C12" s="99"/>
      <c r="D12" s="283"/>
      <c r="E12" s="32"/>
      <c r="F12" s="32"/>
      <c r="G12" s="32"/>
      <c r="H12" s="29"/>
      <c r="I12" s="32"/>
      <c r="J12" s="11"/>
      <c r="K12" s="32"/>
      <c r="L12" s="32"/>
      <c r="M12" s="30"/>
    </row>
    <row r="13" spans="1:35" x14ac:dyDescent="0.35">
      <c r="A13" s="47" t="s">
        <v>139</v>
      </c>
      <c r="C13" s="100"/>
      <c r="D13" s="152"/>
      <c r="E13" s="32"/>
      <c r="F13" s="32"/>
      <c r="G13" s="32"/>
      <c r="H13" s="29"/>
      <c r="I13" s="32"/>
      <c r="J13" s="170"/>
      <c r="K13" s="17"/>
      <c r="L13" s="17"/>
      <c r="M13" s="11"/>
    </row>
    <row r="14" spans="1:35" x14ac:dyDescent="0.35">
      <c r="A14" s="47" t="s">
        <v>24</v>
      </c>
      <c r="C14" s="98">
        <v>-1098305.72</v>
      </c>
      <c r="D14" s="284">
        <f>ROUND(SUM('[7]MO West Cycle 3 Prog Cost'!$C$94:$M$94),2)</f>
        <v>6080.57</v>
      </c>
      <c r="E14" s="110">
        <f>ROUND([8]Pivot!$N$26,2)</f>
        <v>510614.97</v>
      </c>
      <c r="F14" s="110">
        <f>ROUND([9]Pivot!$N$26,2)</f>
        <v>642005.38</v>
      </c>
      <c r="G14" s="111">
        <f>ROUND([10]Pivot!$N$27,2)</f>
        <v>351320.06</v>
      </c>
      <c r="H14" s="16">
        <f>ROUND([11]Pivot!$N$27,2)</f>
        <v>494020.15</v>
      </c>
      <c r="I14" s="56">
        <f>ROUND([12]Pivot!$N$27,2)</f>
        <v>839560.4</v>
      </c>
      <c r="J14" s="169">
        <f>ROUND([13]Pivot!$N$27,2)</f>
        <v>704261.44</v>
      </c>
      <c r="K14" s="179">
        <f>ROUND('[2]Monthly Program Costs'!X290,2)</f>
        <v>586561.28000000003</v>
      </c>
      <c r="L14" s="141">
        <f>ROUND('[2]Monthly Program Costs'!Y290,2)</f>
        <v>987193.32</v>
      </c>
      <c r="M14" s="77"/>
    </row>
    <row r="15" spans="1:35" x14ac:dyDescent="0.35">
      <c r="A15" s="47" t="s">
        <v>108</v>
      </c>
      <c r="C15" s="98">
        <v>-339916.17</v>
      </c>
      <c r="D15" s="284">
        <f>ROUND(SUM('[7]MO West Cycle 3 Prog Cost'!$C$95:$M$95),2)</f>
        <v>-1654.86</v>
      </c>
      <c r="E15" s="110">
        <f>ROUND([8]Pivot!$O$26,2)</f>
        <v>133904.57</v>
      </c>
      <c r="F15" s="110">
        <f>ROUND([9]Pivot!$O$26,2)</f>
        <v>426028.98</v>
      </c>
      <c r="G15" s="111">
        <f>ROUND([10]Pivot!$O$27,2)</f>
        <v>27626.15</v>
      </c>
      <c r="H15" s="16">
        <f>ROUND([11]Pivot!$O$27,2)</f>
        <v>87456.2</v>
      </c>
      <c r="I15" s="56">
        <f>ROUND([12]Pivot!$O$27,2)</f>
        <v>266074.40000000002</v>
      </c>
      <c r="J15" s="169">
        <f>ROUND([13]Pivot!$O$27,2)</f>
        <v>244601.7</v>
      </c>
      <c r="K15" s="179">
        <f>ROUND('[2]Monthly Program Costs'!X291,2)</f>
        <v>192709.31</v>
      </c>
      <c r="L15" s="141">
        <f>ROUND('[2]Monthly Program Costs'!Y291,2)</f>
        <v>141780.45000000001</v>
      </c>
      <c r="M15" s="77"/>
    </row>
    <row r="16" spans="1:35" x14ac:dyDescent="0.35">
      <c r="A16" s="47" t="s">
        <v>109</v>
      </c>
      <c r="C16" s="98">
        <v>-529080.42999999993</v>
      </c>
      <c r="D16" s="284">
        <f>ROUND(SUM('[7]MO West Cycle 3 Prog Cost'!$C$96:$M$96),2)</f>
        <v>-2501.4299999999998</v>
      </c>
      <c r="E16" s="110">
        <f>ROUND([8]Pivot!$Q$26,2)</f>
        <v>119239.37</v>
      </c>
      <c r="F16" s="110">
        <f>ROUND([9]Pivot!$Q$26,2)</f>
        <v>399095.11</v>
      </c>
      <c r="G16" s="111">
        <f>ROUND([10]Pivot!$Q$27,2)</f>
        <v>19539.28</v>
      </c>
      <c r="H16" s="16">
        <f>ROUND([11]Pivot!$Q$27,2)</f>
        <v>220427.79</v>
      </c>
      <c r="I16" s="56">
        <f>ROUND([12]Pivot!$Q$27,2)</f>
        <v>182524.52</v>
      </c>
      <c r="J16" s="169">
        <f>ROUND([13]Pivot!$Q$27,2)</f>
        <v>114571.4</v>
      </c>
      <c r="K16" s="179">
        <f>ROUND('[2]Monthly Program Costs'!X293,2)</f>
        <v>289757.44</v>
      </c>
      <c r="L16" s="141">
        <f>ROUND('[2]Monthly Program Costs'!Y293,2)</f>
        <v>212774.24</v>
      </c>
      <c r="M16" s="77"/>
    </row>
    <row r="17" spans="1:15" x14ac:dyDescent="0.35">
      <c r="A17" s="47" t="s">
        <v>110</v>
      </c>
      <c r="C17" s="98">
        <v>-395275.47</v>
      </c>
      <c r="D17" s="284">
        <f>ROUND(SUM('[7]MO West Cycle 3 Prog Cost'!$C$97:$M$97),2)</f>
        <v>-1924.28</v>
      </c>
      <c r="E17" s="110">
        <f>ROUND([8]Pivot!$R$26,2)</f>
        <v>66739.97</v>
      </c>
      <c r="F17" s="110">
        <f>ROUND([9]Pivot!$R$26,2)</f>
        <v>100909.4</v>
      </c>
      <c r="G17" s="111">
        <f>ROUND([10]Pivot!$R$27,2)</f>
        <v>21827.360000000001</v>
      </c>
      <c r="H17" s="16">
        <f>ROUND([11]Pivot!$R$27,2)</f>
        <v>24323.68</v>
      </c>
      <c r="I17" s="56">
        <f>ROUND([12]Pivot!$R$27,2)</f>
        <v>107704.16</v>
      </c>
      <c r="J17" s="169">
        <f>ROUND([13]Pivot!$R$27,2)</f>
        <v>42799.14</v>
      </c>
      <c r="K17" s="179">
        <f>ROUND('[2]Monthly Program Costs'!X294,2)</f>
        <v>219868.05</v>
      </c>
      <c r="L17" s="141">
        <f>ROUND('[2]Monthly Program Costs'!Y294,2)</f>
        <v>160646.91</v>
      </c>
      <c r="M17" s="77"/>
    </row>
    <row r="18" spans="1:15" x14ac:dyDescent="0.35">
      <c r="C18" s="100"/>
      <c r="D18" s="152"/>
      <c r="E18" s="32"/>
      <c r="F18" s="32"/>
      <c r="G18" s="32"/>
      <c r="H18" s="29"/>
      <c r="I18" s="32"/>
      <c r="J18" s="11"/>
      <c r="K18" s="17"/>
      <c r="L18" s="17"/>
      <c r="M18" s="11"/>
    </row>
    <row r="19" spans="1:15" x14ac:dyDescent="0.35">
      <c r="A19" s="40" t="s">
        <v>47</v>
      </c>
      <c r="B19" s="40"/>
      <c r="C19" s="102"/>
      <c r="D19" s="285"/>
      <c r="E19" s="32"/>
      <c r="F19" s="32"/>
      <c r="G19" s="32"/>
      <c r="H19" s="29"/>
      <c r="I19" s="32"/>
      <c r="J19" s="11"/>
      <c r="K19" s="17"/>
      <c r="L19" s="17"/>
      <c r="M19" s="11"/>
    </row>
    <row r="20" spans="1:15" x14ac:dyDescent="0.35">
      <c r="A20" s="47" t="s">
        <v>24</v>
      </c>
      <c r="C20" s="103">
        <v>-833376842</v>
      </c>
      <c r="D20" s="286"/>
      <c r="E20" s="112">
        <f>+'PCR Cycle 2'!D26</f>
        <v>232114440.99309999</v>
      </c>
      <c r="F20" s="112">
        <f>+'PCR Cycle 2'!E26</f>
        <v>298579042.8743</v>
      </c>
      <c r="G20" s="112">
        <f>+'PCR Cycle 2'!F26</f>
        <v>370201952.93150002</v>
      </c>
      <c r="H20" s="189">
        <f>+'PCR Cycle 2'!G26</f>
        <v>384763407.76300001</v>
      </c>
      <c r="I20" s="192">
        <f>+'PCR Cycle 2'!H26</f>
        <v>318238133.59289998</v>
      </c>
      <c r="J20" s="184">
        <f>+'PCR Cycle 2'!I26</f>
        <v>218374311.56370002</v>
      </c>
      <c r="K20" s="180">
        <f>+'PCR Cycle 2'!J26</f>
        <v>204882238</v>
      </c>
      <c r="L20" s="142">
        <f>+'PCR Cycle 2'!K26</f>
        <v>258945083</v>
      </c>
      <c r="M20" s="78">
        <f>+'PCR Cycle 2'!L26</f>
        <v>363633579</v>
      </c>
    </row>
    <row r="21" spans="1:15" x14ac:dyDescent="0.35">
      <c r="A21" s="47" t="s">
        <v>108</v>
      </c>
      <c r="C21" s="103">
        <v>-245276028</v>
      </c>
      <c r="D21" s="286"/>
      <c r="E21" s="112">
        <f>+'PCR Cycle 2'!D27</f>
        <v>82722547.919300005</v>
      </c>
      <c r="F21" s="112">
        <f>+'PCR Cycle 2'!E27</f>
        <v>94951919.190199986</v>
      </c>
      <c r="G21" s="112">
        <f>+'PCR Cycle 2'!F27</f>
        <v>103348427.90530004</v>
      </c>
      <c r="H21" s="189">
        <f>+'PCR Cycle 2'!G27</f>
        <v>108815503.55120002</v>
      </c>
      <c r="I21" s="192">
        <f>+'PCR Cycle 2'!H27</f>
        <v>97302567.634599984</v>
      </c>
      <c r="J21" s="184">
        <f>+'PCR Cycle 2'!I27</f>
        <v>79771159.937600002</v>
      </c>
      <c r="K21" s="180">
        <f>+'PCR Cycle 2'!J27</f>
        <v>90045195</v>
      </c>
      <c r="L21" s="142">
        <f>+'PCR Cycle 2'!K27</f>
        <v>100346029</v>
      </c>
      <c r="M21" s="78">
        <f>+'PCR Cycle 2'!L27</f>
        <v>110434275</v>
      </c>
    </row>
    <row r="22" spans="1:15" x14ac:dyDescent="0.35">
      <c r="A22" s="47" t="s">
        <v>109</v>
      </c>
      <c r="C22" s="103">
        <v>-371821642</v>
      </c>
      <c r="D22" s="286"/>
      <c r="E22" s="112">
        <f>+'PCR Cycle 2'!D28</f>
        <v>84376904.243999988</v>
      </c>
      <c r="F22" s="112">
        <f>+'PCR Cycle 2'!E28</f>
        <v>91324181.064899981</v>
      </c>
      <c r="G22" s="112">
        <f>+'PCR Cycle 2'!F28</f>
        <v>92282062.262799993</v>
      </c>
      <c r="H22" s="189">
        <f>+'PCR Cycle 2'!G28</f>
        <v>105744512.57329997</v>
      </c>
      <c r="I22" s="192">
        <f>+'PCR Cycle 2'!H28</f>
        <v>89522084.768100008</v>
      </c>
      <c r="J22" s="184">
        <f>+'PCR Cycle 2'!I28</f>
        <v>81440964.368799999</v>
      </c>
      <c r="K22" s="180">
        <f>+'PCR Cycle 2'!J28</f>
        <v>89677243</v>
      </c>
      <c r="L22" s="142">
        <f>+'PCR Cycle 2'!K28</f>
        <v>99935984</v>
      </c>
      <c r="M22" s="78">
        <f>+'PCR Cycle 2'!L28</f>
        <v>109983006</v>
      </c>
    </row>
    <row r="23" spans="1:15" x14ac:dyDescent="0.35">
      <c r="A23" s="47" t="s">
        <v>110</v>
      </c>
      <c r="C23" s="103">
        <v>-216610115</v>
      </c>
      <c r="D23" s="286"/>
      <c r="E23" s="112">
        <f>+'PCR Cycle 2'!D29</f>
        <v>60224453.990400009</v>
      </c>
      <c r="F23" s="112">
        <f>+'PCR Cycle 2'!E29</f>
        <v>62522212.070400007</v>
      </c>
      <c r="G23" s="112">
        <f>+'PCR Cycle 2'!F29</f>
        <v>59349815.318599999</v>
      </c>
      <c r="H23" s="189">
        <f>+'PCR Cycle 2'!G29</f>
        <v>48789647.199599996</v>
      </c>
      <c r="I23" s="192">
        <f>+'PCR Cycle 2'!H29</f>
        <v>55995303.549599998</v>
      </c>
      <c r="J23" s="184">
        <f>+'PCR Cycle 2'!I29</f>
        <v>58165062.317699991</v>
      </c>
      <c r="K23" s="180">
        <f>+'PCR Cycle 2'!J29</f>
        <v>63275719</v>
      </c>
      <c r="L23" s="142">
        <f>+'PCR Cycle 2'!K29</f>
        <v>70514224</v>
      </c>
      <c r="M23" s="78">
        <f>+'PCR Cycle 2'!L29</f>
        <v>77603342</v>
      </c>
    </row>
    <row r="24" spans="1:15" x14ac:dyDescent="0.35">
      <c r="C24" s="100"/>
      <c r="D24" s="152"/>
      <c r="E24" s="32"/>
      <c r="F24" s="32"/>
      <c r="G24" s="32"/>
      <c r="H24" s="29"/>
      <c r="I24" s="32"/>
      <c r="J24" s="11"/>
      <c r="K24" s="17"/>
      <c r="L24" s="17"/>
      <c r="M24" s="11"/>
    </row>
    <row r="25" spans="1:15" x14ac:dyDescent="0.35">
      <c r="A25" s="47" t="s">
        <v>34</v>
      </c>
      <c r="C25" s="100"/>
      <c r="D25" s="152"/>
      <c r="E25" s="18"/>
      <c r="F25" s="18"/>
      <c r="G25" s="18"/>
      <c r="H25" s="92"/>
      <c r="I25" s="18"/>
      <c r="J25" s="11"/>
      <c r="K25" s="58"/>
      <c r="L25" s="58"/>
      <c r="M25" s="59"/>
      <c r="N25" s="64" t="s">
        <v>50</v>
      </c>
      <c r="O25" s="40"/>
    </row>
    <row r="26" spans="1:15" x14ac:dyDescent="0.35">
      <c r="A26" s="47" t="s">
        <v>24</v>
      </c>
      <c r="C26" s="98">
        <v>-2150112.25</v>
      </c>
      <c r="D26" s="284"/>
      <c r="E26" s="110">
        <f>ROUND('[5]Nov 2020'!$F68+'[5]Nov 2020'!$F75,2)</f>
        <v>598855.26</v>
      </c>
      <c r="F26" s="110">
        <f>ROUND('[5]Dec 2020'!$F68+'[5]Dec 2020'!$F75,2)</f>
        <v>770333.94</v>
      </c>
      <c r="G26" s="110">
        <f>ROUND('[5]Jan 2021'!$F68+'[5]Jan 2021'!$F75,2)</f>
        <v>955121.04</v>
      </c>
      <c r="H26" s="190">
        <f>ROUND('[5]Feb 2021'!$F68+'[5]Feb 2021'!$F75,2)</f>
        <v>988843.42</v>
      </c>
      <c r="I26" s="56">
        <f>ROUND('[5]Mar 2021'!$F68+'[5]Mar 2021'!$F75,2)</f>
        <v>817872.38</v>
      </c>
      <c r="J26" s="182">
        <f>ROUND('[5]Apr 2021'!$F68+'[5]Apr 2021'!$F75,2)</f>
        <v>561222.76</v>
      </c>
      <c r="K26" s="124">
        <f t="shared" ref="K26:M29" si="2">ROUND(K20*$N26,2)</f>
        <v>528596.17000000004</v>
      </c>
      <c r="L26" s="42">
        <f t="shared" si="2"/>
        <v>668078.31000000006</v>
      </c>
      <c r="M26" s="62">
        <f t="shared" si="2"/>
        <v>938174.63</v>
      </c>
      <c r="N26" s="73">
        <v>2.5799999999999998E-3</v>
      </c>
    </row>
    <row r="27" spans="1:15" x14ac:dyDescent="0.35">
      <c r="A27" s="47" t="s">
        <v>108</v>
      </c>
      <c r="C27" s="98">
        <v>-500363.08999999997</v>
      </c>
      <c r="D27" s="284"/>
      <c r="E27" s="110">
        <f>ROUND('[5]Nov 2020'!$F69+'[5]Nov 2020'!$F76,2)</f>
        <v>168758.12</v>
      </c>
      <c r="F27" s="110">
        <f>ROUND('[5]Dec 2020'!$F69+'[5]Dec 2020'!$F76,2)</f>
        <v>193685.83</v>
      </c>
      <c r="G27" s="110">
        <f>ROUND('[5]Jan 2021'!$F69+'[5]Jan 2021'!$F76,2)</f>
        <v>210827.08</v>
      </c>
      <c r="H27" s="190">
        <f>ROUND('[5]Feb 2021'!$F69+'[5]Feb 2021'!$F76,2)</f>
        <v>227311.03</v>
      </c>
      <c r="I27" s="56">
        <f>ROUND('[5]Mar 2021'!$F69+'[5]Mar 2021'!$F76,2)</f>
        <v>203306.69</v>
      </c>
      <c r="J27" s="182">
        <f>ROUND('[5]Apr 2021'!$F69+'[5]Apr 2021'!$F76,2)</f>
        <v>166735.01999999999</v>
      </c>
      <c r="K27" s="124">
        <f t="shared" si="2"/>
        <v>183692.2</v>
      </c>
      <c r="L27" s="42">
        <f t="shared" si="2"/>
        <v>204705.9</v>
      </c>
      <c r="M27" s="62">
        <f t="shared" si="2"/>
        <v>225285.92</v>
      </c>
      <c r="N27" s="73">
        <v>2.0400000000000001E-3</v>
      </c>
    </row>
    <row r="28" spans="1:15" x14ac:dyDescent="0.35">
      <c r="A28" s="47" t="s">
        <v>109</v>
      </c>
      <c r="C28" s="98">
        <v>-717615.77</v>
      </c>
      <c r="D28" s="284"/>
      <c r="E28" s="110">
        <f>ROUND('[5]Nov 2020'!$F70+'[5]Nov 2020'!$F77,2)</f>
        <v>162847.43</v>
      </c>
      <c r="F28" s="110">
        <f>ROUND('[5]Dec 2020'!$F70+'[5]Dec 2020'!$F77,2)</f>
        <v>176236.28</v>
      </c>
      <c r="G28" s="110">
        <f>ROUND('[5]Jan 2021'!$F70+'[5]Jan 2021'!$F77,2)</f>
        <v>178104.38</v>
      </c>
      <c r="H28" s="190">
        <f>ROUND('[5]Feb 2021'!$F70+'[5]Feb 2021'!$F77,2)</f>
        <v>235181.71</v>
      </c>
      <c r="I28" s="56">
        <f>ROUND('[5]Mar 2021'!$F70+'[5]Mar 2021'!$F77,2)</f>
        <v>203440.74</v>
      </c>
      <c r="J28" s="182">
        <f>ROUND('[5]Apr 2021'!$F70+'[5]Apr 2021'!$F77,2)</f>
        <v>184870.99</v>
      </c>
      <c r="K28" s="124">
        <f t="shared" si="2"/>
        <v>173077.08</v>
      </c>
      <c r="L28" s="42">
        <f t="shared" si="2"/>
        <v>192876.45</v>
      </c>
      <c r="M28" s="62">
        <f t="shared" si="2"/>
        <v>212267.2</v>
      </c>
      <c r="N28" s="73">
        <v>1.9299999999999999E-3</v>
      </c>
    </row>
    <row r="29" spans="1:15" x14ac:dyDescent="0.35">
      <c r="A29" s="47" t="s">
        <v>110</v>
      </c>
      <c r="C29" s="98">
        <v>-554521.89999999991</v>
      </c>
      <c r="D29" s="284"/>
      <c r="E29" s="110">
        <f>ROUND('[5]Nov 2020'!$F71+'[5]Nov 2020'!$F78,2)</f>
        <v>154174.6</v>
      </c>
      <c r="F29" s="110">
        <f>ROUND('[5]Dec 2020'!$F71+'[5]Dec 2020'!$F78,2)</f>
        <v>160056.85999999999</v>
      </c>
      <c r="G29" s="110">
        <f>ROUND('[5]Jan 2021'!$F71+'[5]Jan 2021'!$F78,2)</f>
        <v>151935.51999999999</v>
      </c>
      <c r="H29" s="190">
        <f>ROUND('[5]Feb 2021'!$F71+'[5]Feb 2021'!$F78,2)</f>
        <v>155329.53</v>
      </c>
      <c r="I29" s="56">
        <f>ROUND('[5]Mar 2021'!$F71+'[5]Mar 2021'!$F78,2)</f>
        <v>171905.58</v>
      </c>
      <c r="J29" s="182">
        <f>ROUND('[5]Apr 2021'!$F71+'[5]Apr 2021'!$F78,2)</f>
        <v>178566.74</v>
      </c>
      <c r="K29" s="124">
        <f t="shared" si="2"/>
        <v>161985.84</v>
      </c>
      <c r="L29" s="42">
        <f t="shared" si="2"/>
        <v>180516.41</v>
      </c>
      <c r="M29" s="62">
        <f t="shared" si="2"/>
        <v>198664.56</v>
      </c>
      <c r="N29" s="73">
        <v>2.5599999999999998E-3</v>
      </c>
    </row>
    <row r="30" spans="1:15" x14ac:dyDescent="0.35">
      <c r="C30" s="68"/>
      <c r="D30" s="69"/>
      <c r="E30" s="18"/>
      <c r="F30" s="18"/>
      <c r="G30" s="18"/>
      <c r="H30" s="92"/>
      <c r="I30" s="18"/>
      <c r="J30" s="11"/>
      <c r="K30" s="57"/>
      <c r="L30" s="57"/>
      <c r="M30" s="13"/>
      <c r="N30" s="4"/>
    </row>
    <row r="31" spans="1:15" ht="15" thickBot="1" x14ac:dyDescent="0.4">
      <c r="A31" s="47" t="s">
        <v>14</v>
      </c>
      <c r="C31" s="104">
        <v>-3716.99</v>
      </c>
      <c r="D31" s="287">
        <v>0</v>
      </c>
      <c r="E31" s="113">
        <v>1688.38</v>
      </c>
      <c r="F31" s="113">
        <v>1706.7500000000002</v>
      </c>
      <c r="G31" s="114">
        <v>1219.9099999999999</v>
      </c>
      <c r="H31" s="27">
        <v>153.18999999999997</v>
      </c>
      <c r="I31" s="123">
        <v>-289.22000000000003</v>
      </c>
      <c r="J31" s="183">
        <v>-282.38000000000005</v>
      </c>
      <c r="K31" s="181">
        <v>-137.24</v>
      </c>
      <c r="L31" s="143">
        <v>144.99</v>
      </c>
      <c r="M31" s="82"/>
    </row>
    <row r="32" spans="1:15" x14ac:dyDescent="0.35">
      <c r="C32" s="100"/>
      <c r="D32" s="152"/>
      <c r="E32" s="32"/>
      <c r="F32" s="32"/>
      <c r="G32" s="32"/>
      <c r="H32" s="29"/>
      <c r="I32" s="32"/>
      <c r="J32" s="11"/>
      <c r="K32" s="17"/>
      <c r="L32" s="17"/>
      <c r="M32" s="11"/>
    </row>
    <row r="33" spans="1:14" x14ac:dyDescent="0.35">
      <c r="A33" s="47" t="s">
        <v>52</v>
      </c>
      <c r="C33" s="100"/>
      <c r="D33" s="152"/>
      <c r="E33" s="32"/>
      <c r="F33" s="32"/>
      <c r="G33" s="32"/>
      <c r="H33" s="29"/>
      <c r="I33" s="32"/>
      <c r="J33" s="11"/>
      <c r="K33" s="17"/>
      <c r="L33" s="17"/>
      <c r="M33" s="11"/>
    </row>
    <row r="34" spans="1:14" x14ac:dyDescent="0.35">
      <c r="A34" s="47" t="s">
        <v>24</v>
      </c>
      <c r="C34" s="41">
        <f t="shared" ref="C34:M34" si="3">C14-C26</f>
        <v>1051806.53</v>
      </c>
      <c r="D34" s="124">
        <f t="shared" ref="D34" si="4">D14-D26</f>
        <v>6080.57</v>
      </c>
      <c r="E34" s="42">
        <f t="shared" si="3"/>
        <v>-88240.290000000037</v>
      </c>
      <c r="F34" s="42">
        <f t="shared" si="3"/>
        <v>-128328.55999999994</v>
      </c>
      <c r="G34" s="109">
        <f t="shared" si="3"/>
        <v>-603800.98</v>
      </c>
      <c r="H34" s="41">
        <f t="shared" si="3"/>
        <v>-494823.27</v>
      </c>
      <c r="I34" s="42">
        <f t="shared" si="3"/>
        <v>21688.020000000019</v>
      </c>
      <c r="J34" s="62">
        <f t="shared" si="3"/>
        <v>143038.67999999993</v>
      </c>
      <c r="K34" s="124">
        <f t="shared" si="3"/>
        <v>57965.109999999986</v>
      </c>
      <c r="L34" s="42">
        <f t="shared" si="3"/>
        <v>319115.00999999989</v>
      </c>
      <c r="M34" s="50">
        <f t="shared" si="3"/>
        <v>-938174.63</v>
      </c>
    </row>
    <row r="35" spans="1:14" x14ac:dyDescent="0.35">
      <c r="A35" s="47" t="s">
        <v>108</v>
      </c>
      <c r="C35" s="41">
        <f t="shared" ref="C35:M35" si="5">C15-C27</f>
        <v>160446.91999999998</v>
      </c>
      <c r="D35" s="124">
        <f t="shared" ref="D35" si="6">D15-D27</f>
        <v>-1654.86</v>
      </c>
      <c r="E35" s="42">
        <f t="shared" si="5"/>
        <v>-34853.549999999988</v>
      </c>
      <c r="F35" s="42">
        <f t="shared" si="5"/>
        <v>232343.15</v>
      </c>
      <c r="G35" s="109">
        <f t="shared" si="5"/>
        <v>-183200.93</v>
      </c>
      <c r="H35" s="41">
        <f t="shared" si="5"/>
        <v>-139854.83000000002</v>
      </c>
      <c r="I35" s="42">
        <f t="shared" si="5"/>
        <v>62767.710000000021</v>
      </c>
      <c r="J35" s="62">
        <f t="shared" si="5"/>
        <v>77866.680000000022</v>
      </c>
      <c r="K35" s="124">
        <f t="shared" si="5"/>
        <v>9017.109999999986</v>
      </c>
      <c r="L35" s="42">
        <f t="shared" si="5"/>
        <v>-62925.449999999983</v>
      </c>
      <c r="M35" s="50">
        <f t="shared" si="5"/>
        <v>-225285.92</v>
      </c>
    </row>
    <row r="36" spans="1:14" x14ac:dyDescent="0.35">
      <c r="A36" s="47" t="s">
        <v>109</v>
      </c>
      <c r="C36" s="41">
        <f t="shared" ref="C36:M36" si="7">C16-C28</f>
        <v>188535.34000000008</v>
      </c>
      <c r="D36" s="124">
        <f t="shared" ref="D36" si="8">D16-D28</f>
        <v>-2501.4299999999998</v>
      </c>
      <c r="E36" s="42">
        <f t="shared" si="7"/>
        <v>-43608.06</v>
      </c>
      <c r="F36" s="42">
        <f t="shared" si="7"/>
        <v>222858.83</v>
      </c>
      <c r="G36" s="109">
        <f t="shared" si="7"/>
        <v>-158565.1</v>
      </c>
      <c r="H36" s="41">
        <f t="shared" si="7"/>
        <v>-14753.919999999984</v>
      </c>
      <c r="I36" s="42">
        <f t="shared" si="7"/>
        <v>-20916.22</v>
      </c>
      <c r="J36" s="62">
        <f t="shared" si="7"/>
        <v>-70299.59</v>
      </c>
      <c r="K36" s="124">
        <f t="shared" si="7"/>
        <v>116680.36000000002</v>
      </c>
      <c r="L36" s="42">
        <f t="shared" si="7"/>
        <v>19897.789999999979</v>
      </c>
      <c r="M36" s="50">
        <f t="shared" si="7"/>
        <v>-212267.2</v>
      </c>
    </row>
    <row r="37" spans="1:14" x14ac:dyDescent="0.35">
      <c r="A37" s="47" t="s">
        <v>110</v>
      </c>
      <c r="C37" s="41">
        <f t="shared" ref="C37:M37" si="9">C17-C29</f>
        <v>159246.42999999993</v>
      </c>
      <c r="D37" s="124">
        <f t="shared" ref="D37" si="10">D17-D29</f>
        <v>-1924.28</v>
      </c>
      <c r="E37" s="42">
        <f t="shared" si="9"/>
        <v>-87434.63</v>
      </c>
      <c r="F37" s="42">
        <f t="shared" si="9"/>
        <v>-59147.459999999992</v>
      </c>
      <c r="G37" s="109">
        <f t="shared" si="9"/>
        <v>-130108.15999999999</v>
      </c>
      <c r="H37" s="41">
        <f t="shared" si="9"/>
        <v>-131005.85</v>
      </c>
      <c r="I37" s="42">
        <f t="shared" si="9"/>
        <v>-64201.419999999984</v>
      </c>
      <c r="J37" s="62">
        <f t="shared" si="9"/>
        <v>-135767.59999999998</v>
      </c>
      <c r="K37" s="124">
        <f t="shared" si="9"/>
        <v>57882.209999999992</v>
      </c>
      <c r="L37" s="42">
        <f t="shared" si="9"/>
        <v>-19869.5</v>
      </c>
      <c r="M37" s="50">
        <f t="shared" si="9"/>
        <v>-198664.56</v>
      </c>
    </row>
    <row r="38" spans="1:14" x14ac:dyDescent="0.35">
      <c r="C38" s="100"/>
      <c r="D38" s="152"/>
      <c r="E38" s="32"/>
      <c r="F38" s="32"/>
      <c r="G38" s="32"/>
      <c r="H38" s="29"/>
      <c r="I38" s="32"/>
      <c r="J38" s="11"/>
      <c r="K38" s="17"/>
      <c r="L38" s="17"/>
      <c r="M38" s="11"/>
    </row>
    <row r="39" spans="1:14" ht="15" thickBot="1" x14ac:dyDescent="0.4">
      <c r="A39" s="47" t="s">
        <v>53</v>
      </c>
      <c r="C39" s="105"/>
      <c r="D39" s="288"/>
      <c r="E39" s="32"/>
      <c r="F39" s="32"/>
      <c r="G39" s="32"/>
      <c r="H39" s="29"/>
      <c r="I39" s="32"/>
      <c r="J39" s="11"/>
      <c r="K39" s="17"/>
      <c r="L39" s="17"/>
      <c r="M39" s="11"/>
    </row>
    <row r="40" spans="1:14" x14ac:dyDescent="0.35">
      <c r="A40" s="47" t="s">
        <v>24</v>
      </c>
      <c r="B40" s="117">
        <v>-138607.92999999967</v>
      </c>
      <c r="C40" s="42">
        <f t="shared" ref="C40:M40" si="11">B40+C34+B47</f>
        <v>913198.60000000033</v>
      </c>
      <c r="D40" s="42">
        <f t="shared" ref="D40:D43" si="12">C40+D34+C47</f>
        <v>917294.08000000031</v>
      </c>
      <c r="E40" s="42">
        <f t="shared" ref="E40:E43" si="13">D40+E34+D47</f>
        <v>829091.65000000026</v>
      </c>
      <c r="F40" s="42">
        <f t="shared" si="11"/>
        <v>701769.0700000003</v>
      </c>
      <c r="G40" s="109">
        <f t="shared" si="11"/>
        <v>98861.120000000315</v>
      </c>
      <c r="H40" s="41">
        <f t="shared" si="11"/>
        <v>-395501.60999999969</v>
      </c>
      <c r="I40" s="42">
        <f t="shared" si="11"/>
        <v>-373981.95999999967</v>
      </c>
      <c r="J40" s="62">
        <f t="shared" si="11"/>
        <v>-231378.59999999974</v>
      </c>
      <c r="K40" s="124">
        <f t="shared" si="11"/>
        <v>-173757.15999999977</v>
      </c>
      <c r="L40" s="42">
        <f t="shared" si="11"/>
        <v>145127.82000000012</v>
      </c>
      <c r="M40" s="50">
        <f t="shared" si="11"/>
        <v>-793063.17999999982</v>
      </c>
    </row>
    <row r="41" spans="1:14" x14ac:dyDescent="0.35">
      <c r="A41" s="47" t="s">
        <v>108</v>
      </c>
      <c r="B41" s="252">
        <v>-117127.06999999996</v>
      </c>
      <c r="C41" s="42">
        <f t="shared" ref="C41:M41" si="14">B41+C35+B48</f>
        <v>43319.85000000002</v>
      </c>
      <c r="D41" s="42">
        <f t="shared" si="12"/>
        <v>41539.160000000018</v>
      </c>
      <c r="E41" s="42">
        <f t="shared" si="13"/>
        <v>6675.3100000000295</v>
      </c>
      <c r="F41" s="42">
        <f t="shared" si="14"/>
        <v>239048.34000000003</v>
      </c>
      <c r="G41" s="109">
        <f t="shared" si="14"/>
        <v>55990.680000000029</v>
      </c>
      <c r="H41" s="41">
        <f t="shared" si="14"/>
        <v>-83694.539999999994</v>
      </c>
      <c r="I41" s="42">
        <f t="shared" si="14"/>
        <v>-20942.479999999974</v>
      </c>
      <c r="J41" s="62">
        <f t="shared" si="14"/>
        <v>56865.010000000046</v>
      </c>
      <c r="K41" s="124">
        <f t="shared" si="14"/>
        <v>65902.47000000003</v>
      </c>
      <c r="L41" s="42">
        <f t="shared" si="14"/>
        <v>3046.6800000000476</v>
      </c>
      <c r="M41" s="50">
        <f t="shared" si="14"/>
        <v>-222200.07999999996</v>
      </c>
    </row>
    <row r="42" spans="1:14" x14ac:dyDescent="0.35">
      <c r="A42" s="47" t="s">
        <v>109</v>
      </c>
      <c r="B42" s="252">
        <v>99735.659999999902</v>
      </c>
      <c r="C42" s="42">
        <f t="shared" ref="C42:M42" si="15">B42+C36+B49</f>
        <v>288271</v>
      </c>
      <c r="D42" s="42">
        <f t="shared" si="12"/>
        <v>285010.17</v>
      </c>
      <c r="E42" s="42">
        <f t="shared" si="13"/>
        <v>241386.53999999998</v>
      </c>
      <c r="F42" s="42">
        <f t="shared" si="15"/>
        <v>464553.6</v>
      </c>
      <c r="G42" s="109">
        <f t="shared" si="15"/>
        <v>306400.21999999997</v>
      </c>
      <c r="H42" s="41">
        <f t="shared" si="15"/>
        <v>292089.51</v>
      </c>
      <c r="I42" s="42">
        <f t="shared" si="15"/>
        <v>271513.77</v>
      </c>
      <c r="J42" s="62">
        <f t="shared" si="15"/>
        <v>201533.15000000002</v>
      </c>
      <c r="K42" s="124">
        <f t="shared" si="15"/>
        <v>318482.06</v>
      </c>
      <c r="L42" s="42">
        <f t="shared" si="15"/>
        <v>338675.00999999995</v>
      </c>
      <c r="M42" s="50">
        <f t="shared" si="15"/>
        <v>126780.78999999994</v>
      </c>
    </row>
    <row r="43" spans="1:14" ht="15" thickBot="1" x14ac:dyDescent="0.4">
      <c r="A43" s="47" t="s">
        <v>110</v>
      </c>
      <c r="B43" s="118">
        <v>182103.06999999995</v>
      </c>
      <c r="C43" s="42">
        <f t="shared" ref="C43:M43" si="16">B43+C37+B50</f>
        <v>341349.49999999988</v>
      </c>
      <c r="D43" s="42">
        <f t="shared" si="12"/>
        <v>338578.54999999987</v>
      </c>
      <c r="E43" s="42">
        <f t="shared" si="13"/>
        <v>251131.93999999986</v>
      </c>
      <c r="F43" s="42">
        <f t="shared" si="16"/>
        <v>192328.76999999987</v>
      </c>
      <c r="G43" s="109">
        <f t="shared" si="16"/>
        <v>62479.339999999887</v>
      </c>
      <c r="H43" s="41">
        <f t="shared" si="16"/>
        <v>-68379.950000000128</v>
      </c>
      <c r="I43" s="42">
        <f t="shared" si="16"/>
        <v>-132584.6400000001</v>
      </c>
      <c r="J43" s="62">
        <f t="shared" si="16"/>
        <v>-268465.91000000009</v>
      </c>
      <c r="K43" s="124">
        <f t="shared" si="16"/>
        <v>-210811.28000000009</v>
      </c>
      <c r="L43" s="42">
        <f t="shared" si="16"/>
        <v>-230952.81000000008</v>
      </c>
      <c r="M43" s="50">
        <f t="shared" si="16"/>
        <v>-429868.14000000013</v>
      </c>
    </row>
    <row r="44" spans="1:14" x14ac:dyDescent="0.35">
      <c r="C44" s="100"/>
      <c r="D44" s="152"/>
      <c r="E44" s="32"/>
      <c r="F44" s="32"/>
      <c r="G44" s="32"/>
      <c r="H44" s="29"/>
      <c r="I44" s="32"/>
      <c r="J44" s="11"/>
      <c r="K44" s="17"/>
      <c r="L44" s="17"/>
      <c r="M44" s="11"/>
    </row>
    <row r="45" spans="1:14" x14ac:dyDescent="0.35">
      <c r="A45" s="40" t="s">
        <v>49</v>
      </c>
      <c r="B45" s="40"/>
      <c r="C45" s="105"/>
      <c r="D45" s="288"/>
      <c r="E45" s="84">
        <f>+'PCR Cycle 2'!D47</f>
        <v>1.1601199999999999E-3</v>
      </c>
      <c r="F45" s="84">
        <f>+'PCR Cycle 2'!E47</f>
        <v>1.1659400000000001E-3</v>
      </c>
      <c r="G45" s="84">
        <f>+'PCR Cycle 2'!F47</f>
        <v>1.14916E-3</v>
      </c>
      <c r="H45" s="85">
        <f>+'PCR Cycle 2'!G47</f>
        <v>1.13697E-3</v>
      </c>
      <c r="I45" s="84">
        <f>+'PCR Cycle 2'!H47</f>
        <v>1.1312099999999999E-3</v>
      </c>
      <c r="J45" s="93">
        <f>+'PCR Cycle 2'!I47</f>
        <v>1.13462E-3</v>
      </c>
      <c r="K45" s="84">
        <f>+'PCR Cycle 2'!J47</f>
        <v>1.13462E-3</v>
      </c>
      <c r="L45" s="84">
        <f>+'PCR Cycle 2'!K47</f>
        <v>1.13462E-3</v>
      </c>
      <c r="M45" s="93"/>
    </row>
    <row r="46" spans="1:14" x14ac:dyDescent="0.35">
      <c r="A46" s="40" t="s">
        <v>37</v>
      </c>
      <c r="B46" s="40"/>
      <c r="C46" s="100"/>
      <c r="D46" s="152"/>
      <c r="E46" s="32"/>
      <c r="F46" s="32"/>
      <c r="G46" s="32"/>
      <c r="H46" s="29"/>
      <c r="I46" s="32"/>
      <c r="J46" s="11"/>
      <c r="K46" s="17"/>
      <c r="L46" s="17"/>
      <c r="M46" s="11"/>
      <c r="N46" s="72"/>
    </row>
    <row r="47" spans="1:14" x14ac:dyDescent="0.35">
      <c r="A47" s="47" t="s">
        <v>24</v>
      </c>
      <c r="C47" s="41">
        <v>-1985.0900000000001</v>
      </c>
      <c r="D47" s="124">
        <f>ROUND(SUM('[7]Carrying Costs'!$C68:$M68),2)</f>
        <v>37.86</v>
      </c>
      <c r="E47" s="42">
        <f>ROUND((C40+C47+D47+E34/2)*E$45,2)</f>
        <v>1005.98</v>
      </c>
      <c r="F47" s="42">
        <f t="shared" ref="F47:L50" si="17">ROUND((E40+E47+F34/2)*F$45,2)</f>
        <v>893.03</v>
      </c>
      <c r="G47" s="109">
        <f t="shared" si="17"/>
        <v>460.54</v>
      </c>
      <c r="H47" s="41">
        <f t="shared" si="17"/>
        <v>-168.37</v>
      </c>
      <c r="I47" s="124">
        <f t="shared" si="17"/>
        <v>-435.32</v>
      </c>
      <c r="J47" s="62">
        <f t="shared" si="17"/>
        <v>-343.67</v>
      </c>
      <c r="K47" s="124">
        <f t="shared" si="17"/>
        <v>-230.03</v>
      </c>
      <c r="L47" s="124">
        <f t="shared" si="17"/>
        <v>-16.37</v>
      </c>
      <c r="M47" s="50"/>
    </row>
    <row r="48" spans="1:14" x14ac:dyDescent="0.35">
      <c r="A48" s="47" t="s">
        <v>108</v>
      </c>
      <c r="C48" s="253">
        <v>-125.83000000000001</v>
      </c>
      <c r="D48" s="289">
        <f>ROUND(SUM('[7]Carrying Costs'!$C69:$M69),2)</f>
        <v>-10.3</v>
      </c>
      <c r="E48" s="42">
        <f t="shared" ref="E48:E50" si="18">ROUND((C41+C48+D48+E35/2)*E$45,2)</f>
        <v>29.88</v>
      </c>
      <c r="F48" s="42">
        <f t="shared" si="17"/>
        <v>143.27000000000001</v>
      </c>
      <c r="G48" s="109">
        <f t="shared" si="17"/>
        <v>169.61</v>
      </c>
      <c r="H48" s="41">
        <f t="shared" si="17"/>
        <v>-15.65</v>
      </c>
      <c r="I48" s="124">
        <f t="shared" si="17"/>
        <v>-59.19</v>
      </c>
      <c r="J48" s="62">
        <f t="shared" si="17"/>
        <v>20.350000000000001</v>
      </c>
      <c r="K48" s="124">
        <f t="shared" si="17"/>
        <v>69.66</v>
      </c>
      <c r="L48" s="124">
        <f t="shared" si="17"/>
        <v>39.159999999999997</v>
      </c>
      <c r="M48" s="50"/>
    </row>
    <row r="49" spans="1:13" x14ac:dyDescent="0.35">
      <c r="A49" s="47" t="s">
        <v>109</v>
      </c>
      <c r="C49" s="253">
        <v>-759.4</v>
      </c>
      <c r="D49" s="289">
        <f>ROUND(SUM('[7]Carrying Costs'!$C70:$M70),2)</f>
        <v>-15.57</v>
      </c>
      <c r="E49" s="42">
        <f t="shared" si="18"/>
        <v>308.23</v>
      </c>
      <c r="F49" s="42">
        <f t="shared" si="17"/>
        <v>411.72</v>
      </c>
      <c r="G49" s="109">
        <f t="shared" si="17"/>
        <v>443.21</v>
      </c>
      <c r="H49" s="41">
        <f t="shared" si="17"/>
        <v>340.48</v>
      </c>
      <c r="I49" s="124">
        <f t="shared" si="17"/>
        <v>318.97000000000003</v>
      </c>
      <c r="J49" s="62">
        <f t="shared" si="17"/>
        <v>268.55</v>
      </c>
      <c r="K49" s="124">
        <f t="shared" si="17"/>
        <v>295.16000000000003</v>
      </c>
      <c r="L49" s="124">
        <f t="shared" si="17"/>
        <v>372.98</v>
      </c>
      <c r="M49" s="50"/>
    </row>
    <row r="50" spans="1:13" ht="15" thickBot="1" x14ac:dyDescent="0.4">
      <c r="A50" s="47" t="s">
        <v>110</v>
      </c>
      <c r="C50" s="115">
        <v>-846.67000000000007</v>
      </c>
      <c r="D50" s="289">
        <f>ROUND(SUM('[7]Carrying Costs'!$C71:$M71),2)</f>
        <v>-11.98</v>
      </c>
      <c r="E50" s="42">
        <f t="shared" si="18"/>
        <v>344.29</v>
      </c>
      <c r="F50" s="42">
        <f t="shared" si="17"/>
        <v>258.73</v>
      </c>
      <c r="G50" s="109">
        <f t="shared" si="17"/>
        <v>146.56</v>
      </c>
      <c r="H50" s="41">
        <f t="shared" si="17"/>
        <v>-3.27</v>
      </c>
      <c r="I50" s="124">
        <f t="shared" si="17"/>
        <v>-113.67</v>
      </c>
      <c r="J50" s="62">
        <f t="shared" si="17"/>
        <v>-227.58</v>
      </c>
      <c r="K50" s="124">
        <f t="shared" si="17"/>
        <v>-272.02999999999997</v>
      </c>
      <c r="L50" s="124">
        <f t="shared" si="17"/>
        <v>-250.77</v>
      </c>
      <c r="M50" s="50"/>
    </row>
    <row r="51" spans="1:13" ht="15.5" thickTop="1" thickBot="1" x14ac:dyDescent="0.4">
      <c r="A51" s="55" t="s">
        <v>22</v>
      </c>
      <c r="B51" s="55"/>
      <c r="C51" s="116">
        <v>0</v>
      </c>
      <c r="D51" s="290"/>
      <c r="E51" s="33">
        <f t="shared" ref="E51:M51" si="19">SUM(E47:E50)+SUM(E40:E43)-E54</f>
        <v>1.0000000242143869E-2</v>
      </c>
      <c r="F51" s="33">
        <f t="shared" si="19"/>
        <v>1.0000000242143869E-2</v>
      </c>
      <c r="G51" s="51">
        <f t="shared" si="19"/>
        <v>1.0000000474974513E-2</v>
      </c>
      <c r="H51" s="125">
        <f t="shared" si="19"/>
        <v>1.0000000358559191E-2</v>
      </c>
      <c r="I51" s="33">
        <f t="shared" si="19"/>
        <v>1.0000000562286004E-2</v>
      </c>
      <c r="J51" s="63">
        <f t="shared" si="19"/>
        <v>1.0000000824220479E-2</v>
      </c>
      <c r="K51" s="168">
        <f t="shared" si="19"/>
        <v>1.000000072764351E-2</v>
      </c>
      <c r="L51" s="33">
        <f t="shared" si="19"/>
        <v>1.0000000736908987E-2</v>
      </c>
      <c r="M51" s="97">
        <f t="shared" si="19"/>
        <v>1.00000009406358E-2</v>
      </c>
    </row>
    <row r="52" spans="1:13" ht="15.5" thickTop="1" thickBot="1" x14ac:dyDescent="0.4">
      <c r="A52" s="55" t="s">
        <v>23</v>
      </c>
      <c r="B52" s="55"/>
      <c r="C52" s="108">
        <v>0</v>
      </c>
      <c r="D52" s="291"/>
      <c r="E52" s="33">
        <f t="shared" ref="E52:M52" si="20">SUM(E47:E50)-E31</f>
        <v>0</v>
      </c>
      <c r="F52" s="33">
        <f t="shared" si="20"/>
        <v>0</v>
      </c>
      <c r="G52" s="51">
        <f t="shared" si="20"/>
        <v>1.0000000000218279E-2</v>
      </c>
      <c r="H52" s="52">
        <f t="shared" si="20"/>
        <v>0</v>
      </c>
      <c r="I52" s="33">
        <f t="shared" si="20"/>
        <v>1.0000000000047748E-2</v>
      </c>
      <c r="J52" s="63">
        <f t="shared" si="20"/>
        <v>3.0000000000029559E-2</v>
      </c>
      <c r="K52" s="168">
        <f t="shared" si="20"/>
        <v>0</v>
      </c>
      <c r="L52" s="33">
        <f t="shared" si="20"/>
        <v>1.0000000000019327E-2</v>
      </c>
      <c r="M52" s="97">
        <f t="shared" si="20"/>
        <v>0</v>
      </c>
    </row>
    <row r="53" spans="1:13" ht="15.5" thickTop="1" thickBot="1" x14ac:dyDescent="0.4">
      <c r="C53" s="100"/>
      <c r="D53" s="152"/>
      <c r="E53" s="17"/>
      <c r="F53" s="17"/>
      <c r="G53" s="17"/>
      <c r="H53" s="10"/>
      <c r="I53" s="17"/>
      <c r="J53" s="11"/>
      <c r="K53" s="17"/>
      <c r="L53" s="17"/>
      <c r="M53" s="11"/>
    </row>
    <row r="54" spans="1:13" ht="15" thickBot="1" x14ac:dyDescent="0.4">
      <c r="A54" s="47" t="s">
        <v>36</v>
      </c>
      <c r="B54" s="120">
        <f>SUM(B40:B43)</f>
        <v>26103.730000000214</v>
      </c>
      <c r="C54" s="41">
        <f t="shared" ref="C54:M54" si="21">(SUM(C14:C17)-SUM(C26:C29))+SUM(C47:C50)+B54</f>
        <v>1582421.96</v>
      </c>
      <c r="D54" s="124"/>
      <c r="E54" s="42">
        <f>(SUM(E14:E17)-SUM(E26:E29))+SUM(E47:E50)+C54</f>
        <v>1329973.8099999998</v>
      </c>
      <c r="F54" s="42">
        <f t="shared" si="21"/>
        <v>1599406.5199999998</v>
      </c>
      <c r="G54" s="109">
        <f t="shared" si="21"/>
        <v>524951.26999999979</v>
      </c>
      <c r="H54" s="41">
        <f t="shared" si="21"/>
        <v>-255333.41000000015</v>
      </c>
      <c r="I54" s="42">
        <f t="shared" si="21"/>
        <v>-256284.53000000029</v>
      </c>
      <c r="J54" s="62">
        <f t="shared" si="21"/>
        <v>-241728.7100000006</v>
      </c>
      <c r="K54" s="124">
        <f t="shared" si="21"/>
        <v>-321.16000000055647</v>
      </c>
      <c r="L54" s="42">
        <f t="shared" si="21"/>
        <v>256041.6899999993</v>
      </c>
      <c r="M54" s="62">
        <f t="shared" si="21"/>
        <v>-1318350.6200000008</v>
      </c>
    </row>
    <row r="55" spans="1:13" x14ac:dyDescent="0.35">
      <c r="A55" s="47" t="s">
        <v>12</v>
      </c>
      <c r="C55" s="121"/>
      <c r="D55" s="17"/>
      <c r="E55" s="57"/>
      <c r="F55" s="57"/>
      <c r="G55" s="57"/>
      <c r="H55" s="12"/>
      <c r="I55" s="57"/>
      <c r="J55" s="11"/>
      <c r="K55" s="17"/>
      <c r="L55" s="17"/>
      <c r="M55" s="11"/>
    </row>
    <row r="56" spans="1:13" ht="15" thickBot="1" x14ac:dyDescent="0.4">
      <c r="B56" s="17"/>
      <c r="C56" s="44"/>
      <c r="D56" s="45"/>
      <c r="E56" s="45"/>
      <c r="F56" s="45"/>
      <c r="G56" s="45"/>
      <c r="H56" s="44"/>
      <c r="I56" s="45"/>
      <c r="J56" s="46"/>
      <c r="K56" s="45"/>
      <c r="L56" s="45"/>
      <c r="M56" s="46"/>
    </row>
    <row r="58" spans="1:13" x14ac:dyDescent="0.35">
      <c r="A58" s="70" t="s">
        <v>11</v>
      </c>
      <c r="B58" s="70"/>
      <c r="C58" s="70"/>
      <c r="D58" s="70"/>
    </row>
    <row r="59" spans="1:13" ht="63" customHeight="1" x14ac:dyDescent="0.35">
      <c r="A59" s="305" t="s">
        <v>195</v>
      </c>
      <c r="B59" s="305"/>
      <c r="C59" s="305"/>
      <c r="D59" s="305"/>
      <c r="E59" s="305"/>
      <c r="F59" s="305"/>
      <c r="G59" s="305"/>
      <c r="H59" s="305"/>
      <c r="I59" s="305"/>
      <c r="J59" s="305"/>
      <c r="K59" s="241"/>
      <c r="L59" s="241"/>
      <c r="M59" s="241"/>
    </row>
    <row r="60" spans="1:13" ht="33.75" customHeight="1" x14ac:dyDescent="0.35">
      <c r="A60" s="305" t="s">
        <v>172</v>
      </c>
      <c r="B60" s="305"/>
      <c r="C60" s="305"/>
      <c r="D60" s="305"/>
      <c r="E60" s="305"/>
      <c r="F60" s="305"/>
      <c r="G60" s="305"/>
      <c r="H60" s="305"/>
      <c r="I60" s="305"/>
      <c r="J60" s="305"/>
      <c r="K60" s="241"/>
      <c r="L60" s="241"/>
      <c r="M60" s="241"/>
    </row>
    <row r="61" spans="1:13" ht="33.75" customHeight="1" x14ac:dyDescent="0.35">
      <c r="A61" s="305" t="s">
        <v>173</v>
      </c>
      <c r="B61" s="305"/>
      <c r="C61" s="305"/>
      <c r="D61" s="305"/>
      <c r="E61" s="305"/>
      <c r="F61" s="305"/>
      <c r="G61" s="305"/>
      <c r="H61" s="305"/>
      <c r="I61" s="305"/>
      <c r="J61" s="305"/>
      <c r="K61" s="241"/>
      <c r="L61" s="241"/>
      <c r="M61" s="241"/>
    </row>
    <row r="62" spans="1:13" x14ac:dyDescent="0.35">
      <c r="A62" s="3" t="s">
        <v>31</v>
      </c>
      <c r="B62" s="3"/>
      <c r="C62" s="3"/>
      <c r="D62" s="3"/>
      <c r="J62" s="4"/>
    </row>
    <row r="63" spans="1:13" x14ac:dyDescent="0.35">
      <c r="A63" s="64" t="s">
        <v>174</v>
      </c>
      <c r="B63" s="3"/>
      <c r="C63" s="3"/>
      <c r="D63" s="3"/>
      <c r="J63" s="4"/>
    </row>
    <row r="64" spans="1:13" x14ac:dyDescent="0.35">
      <c r="A64" s="3" t="s">
        <v>51</v>
      </c>
      <c r="B64" s="3"/>
      <c r="C64" s="3"/>
      <c r="D64" s="3"/>
      <c r="J64" s="4"/>
    </row>
    <row r="65" spans="1:14" x14ac:dyDescent="0.35">
      <c r="A65" s="3"/>
    </row>
    <row r="66" spans="1:14" ht="36" customHeight="1" x14ac:dyDescent="0.35">
      <c r="A66" s="311" t="s">
        <v>194</v>
      </c>
      <c r="B66" s="311"/>
      <c r="C66" s="311"/>
      <c r="D66" s="311"/>
      <c r="E66" s="311"/>
      <c r="F66" s="311"/>
      <c r="G66" s="311"/>
    </row>
    <row r="74" spans="1:14" x14ac:dyDescent="0.35">
      <c r="N74" s="8"/>
    </row>
  </sheetData>
  <mergeCells count="7">
    <mergeCell ref="A66:G66"/>
    <mergeCell ref="A61:J61"/>
    <mergeCell ref="E10:G10"/>
    <mergeCell ref="H10:J10"/>
    <mergeCell ref="K10:M10"/>
    <mergeCell ref="A59:J59"/>
    <mergeCell ref="A60:J60"/>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1"/>
  <sheetViews>
    <sheetView workbookViewId="0">
      <selection activeCell="E29" sqref="E29"/>
    </sheetView>
  </sheetViews>
  <sheetFormatPr defaultRowHeight="14.5" x14ac:dyDescent="0.35"/>
  <cols>
    <col min="1" max="1" width="24.7265625" customWidth="1"/>
    <col min="2" max="2" width="16.1796875" customWidth="1"/>
    <col min="3" max="3" width="15.1796875" customWidth="1"/>
  </cols>
  <sheetData>
    <row r="1" spans="1:23" s="47" customFormat="1" x14ac:dyDescent="0.35">
      <c r="A1" s="3" t="str">
        <f>+'PPC Cycle 3'!A1</f>
        <v>Evergy Missouri West, Inc. - DSIM Rider Update Filed 06/01/2021</v>
      </c>
    </row>
    <row r="2" spans="1:23" x14ac:dyDescent="0.35">
      <c r="A2" s="9" t="str">
        <f>+'PPC Cycle 3'!A2</f>
        <v>Projections for Cycle 2 July 2021 - June 2022 DSIM</v>
      </c>
    </row>
    <row r="3" spans="1:23" s="47" customFormat="1" x14ac:dyDescent="0.35">
      <c r="A3" s="9"/>
    </row>
    <row r="4" spans="1:23" ht="40.5" customHeight="1" x14ac:dyDescent="0.35">
      <c r="B4" s="300" t="s">
        <v>64</v>
      </c>
      <c r="C4" s="300"/>
    </row>
    <row r="5" spans="1:23" ht="29" x14ac:dyDescent="0.35">
      <c r="B5" s="153" t="s">
        <v>65</v>
      </c>
      <c r="C5" s="6" t="s">
        <v>29</v>
      </c>
    </row>
    <row r="6" spans="1:23" x14ac:dyDescent="0.35">
      <c r="A6" s="20" t="s">
        <v>24</v>
      </c>
      <c r="B6" s="24">
        <f>SUM('[14]Monthly TD Calc'!$BN$285:$BS$285)</f>
        <v>22568627.476296593</v>
      </c>
      <c r="C6" s="87">
        <f>SUM('[14]Monthly TD Calc'!$BN$326:$BS$326)</f>
        <v>1437872.7499999998</v>
      </c>
    </row>
    <row r="7" spans="1:23" x14ac:dyDescent="0.35">
      <c r="A7" s="31" t="s">
        <v>25</v>
      </c>
      <c r="B7" s="24">
        <f>+B13</f>
        <v>34191204.352776945</v>
      </c>
      <c r="C7" s="87">
        <f>+C13</f>
        <v>1201547.72</v>
      </c>
    </row>
    <row r="8" spans="1:23" x14ac:dyDescent="0.35">
      <c r="A8" s="20" t="s">
        <v>5</v>
      </c>
      <c r="B8" s="25">
        <f>SUM(B6:B7)</f>
        <v>56759831.829073533</v>
      </c>
      <c r="C8" s="22">
        <f>SUM(C6:C7)</f>
        <v>2639420.4699999997</v>
      </c>
    </row>
    <row r="9" spans="1:23" s="47" customFormat="1" x14ac:dyDescent="0.35">
      <c r="A9" s="20"/>
    </row>
    <row r="10" spans="1:23" s="47" customFormat="1" x14ac:dyDescent="0.35">
      <c r="A10" s="20" t="s">
        <v>108</v>
      </c>
      <c r="B10" s="24">
        <f>SUM('[14]Monthly TD Calc'!$BN$286:$BS$286)</f>
        <v>11308745.272532281</v>
      </c>
      <c r="C10" s="87">
        <f>SUM('[14]Monthly TD Calc'!$BN327:$BS327)</f>
        <v>598128.94999999995</v>
      </c>
    </row>
    <row r="11" spans="1:23" s="47" customFormat="1" x14ac:dyDescent="0.35">
      <c r="A11" s="20" t="s">
        <v>109</v>
      </c>
      <c r="B11" s="24">
        <f>SUM('[14]Monthly TD Calc'!$BN$288:$BS$288)</f>
        <v>16865266.900437847</v>
      </c>
      <c r="C11" s="87">
        <f>SUM('[14]Monthly TD Calc'!$BN329:$BS329)</f>
        <v>510431.91</v>
      </c>
    </row>
    <row r="12" spans="1:23" s="47" customFormat="1" x14ac:dyDescent="0.35">
      <c r="A12" s="20" t="s">
        <v>110</v>
      </c>
      <c r="B12" s="24">
        <f>SUM('[14]Monthly TD Calc'!$BN$289:$BS$289)</f>
        <v>6017192.179806821</v>
      </c>
      <c r="C12" s="87">
        <f>SUM('[14]Monthly TD Calc'!$BN330:$BS330)</f>
        <v>92986.860000000015</v>
      </c>
    </row>
    <row r="13" spans="1:23" x14ac:dyDescent="0.35">
      <c r="A13" s="31" t="s">
        <v>112</v>
      </c>
      <c r="B13" s="25">
        <f>SUM(B10:B12)</f>
        <v>34191204.352776945</v>
      </c>
      <c r="C13" s="22">
        <f>SUM(C10:C12)</f>
        <v>1201547.72</v>
      </c>
    </row>
    <row r="14" spans="1:23" x14ac:dyDescent="0.35">
      <c r="A14" s="47"/>
      <c r="B14" s="47"/>
      <c r="C14" s="47"/>
    </row>
    <row r="15" spans="1:23" x14ac:dyDescent="0.35">
      <c r="A15" s="70" t="s">
        <v>30</v>
      </c>
      <c r="B15" s="20"/>
      <c r="C15" s="21"/>
      <c r="N15" s="1"/>
      <c r="O15" s="1"/>
      <c r="P15" s="1"/>
      <c r="Q15" s="1"/>
      <c r="R15" s="1"/>
      <c r="S15" s="1"/>
      <c r="T15" s="1"/>
      <c r="U15" s="1"/>
      <c r="V15" s="1"/>
      <c r="W15" s="1"/>
    </row>
    <row r="16" spans="1:23" s="40" customFormat="1" x14ac:dyDescent="0.35">
      <c r="A16" s="312" t="s">
        <v>176</v>
      </c>
      <c r="B16" s="312"/>
      <c r="C16" s="312"/>
      <c r="D16" s="312"/>
      <c r="E16" s="312"/>
      <c r="F16" s="312"/>
      <c r="G16" s="312"/>
      <c r="H16" s="312"/>
      <c r="I16" s="312"/>
      <c r="J16" s="312"/>
      <c r="K16" s="312"/>
      <c r="L16" s="312"/>
      <c r="M16" s="312"/>
    </row>
    <row r="17" spans="1:13" s="40" customFormat="1" x14ac:dyDescent="0.35">
      <c r="A17" s="312" t="s">
        <v>177</v>
      </c>
      <c r="B17" s="312"/>
      <c r="C17" s="312"/>
      <c r="D17" s="312"/>
      <c r="E17" s="312"/>
      <c r="F17" s="312"/>
      <c r="G17" s="312"/>
      <c r="H17" s="312"/>
      <c r="I17" s="312"/>
      <c r="J17" s="312"/>
      <c r="K17" s="312"/>
      <c r="L17" s="312"/>
      <c r="M17" s="312"/>
    </row>
    <row r="29" spans="1:13" x14ac:dyDescent="0.35">
      <c r="E29" s="280"/>
    </row>
    <row r="37" spans="2:3" x14ac:dyDescent="0.35">
      <c r="B37" s="8"/>
      <c r="C37" s="8"/>
    </row>
    <row r="41" spans="2:3" x14ac:dyDescent="0.35">
      <c r="B41" s="8"/>
      <c r="C41" s="8"/>
    </row>
  </sheetData>
  <mergeCells count="3">
    <mergeCell ref="B4:C4"/>
    <mergeCell ref="A16:M16"/>
    <mergeCell ref="A17:M17"/>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8"/>
  <sheetViews>
    <sheetView workbookViewId="0">
      <selection activeCell="A15" sqref="A15"/>
    </sheetView>
  </sheetViews>
  <sheetFormatPr defaultColWidth="9.1796875" defaultRowHeight="14.5" x14ac:dyDescent="0.35"/>
  <cols>
    <col min="1" max="1" width="24.7265625" style="47" customWidth="1"/>
    <col min="2" max="2" width="16.1796875" style="47" customWidth="1"/>
    <col min="3" max="3" width="15.1796875" style="47" customWidth="1"/>
    <col min="4" max="16384" width="9.1796875" style="47"/>
  </cols>
  <sheetData>
    <row r="1" spans="1:23" x14ac:dyDescent="0.35">
      <c r="A1" s="3" t="str">
        <f>+'PPC Cycle 3'!A1</f>
        <v>Evergy Missouri West, Inc. - DSIM Rider Update Filed 06/01/2021</v>
      </c>
    </row>
    <row r="2" spans="1:23" x14ac:dyDescent="0.35">
      <c r="A2" s="9" t="str">
        <f>+'PPC Cycle 3'!A2</f>
        <v>Projections for Cycle 2 July 2021 - June 2022 DSIM</v>
      </c>
    </row>
    <row r="3" spans="1:23" x14ac:dyDescent="0.35">
      <c r="A3" s="9"/>
    </row>
    <row r="4" spans="1:23" ht="40.5" customHeight="1" x14ac:dyDescent="0.35">
      <c r="B4" s="300" t="s">
        <v>114</v>
      </c>
      <c r="C4" s="300"/>
    </row>
    <row r="5" spans="1:23" ht="29" x14ac:dyDescent="0.35">
      <c r="B5" s="153" t="s">
        <v>65</v>
      </c>
      <c r="C5" s="49" t="s">
        <v>29</v>
      </c>
    </row>
    <row r="6" spans="1:23" x14ac:dyDescent="0.35">
      <c r="A6" s="20" t="s">
        <v>24</v>
      </c>
      <c r="B6" s="24">
        <f>SUM('[2]Monthly TD Calc'!$W461:$AH461)</f>
        <v>82781283.840491906</v>
      </c>
      <c r="C6" s="87">
        <f>ROUND(SUM('[2]Monthly TD Calc'!W563:AH563),2)</f>
        <v>4713076.8499999996</v>
      </c>
    </row>
    <row r="7" spans="1:23" x14ac:dyDescent="0.35">
      <c r="A7" s="20" t="s">
        <v>108</v>
      </c>
      <c r="B7" s="24">
        <f>SUM('[2]Monthly TD Calc'!$W462:$AH462)</f>
        <v>14184992.850778418</v>
      </c>
      <c r="C7" s="87">
        <f>ROUND(SUM('[2]Monthly TD Calc'!W564:AH564),2)</f>
        <v>721616.3</v>
      </c>
    </row>
    <row r="8" spans="1:23" x14ac:dyDescent="0.35">
      <c r="A8" s="20" t="s">
        <v>109</v>
      </c>
      <c r="B8" s="24">
        <f>SUM('[2]Monthly TD Calc'!$W464:$AH464)</f>
        <v>17809833.949021664</v>
      </c>
      <c r="C8" s="87">
        <f>ROUND(SUM('[2]Monthly TD Calc'!W566:AH566),2)</f>
        <v>559164.30000000005</v>
      </c>
    </row>
    <row r="9" spans="1:23" x14ac:dyDescent="0.35">
      <c r="A9" s="20" t="s">
        <v>110</v>
      </c>
      <c r="B9" s="24">
        <f>SUM('[2]Monthly TD Calc'!$W465:$AH465)</f>
        <v>13317005.524676491</v>
      </c>
      <c r="C9" s="87">
        <f>ROUND(SUM('[2]Monthly TD Calc'!W567:AH567),2)</f>
        <v>184422</v>
      </c>
    </row>
    <row r="10" spans="1:23" x14ac:dyDescent="0.35">
      <c r="A10" s="31" t="s">
        <v>5</v>
      </c>
      <c r="B10" s="25">
        <f>SUM(B6:B9)</f>
        <v>128093116.16496848</v>
      </c>
      <c r="C10" s="25">
        <f>SUM(C6:C9)</f>
        <v>6178279.4499999993</v>
      </c>
    </row>
    <row r="12" spans="1:23" x14ac:dyDescent="0.35">
      <c r="A12" s="70" t="s">
        <v>30</v>
      </c>
      <c r="B12" s="20"/>
      <c r="C12" s="21"/>
      <c r="N12" s="1"/>
      <c r="O12" s="1"/>
      <c r="P12" s="1"/>
      <c r="Q12" s="1"/>
      <c r="R12" s="1"/>
      <c r="S12" s="1"/>
      <c r="T12" s="1"/>
      <c r="U12" s="1"/>
      <c r="V12" s="1"/>
      <c r="W12" s="1"/>
    </row>
    <row r="13" spans="1:23" s="40" customFormat="1" x14ac:dyDescent="0.35">
      <c r="A13" s="312" t="s">
        <v>178</v>
      </c>
      <c r="B13" s="312"/>
      <c r="C13" s="312"/>
      <c r="D13" s="312"/>
      <c r="E13" s="312"/>
      <c r="F13" s="312"/>
      <c r="G13" s="312"/>
      <c r="H13" s="312"/>
      <c r="I13" s="312"/>
      <c r="J13" s="312"/>
      <c r="K13" s="312"/>
      <c r="L13" s="312"/>
      <c r="M13" s="312"/>
    </row>
    <row r="14" spans="1:23" s="40" customFormat="1" x14ac:dyDescent="0.35">
      <c r="A14" s="312" t="s">
        <v>197</v>
      </c>
      <c r="B14" s="312"/>
      <c r="C14" s="312"/>
      <c r="D14" s="312"/>
      <c r="E14" s="312"/>
      <c r="F14" s="312"/>
      <c r="G14" s="312"/>
      <c r="H14" s="312"/>
      <c r="I14" s="312"/>
      <c r="J14" s="312"/>
      <c r="K14" s="312"/>
      <c r="L14" s="312"/>
      <c r="M14" s="312"/>
    </row>
    <row r="29" spans="5:5" x14ac:dyDescent="0.35">
      <c r="E29" s="280"/>
    </row>
    <row r="34" spans="2:3" x14ac:dyDescent="0.35">
      <c r="B34" s="8"/>
      <c r="C34" s="8"/>
    </row>
    <row r="38" spans="2:3" x14ac:dyDescent="0.35">
      <c r="B38" s="8"/>
      <c r="C38" s="8"/>
    </row>
  </sheetData>
  <mergeCells count="3">
    <mergeCell ref="B4:C4"/>
    <mergeCell ref="A13:M13"/>
    <mergeCell ref="A14:M14"/>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3"/>
  <sheetViews>
    <sheetView zoomScaleNormal="100" workbookViewId="0">
      <pane xSplit="1" ySplit="2" topLeftCell="N51" activePane="bottomRight" state="frozen"/>
      <selection activeCell="K4" sqref="K4"/>
      <selection pane="topRight" activeCell="K4" sqref="K4"/>
      <selection pane="bottomLeft" activeCell="K4" sqref="K4"/>
      <selection pane="bottomRight" activeCell="P1" sqref="P1:P1048576"/>
    </sheetView>
  </sheetViews>
  <sheetFormatPr defaultColWidth="9.1796875" defaultRowHeight="14.5" outlineLevelCol="1" x14ac:dyDescent="0.35"/>
  <cols>
    <col min="1" max="1" width="61.7265625" style="47" customWidth="1"/>
    <col min="2" max="2" width="12.1796875" style="47" customWidth="1"/>
    <col min="3" max="3" width="12.453125" style="47" customWidth="1"/>
    <col min="4" max="4" width="12.453125" style="47" hidden="1" customWidth="1" outlineLevel="1"/>
    <col min="5" max="5" width="15.453125" style="47" customWidth="1" collapsed="1"/>
    <col min="6" max="6" width="15.81640625" style="47" customWidth="1"/>
    <col min="7" max="7" width="12.26953125" style="47" customWidth="1"/>
    <col min="8" max="9" width="13.26953125" style="47" customWidth="1"/>
    <col min="10" max="10" width="12.26953125" style="47" bestFit="1" customWidth="1"/>
    <col min="11" max="11" width="11.54296875" style="47" bestFit="1" customWidth="1"/>
    <col min="12" max="12" width="12.81640625" style="47" customWidth="1"/>
    <col min="13" max="13" width="16" style="47" customWidth="1"/>
    <col min="14" max="14" width="15" style="47" bestFit="1" customWidth="1"/>
    <col min="15" max="15" width="16" style="47" bestFit="1"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Missouri West, Inc. - DSIM Rider Update Filed 06/01/2021</v>
      </c>
      <c r="B1" s="3"/>
      <c r="C1" s="3"/>
      <c r="D1" s="3"/>
    </row>
    <row r="2" spans="1:35" x14ac:dyDescent="0.35">
      <c r="E2" s="3" t="s">
        <v>61</v>
      </c>
    </row>
    <row r="3" spans="1:35" ht="29" x14ac:dyDescent="0.35">
      <c r="E3" s="49" t="s">
        <v>46</v>
      </c>
      <c r="F3" s="71" t="s">
        <v>71</v>
      </c>
      <c r="G3" s="71" t="s">
        <v>54</v>
      </c>
      <c r="H3" s="49" t="s">
        <v>3</v>
      </c>
      <c r="I3" s="71" t="s">
        <v>55</v>
      </c>
      <c r="J3" s="49" t="s">
        <v>10</v>
      </c>
      <c r="K3" s="49" t="s">
        <v>9</v>
      </c>
      <c r="S3" s="49"/>
    </row>
    <row r="4" spans="1:35" x14ac:dyDescent="0.35">
      <c r="A4" s="20" t="s">
        <v>24</v>
      </c>
      <c r="B4" s="20"/>
      <c r="C4" s="20"/>
      <c r="D4" s="20"/>
      <c r="E4" s="22">
        <f>SUM(C18:M18)</f>
        <v>1516402.1592999999</v>
      </c>
      <c r="F4" s="139">
        <f>N24</f>
        <v>21433573.06745258</v>
      </c>
      <c r="G4" s="22">
        <f>SUM(C30:L30)</f>
        <v>1059912.5</v>
      </c>
      <c r="H4" s="22">
        <f>G4-E4</f>
        <v>-456489.65929999994</v>
      </c>
      <c r="I4" s="22">
        <f>+B42</f>
        <v>439423.2743000004</v>
      </c>
      <c r="J4" s="22">
        <f>SUM(C47:L47)</f>
        <v>2280.6799999999998</v>
      </c>
      <c r="K4" s="26">
        <f>SUM(H4:J4)</f>
        <v>-14785.704999999543</v>
      </c>
      <c r="L4" s="48">
        <f>+K4-M42</f>
        <v>1.0186340659856796E-10</v>
      </c>
    </row>
    <row r="5" spans="1:35" ht="15" thickBot="1" x14ac:dyDescent="0.4">
      <c r="A5" s="20" t="s">
        <v>25</v>
      </c>
      <c r="B5" s="20"/>
      <c r="C5" s="20"/>
      <c r="D5" s="20"/>
      <c r="E5" s="22">
        <f>SUM(C19:M21)</f>
        <v>1133035.9574899999</v>
      </c>
      <c r="F5" s="139">
        <f>SUM(N25:N27)</f>
        <v>33911544.829023093</v>
      </c>
      <c r="G5" s="22">
        <f>SUM(C31:L33)</f>
        <v>1043571.7099999998</v>
      </c>
      <c r="H5" s="22">
        <f>G5-E5</f>
        <v>-89464.247490000096</v>
      </c>
      <c r="I5" s="22">
        <f>+B43</f>
        <v>67717.759770000004</v>
      </c>
      <c r="J5" s="22">
        <f>SUM(C48:L48)</f>
        <v>1308.32</v>
      </c>
      <c r="K5" s="26">
        <f>SUM(H5:J5)</f>
        <v>-20438.167720000092</v>
      </c>
      <c r="L5" s="48">
        <f>+K5-M43</f>
        <v>-4.7293724492192268E-11</v>
      </c>
    </row>
    <row r="6" spans="1:35" ht="15.5" thickTop="1" thickBot="1" x14ac:dyDescent="0.4">
      <c r="E6" s="28">
        <f t="shared" ref="E6" si="0">SUM(E4:E5)</f>
        <v>2649438.1167899999</v>
      </c>
      <c r="F6" s="140">
        <f t="shared" ref="F6:I6" si="1">SUM(F4:F5)</f>
        <v>55345117.896475673</v>
      </c>
      <c r="G6" s="28">
        <f t="shared" si="1"/>
        <v>2103484.21</v>
      </c>
      <c r="H6" s="28">
        <f t="shared" si="1"/>
        <v>-545953.90679000004</v>
      </c>
      <c r="I6" s="28">
        <f t="shared" si="1"/>
        <v>507141.0340700004</v>
      </c>
      <c r="J6" s="28">
        <f>SUM(J4:J5)</f>
        <v>3589</v>
      </c>
      <c r="K6" s="28">
        <f>SUM(K4:K5)</f>
        <v>-35223.872719999636</v>
      </c>
      <c r="T6" s="5"/>
    </row>
    <row r="7" spans="1:35" ht="44" thickTop="1" x14ac:dyDescent="0.35">
      <c r="K7" s="235"/>
      <c r="L7" s="234" t="s">
        <v>125</v>
      </c>
    </row>
    <row r="8" spans="1:35" x14ac:dyDescent="0.35">
      <c r="A8" s="20" t="s">
        <v>108</v>
      </c>
      <c r="K8" s="26">
        <f>ROUND($K$5*L8,2)</f>
        <v>-8013.66</v>
      </c>
      <c r="L8" s="232">
        <f>+'PCR Cycle 2'!K8</f>
        <v>0.39209287804949344</v>
      </c>
    </row>
    <row r="9" spans="1:35" x14ac:dyDescent="0.35">
      <c r="A9" s="20" t="s">
        <v>109</v>
      </c>
      <c r="K9" s="26">
        <f t="shared" ref="K9:K10" si="2">ROUND($K$5*L9,2)</f>
        <v>-9286.27</v>
      </c>
      <c r="L9" s="232">
        <f>+'PCR Cycle 2'!K9</f>
        <v>0.45435908608374953</v>
      </c>
    </row>
    <row r="10" spans="1:35" ht="15" thickBot="1" x14ac:dyDescent="0.4">
      <c r="A10" s="20" t="s">
        <v>110</v>
      </c>
      <c r="J10" s="4"/>
      <c r="K10" s="26">
        <f t="shared" si="2"/>
        <v>-3138.24</v>
      </c>
      <c r="L10" s="232">
        <f>+'PCR Cycle 2'!K10</f>
        <v>0.15354803586675725</v>
      </c>
      <c r="V10" s="4"/>
    </row>
    <row r="11" spans="1:35" ht="15.5" thickTop="1" thickBot="1" x14ac:dyDescent="0.4">
      <c r="A11" s="20" t="s">
        <v>112</v>
      </c>
      <c r="K11" s="28">
        <f>SUM(K8:K10)</f>
        <v>-20438.169999999998</v>
      </c>
      <c r="L11" s="233">
        <f>SUM(L8:L10)</f>
        <v>1.0000000000000002</v>
      </c>
      <c r="V11" s="4"/>
      <c r="W11" s="5"/>
    </row>
    <row r="12" spans="1:35" ht="15.5" thickTop="1" thickBot="1" x14ac:dyDescent="0.4">
      <c r="V12" s="4"/>
      <c r="W12" s="5"/>
    </row>
    <row r="13" spans="1:35" ht="102" thickBot="1" x14ac:dyDescent="0.4">
      <c r="B13" s="119" t="str">
        <f>+'PCR Cycle 2'!B13</f>
        <v>Cumulative Over/Under Carryover From 12/01/2021 Filing</v>
      </c>
      <c r="C13" s="154" t="str">
        <f>+'PCR Cycle 2'!C13:F13</f>
        <v>Reverse May 2021 - July 2021  Forecast From 12/01/2021 Filing</v>
      </c>
      <c r="D13" s="219"/>
      <c r="E13" s="306" t="s">
        <v>33</v>
      </c>
      <c r="F13" s="306"/>
      <c r="G13" s="307"/>
      <c r="H13" s="313" t="s">
        <v>33</v>
      </c>
      <c r="I13" s="314"/>
      <c r="J13" s="315"/>
      <c r="K13" s="302" t="s">
        <v>8</v>
      </c>
      <c r="L13" s="303"/>
      <c r="M13" s="304"/>
    </row>
    <row r="14" spans="1:35" x14ac:dyDescent="0.35">
      <c r="A14" s="47" t="s">
        <v>63</v>
      </c>
      <c r="C14" s="106"/>
      <c r="D14" s="220"/>
      <c r="E14" s="19">
        <f>+'PCR Cycle 2'!D14</f>
        <v>44165</v>
      </c>
      <c r="F14" s="19">
        <f t="shared" ref="F14:M14" si="3">EOMONTH(E14,1)</f>
        <v>44196</v>
      </c>
      <c r="G14" s="19">
        <f t="shared" si="3"/>
        <v>44227</v>
      </c>
      <c r="H14" s="14">
        <f t="shared" si="3"/>
        <v>44255</v>
      </c>
      <c r="I14" s="19">
        <f t="shared" si="3"/>
        <v>44286</v>
      </c>
      <c r="J14" s="15">
        <f t="shared" si="3"/>
        <v>44316</v>
      </c>
      <c r="K14" s="19">
        <f t="shared" si="3"/>
        <v>44347</v>
      </c>
      <c r="L14" s="19">
        <f t="shared" si="3"/>
        <v>44377</v>
      </c>
      <c r="M14" s="15">
        <f t="shared" si="3"/>
        <v>44408</v>
      </c>
      <c r="Z14" s="1"/>
      <c r="AA14" s="1"/>
      <c r="AB14" s="1"/>
      <c r="AC14" s="1"/>
      <c r="AD14" s="1"/>
      <c r="AE14" s="1"/>
      <c r="AF14" s="1"/>
      <c r="AG14" s="1"/>
      <c r="AH14" s="1"/>
      <c r="AI14" s="1"/>
    </row>
    <row r="15" spans="1:35" x14ac:dyDescent="0.35">
      <c r="A15" s="47" t="s">
        <v>5</v>
      </c>
      <c r="C15" s="200">
        <v>-630206.61</v>
      </c>
      <c r="D15" s="203">
        <f>+D30+D33</f>
        <v>0</v>
      </c>
      <c r="E15" s="110">
        <f t="shared" ref="E15:L15" si="4">SUM(E30:E33)</f>
        <v>312243.95999999996</v>
      </c>
      <c r="F15" s="110">
        <f t="shared" si="4"/>
        <v>317962.65000000002</v>
      </c>
      <c r="G15" s="111">
        <f t="shared" si="4"/>
        <v>304687.56</v>
      </c>
      <c r="H15" s="16">
        <f t="shared" si="4"/>
        <v>288155.11</v>
      </c>
      <c r="I15" s="56">
        <f t="shared" si="4"/>
        <v>314475.29000000004</v>
      </c>
      <c r="J15" s="169">
        <f t="shared" si="4"/>
        <v>305164.83</v>
      </c>
      <c r="K15" s="162">
        <f t="shared" si="4"/>
        <v>348934.06</v>
      </c>
      <c r="L15" s="79">
        <f t="shared" si="4"/>
        <v>542067.36</v>
      </c>
      <c r="M15" s="80"/>
    </row>
    <row r="16" spans="1:35" x14ac:dyDescent="0.35">
      <c r="C16" s="100"/>
      <c r="D16" s="204"/>
      <c r="E16" s="17"/>
      <c r="F16" s="17"/>
      <c r="G16" s="17"/>
      <c r="H16" s="10"/>
      <c r="I16" s="17"/>
      <c r="J16" s="11"/>
      <c r="K16" s="32"/>
      <c r="L16" s="32"/>
      <c r="M16" s="30"/>
    </row>
    <row r="17" spans="1:15" x14ac:dyDescent="0.35">
      <c r="A17" s="47" t="s">
        <v>62</v>
      </c>
      <c r="C17" s="100"/>
      <c r="D17" s="204"/>
      <c r="E17" s="18"/>
      <c r="F17" s="18"/>
      <c r="G17" s="18"/>
      <c r="H17" s="92"/>
      <c r="I17" s="18"/>
      <c r="J17" s="170"/>
      <c r="K17" s="32"/>
      <c r="L17" s="32"/>
      <c r="M17" s="30"/>
      <c r="N17" s="3" t="s">
        <v>68</v>
      </c>
      <c r="O17" s="40"/>
    </row>
    <row r="18" spans="1:15" x14ac:dyDescent="0.35">
      <c r="A18" s="47" t="s">
        <v>24</v>
      </c>
      <c r="C18" s="200">
        <v>-708370.31569999992</v>
      </c>
      <c r="D18" s="203">
        <v>0</v>
      </c>
      <c r="E18" s="137">
        <f>ROUND('[5]Nov 2020'!$F52,2)</f>
        <v>197315.54</v>
      </c>
      <c r="F18" s="137">
        <f>ROUND('[5]Dec 2020'!$F52,2)</f>
        <v>253871.27</v>
      </c>
      <c r="G18" s="137">
        <f>ROUND('[5]Jan 2021'!$F52,2)</f>
        <v>314677.13</v>
      </c>
      <c r="H18" s="16">
        <f>ROUND('[5]Feb 2021'!$F52,2)</f>
        <v>315532.19</v>
      </c>
      <c r="I18" s="122">
        <f>ROUND('[5]Mar 2021'!$F52,2)</f>
        <v>260961.46</v>
      </c>
      <c r="J18" s="174">
        <f>ROUND('[5]Apr 2021'!$F52,2)</f>
        <v>179073.12</v>
      </c>
      <c r="K18" s="124">
        <f>'PCR Cycle 2'!J26*'TDR Cycle 2'!$N18</f>
        <v>174149.90229999999</v>
      </c>
      <c r="L18" s="42">
        <f>'PCR Cycle 2'!K26*'TDR Cycle 2'!$N18</f>
        <v>220103.32054999997</v>
      </c>
      <c r="M18" s="62">
        <f>'PCR Cycle 2'!L26*'TDR Cycle 2'!$N18</f>
        <v>309088.54214999999</v>
      </c>
      <c r="N18" s="73">
        <v>8.4999999999999995E-4</v>
      </c>
      <c r="O18" s="4"/>
    </row>
    <row r="19" spans="1:15" x14ac:dyDescent="0.35">
      <c r="A19" s="47" t="s">
        <v>108</v>
      </c>
      <c r="C19" s="200">
        <v>-274709.15135999996</v>
      </c>
      <c r="D19" s="203"/>
      <c r="E19" s="137">
        <f>ROUND('[5]Nov 2020'!$F53,2)</f>
        <v>92846.93</v>
      </c>
      <c r="F19" s="137">
        <f>ROUND('[5]Dec 2020'!$F53,2)</f>
        <v>106542.25</v>
      </c>
      <c r="G19" s="137">
        <f>ROUND('[5]Jan 2021'!$F53,2)</f>
        <v>115667.55</v>
      </c>
      <c r="H19" s="16">
        <f>ROUND('[5]Feb 2021'!$F53,2)</f>
        <v>133091.75</v>
      </c>
      <c r="I19" s="122">
        <f>ROUND('[5]Mar 2021'!$F53,2)</f>
        <v>118235.69</v>
      </c>
      <c r="J19" s="174">
        <f>ROUND('[5]Apr 2021'!$F53,2)</f>
        <v>97585.24</v>
      </c>
      <c r="K19" s="124">
        <f>'PCR Cycle 2'!J27*'TDR Cycle 2'!$N19</f>
        <v>100850.61839999999</v>
      </c>
      <c r="L19" s="42">
        <f>'PCR Cycle 2'!K27*'TDR Cycle 2'!$N19</f>
        <v>112387.55247999998</v>
      </c>
      <c r="M19" s="62">
        <f>'PCR Cycle 2'!L27*'TDR Cycle 2'!$N19</f>
        <v>123686.38799999999</v>
      </c>
      <c r="N19" s="73">
        <v>1.1199999999999999E-3</v>
      </c>
      <c r="O19" s="4"/>
    </row>
    <row r="20" spans="1:15" x14ac:dyDescent="0.35">
      <c r="A20" s="47" t="s">
        <v>109</v>
      </c>
      <c r="C20" s="200">
        <v>-249120.50013999999</v>
      </c>
      <c r="D20" s="203"/>
      <c r="E20" s="137">
        <f>ROUND('[5]Nov 2020'!$F54,2)</f>
        <v>56664.69</v>
      </c>
      <c r="F20" s="137">
        <f>ROUND('[5]Dec 2020'!$F54,2)</f>
        <v>61307.55</v>
      </c>
      <c r="G20" s="137">
        <f>ROUND('[5]Jan 2021'!$F54,2)</f>
        <v>61966.69</v>
      </c>
      <c r="H20" s="16">
        <f>ROUND('[5]Feb 2021'!$F54,2)</f>
        <v>76606.210000000006</v>
      </c>
      <c r="I20" s="122">
        <f>ROUND('[5]Mar 2021'!$F54,2)</f>
        <v>65905.58</v>
      </c>
      <c r="J20" s="174">
        <f>ROUND('[5]Apr 2021'!$F54,2)</f>
        <v>59613.84</v>
      </c>
      <c r="K20" s="124">
        <f>'PCR Cycle 2'!J28*'TDR Cycle 2'!$N20</f>
        <v>60083.752810000005</v>
      </c>
      <c r="L20" s="42">
        <f>'PCR Cycle 2'!K28*'TDR Cycle 2'!$N20</f>
        <v>66957.109280000004</v>
      </c>
      <c r="M20" s="62">
        <f>'PCR Cycle 2'!L28*'TDR Cycle 2'!$N20</f>
        <v>73688.614020000008</v>
      </c>
      <c r="N20" s="73">
        <v>6.7000000000000002E-4</v>
      </c>
      <c r="O20" s="4"/>
    </row>
    <row r="21" spans="1:15" x14ac:dyDescent="0.35">
      <c r="A21" s="47" t="s">
        <v>110</v>
      </c>
      <c r="C21" s="200">
        <v>-43322.023000000001</v>
      </c>
      <c r="D21" s="203">
        <v>0</v>
      </c>
      <c r="E21" s="137">
        <f>ROUND('[5]Nov 2020'!$F55,2)</f>
        <v>12095.8</v>
      </c>
      <c r="F21" s="137">
        <f>ROUND('[5]Dec 2020'!$F55,2)</f>
        <v>12551.2</v>
      </c>
      <c r="G21" s="137">
        <f>ROUND('[5]Jan 2021'!$F55,2)</f>
        <v>11851.07</v>
      </c>
      <c r="H21" s="16">
        <f>ROUND('[5]Feb 2021'!$F55,2)</f>
        <v>11487.98</v>
      </c>
      <c r="I21" s="122">
        <f>ROUND('[5]Mar 2021'!$F55,2)</f>
        <v>12797.48</v>
      </c>
      <c r="J21" s="174">
        <f>ROUND('[5]Apr 2021'!$F55,2)</f>
        <v>13437.44</v>
      </c>
      <c r="K21" s="124">
        <f>'PCR Cycle 2'!J29*'TDR Cycle 2'!$N21</f>
        <v>12655.1438</v>
      </c>
      <c r="L21" s="42">
        <f>'PCR Cycle 2'!K29*'TDR Cycle 2'!$N21</f>
        <v>14102.844800000001</v>
      </c>
      <c r="M21" s="62">
        <f>'PCR Cycle 2'!L29*'TDR Cycle 2'!$N21</f>
        <v>15520.6684</v>
      </c>
      <c r="N21" s="73">
        <v>2.0000000000000001E-4</v>
      </c>
      <c r="O21" s="4"/>
    </row>
    <row r="22" spans="1:15" x14ac:dyDescent="0.35">
      <c r="C22" s="68"/>
      <c r="D22" s="205"/>
      <c r="E22" s="69"/>
      <c r="F22" s="69"/>
      <c r="G22" s="69"/>
      <c r="H22" s="68"/>
      <c r="I22" s="69"/>
      <c r="J22" s="172"/>
      <c r="K22" s="57"/>
      <c r="L22" s="57"/>
      <c r="M22" s="13"/>
      <c r="O22" s="4"/>
    </row>
    <row r="23" spans="1:15" x14ac:dyDescent="0.35">
      <c r="A23" s="40" t="s">
        <v>66</v>
      </c>
      <c r="B23" s="40"/>
      <c r="C23" s="68"/>
      <c r="D23" s="205"/>
      <c r="E23" s="57"/>
      <c r="F23" s="57"/>
      <c r="G23" s="57"/>
      <c r="H23" s="12"/>
      <c r="I23" s="57"/>
      <c r="J23" s="173"/>
      <c r="K23" s="57"/>
      <c r="L23" s="57"/>
      <c r="M23" s="13"/>
      <c r="N23" s="7"/>
    </row>
    <row r="24" spans="1:15" x14ac:dyDescent="0.35">
      <c r="A24" s="47" t="s">
        <v>24</v>
      </c>
      <c r="C24" s="201">
        <v>-7000439.0575250769</v>
      </c>
      <c r="D24" s="206"/>
      <c r="E24" s="112">
        <f>+'[14]Monthly TD Calc'!BF285</f>
        <v>3200897.113468044</v>
      </c>
      <c r="F24" s="112">
        <f>+'[14]Monthly TD Calc'!BG285</f>
        <v>3799541.9440570329</v>
      </c>
      <c r="G24" s="126">
        <f>+'[14]Monthly TD Calc'!BH285</f>
        <v>3808947.2597798044</v>
      </c>
      <c r="H24" s="75">
        <f>+'[14]Monthly TD Calc'!BI285</f>
        <v>3429744.2796914764</v>
      </c>
      <c r="I24" s="76">
        <f>+'[14]Monthly TD Calc'!BJ285</f>
        <v>3430127.620978653</v>
      </c>
      <c r="J24" s="174">
        <f>+'[14]Monthly TD Calc'!BK285</f>
        <v>3293328.3913969351</v>
      </c>
      <c r="K24" s="163">
        <f>+'[14]Monthly TD Calc'!BL285</f>
        <v>3622617.1364313252</v>
      </c>
      <c r="L24" s="145">
        <f>+'[14]Monthly TD Calc'!BM285</f>
        <v>3848808.3791743834</v>
      </c>
      <c r="M24" s="81"/>
      <c r="N24" s="60">
        <f>SUM(C24:L24)</f>
        <v>21433573.06745258</v>
      </c>
    </row>
    <row r="25" spans="1:15" x14ac:dyDescent="0.35">
      <c r="A25" s="47" t="s">
        <v>108</v>
      </c>
      <c r="C25" s="201">
        <v>-3561233.6505996226</v>
      </c>
      <c r="D25" s="206"/>
      <c r="E25" s="112">
        <f>+'[14]Monthly TD Calc'!BF286</f>
        <v>1783272.6144496959</v>
      </c>
      <c r="F25" s="112">
        <f>+'[14]Monthly TD Calc'!BG286</f>
        <v>1777961.0361499267</v>
      </c>
      <c r="G25" s="126">
        <f>+'[14]Monthly TD Calc'!BH286</f>
        <v>1873468.082475797</v>
      </c>
      <c r="H25" s="75">
        <f>+'[14]Monthly TD Calc'!BI286</f>
        <v>1698368.6225122809</v>
      </c>
      <c r="I25" s="76">
        <f>+'[14]Monthly TD Calc'!BJ286</f>
        <v>1918946.0571799164</v>
      </c>
      <c r="J25" s="174">
        <f>+'[14]Monthly TD Calc'!BK286</f>
        <v>1815753.348866856</v>
      </c>
      <c r="K25" s="163">
        <f>+'[14]Monthly TD Calc'!BL286</f>
        <v>1929862.7740866141</v>
      </c>
      <c r="L25" s="145">
        <f>+'[14]Monthly TD Calc'!BM286</f>
        <v>1927873.9189463556</v>
      </c>
      <c r="M25" s="81"/>
      <c r="N25" s="60">
        <f t="shared" ref="N25:N27" si="5">SUM(C25:L25)</f>
        <v>11164272.80406782</v>
      </c>
    </row>
    <row r="26" spans="1:15" x14ac:dyDescent="0.35">
      <c r="A26" s="47" t="s">
        <v>109</v>
      </c>
      <c r="C26" s="201">
        <v>-5401644.4129909221</v>
      </c>
      <c r="D26" s="206"/>
      <c r="E26" s="112">
        <f>+'[14]Monthly TD Calc'!BF288</f>
        <v>2703012.0649789949</v>
      </c>
      <c r="F26" s="112">
        <f>+'[14]Monthly TD Calc'!BG288</f>
        <v>2698632.3480119267</v>
      </c>
      <c r="G26" s="126">
        <f>+'[14]Monthly TD Calc'!BH288</f>
        <v>2841181.1069288682</v>
      </c>
      <c r="H26" s="75">
        <f>+'[14]Monthly TD Calc'!BI288</f>
        <v>2578220.7914223112</v>
      </c>
      <c r="I26" s="76">
        <f>+'[14]Monthly TD Calc'!BJ288</f>
        <v>2887637.1506296871</v>
      </c>
      <c r="J26" s="174">
        <f>+'[14]Monthly TD Calc'!BK288</f>
        <v>2733410.6486690468</v>
      </c>
      <c r="K26" s="163">
        <f>+'[14]Monthly TD Calc'!BL288</f>
        <v>2890409.8209900213</v>
      </c>
      <c r="L26" s="145">
        <f>+'[14]Monthly TD Calc'!BM288</f>
        <v>2832087.0570221478</v>
      </c>
      <c r="M26" s="81"/>
      <c r="N26" s="60">
        <f t="shared" si="5"/>
        <v>16762946.57566208</v>
      </c>
    </row>
    <row r="27" spans="1:15" x14ac:dyDescent="0.35">
      <c r="A27" s="47" t="s">
        <v>110</v>
      </c>
      <c r="C27" s="201">
        <v>-1927451.5034250501</v>
      </c>
      <c r="D27" s="206"/>
      <c r="E27" s="112">
        <f>+'[14]Monthly TD Calc'!BF289</f>
        <v>964706.0990347442</v>
      </c>
      <c r="F27" s="112">
        <f>+'[14]Monthly TD Calc'!BG289</f>
        <v>962745.40439030575</v>
      </c>
      <c r="G27" s="126">
        <f>+'[14]Monthly TD Calc'!BH289</f>
        <v>1014350.0561711908</v>
      </c>
      <c r="H27" s="75">
        <f>+'[14]Monthly TD Calc'!BI289</f>
        <v>921159.5160290671</v>
      </c>
      <c r="I27" s="76">
        <f>+'[14]Monthly TD Calc'!BJ289</f>
        <v>1031447.2065557569</v>
      </c>
      <c r="J27" s="174">
        <f>+'[14]Monthly TD Calc'!BK289</f>
        <v>975001.98970008059</v>
      </c>
      <c r="K27" s="163">
        <f>+'[14]Monthly TD Calc'!BL289</f>
        <v>1031776.4605094917</v>
      </c>
      <c r="L27" s="145">
        <f>+'[14]Monthly TD Calc'!BM289</f>
        <v>1010590.2203276039</v>
      </c>
      <c r="M27" s="81"/>
      <c r="N27" s="60">
        <f t="shared" si="5"/>
        <v>5984325.4492931906</v>
      </c>
    </row>
    <row r="28" spans="1:15" x14ac:dyDescent="0.35">
      <c r="C28" s="68"/>
      <c r="D28" s="205"/>
      <c r="E28" s="69"/>
      <c r="F28" s="69"/>
      <c r="G28" s="69"/>
      <c r="H28" s="68"/>
      <c r="I28" s="69"/>
      <c r="J28" s="172"/>
      <c r="K28" s="57"/>
      <c r="L28" s="57"/>
      <c r="M28" s="13"/>
    </row>
    <row r="29" spans="1:15" x14ac:dyDescent="0.35">
      <c r="A29" s="47" t="s">
        <v>69</v>
      </c>
      <c r="C29" s="37"/>
      <c r="D29" s="207"/>
      <c r="E29" s="38"/>
      <c r="F29" s="38"/>
      <c r="G29" s="38"/>
      <c r="H29" s="37"/>
      <c r="I29" s="38"/>
      <c r="J29" s="175"/>
      <c r="K29" s="53"/>
      <c r="L29" s="53"/>
      <c r="M29" s="39"/>
    </row>
    <row r="30" spans="1:15" x14ac:dyDescent="0.35">
      <c r="A30" s="47" t="s">
        <v>24</v>
      </c>
      <c r="C30" s="200">
        <v>-314083.53999999998</v>
      </c>
      <c r="D30" s="203"/>
      <c r="E30" s="110">
        <f>ROUND('[14]Monthly TD Calc'!BF326,2)</f>
        <v>149696.35999999999</v>
      </c>
      <c r="F30" s="110">
        <f>ROUND('[14]Monthly TD Calc'!BG326,2)</f>
        <v>164387.18</v>
      </c>
      <c r="G30" s="111">
        <f>ROUND('[14]Monthly TD Calc'!BH326,2)</f>
        <v>148508.95000000001</v>
      </c>
      <c r="H30" s="16">
        <f>ROUND('[14]Monthly TD Calc'!BI326,2)</f>
        <v>142294.95000000001</v>
      </c>
      <c r="I30" s="56">
        <f>ROUND('[14]Monthly TD Calc'!BJ326,2)</f>
        <v>149745.65</v>
      </c>
      <c r="J30" s="174">
        <f>ROUND('[14]Monthly TD Calc'!BK326,2)</f>
        <v>144221.44</v>
      </c>
      <c r="K30" s="164">
        <f>ROUND('[14]Monthly TD Calc'!BL326,2)</f>
        <v>172528.95</v>
      </c>
      <c r="L30" s="144">
        <f>ROUND('[14]Monthly TD Calc'!BM326,2)</f>
        <v>302612.56</v>
      </c>
      <c r="M30" s="80"/>
    </row>
    <row r="31" spans="1:15" x14ac:dyDescent="0.35">
      <c r="A31" s="47" t="s">
        <v>108</v>
      </c>
      <c r="C31" s="200">
        <v>-141434.35999999999</v>
      </c>
      <c r="D31" s="203"/>
      <c r="E31" s="110">
        <f>ROUND('[14]Monthly TD Calc'!BF327,2)</f>
        <v>74091.149999999994</v>
      </c>
      <c r="F31" s="110">
        <f>ROUND('[14]Monthly TD Calc'!BG327,2)</f>
        <v>67343.210000000006</v>
      </c>
      <c r="G31" s="111">
        <f>ROUND('[14]Monthly TD Calc'!BH327,2)</f>
        <v>69815.75</v>
      </c>
      <c r="H31" s="16">
        <f>ROUND('[14]Monthly TD Calc'!BI327,2)</f>
        <v>63745.35</v>
      </c>
      <c r="I31" s="56">
        <f>ROUND('[14]Monthly TD Calc'!BJ327,2)</f>
        <v>72373.05</v>
      </c>
      <c r="J31" s="174">
        <f>ROUND('[14]Monthly TD Calc'!BK327,2)</f>
        <v>74630.98</v>
      </c>
      <c r="K31" s="164">
        <f>ROUND('[14]Monthly TD Calc'!BL327,2)</f>
        <v>80341.75</v>
      </c>
      <c r="L31" s="144">
        <f>ROUND('[14]Monthly TD Calc'!BM327,2)</f>
        <v>126296.86</v>
      </c>
      <c r="M31" s="80"/>
    </row>
    <row r="32" spans="1:15" x14ac:dyDescent="0.35">
      <c r="A32" s="47" t="s">
        <v>109</v>
      </c>
      <c r="C32" s="200">
        <v>-148346.64000000001</v>
      </c>
      <c r="D32" s="203"/>
      <c r="E32" s="110">
        <f>ROUND('[14]Monthly TD Calc'!BF329,2)</f>
        <v>75716.31</v>
      </c>
      <c r="F32" s="110">
        <f>ROUND('[14]Monthly TD Calc'!BG329,2)</f>
        <v>72630.33</v>
      </c>
      <c r="G32" s="111">
        <f>ROUND('[14]Monthly TD Calc'!BH329,2)</f>
        <v>72562.78</v>
      </c>
      <c r="H32" s="16">
        <f>ROUND('[14]Monthly TD Calc'!BI329,2)</f>
        <v>69601.08</v>
      </c>
      <c r="I32" s="56">
        <f>ROUND('[14]Monthly TD Calc'!BJ329,2)</f>
        <v>78390.83</v>
      </c>
      <c r="J32" s="174">
        <f>ROUND('[14]Monthly TD Calc'!BK329,2)</f>
        <v>73632.95</v>
      </c>
      <c r="K32" s="164">
        <f>ROUND('[14]Monthly TD Calc'!BL329,2)</f>
        <v>81992.95</v>
      </c>
      <c r="L32" s="144">
        <f>ROUND('[14]Monthly TD Calc'!BM329,2)</f>
        <v>95655.97</v>
      </c>
      <c r="M32" s="80"/>
    </row>
    <row r="33" spans="1:15" x14ac:dyDescent="0.35">
      <c r="A33" s="47" t="s">
        <v>110</v>
      </c>
      <c r="C33" s="200">
        <v>-26342.07</v>
      </c>
      <c r="D33" s="203"/>
      <c r="E33" s="110">
        <f>ROUND('[14]Monthly TD Calc'!BF330,2)</f>
        <v>12740.14</v>
      </c>
      <c r="F33" s="110">
        <f>ROUND('[14]Monthly TD Calc'!BG330,2)</f>
        <v>13601.93</v>
      </c>
      <c r="G33" s="111">
        <f>ROUND('[14]Monthly TD Calc'!BH330,2)</f>
        <v>13800.08</v>
      </c>
      <c r="H33" s="16">
        <f>ROUND('[14]Monthly TD Calc'!BI330,2)</f>
        <v>12513.73</v>
      </c>
      <c r="I33" s="56">
        <f>ROUND('[14]Monthly TD Calc'!BJ330,2)</f>
        <v>13965.76</v>
      </c>
      <c r="J33" s="174">
        <f>ROUND('[14]Monthly TD Calc'!BK330,2)</f>
        <v>12679.46</v>
      </c>
      <c r="K33" s="164">
        <f>ROUND('[14]Monthly TD Calc'!BL330,2)</f>
        <v>14070.41</v>
      </c>
      <c r="L33" s="144">
        <f>ROUND('[14]Monthly TD Calc'!BM330,2)</f>
        <v>17501.97</v>
      </c>
      <c r="M33" s="80"/>
      <c r="O33" s="48"/>
    </row>
    <row r="34" spans="1:15" x14ac:dyDescent="0.35">
      <c r="C34" s="100"/>
      <c r="D34" s="204"/>
      <c r="E34" s="18"/>
      <c r="F34" s="18"/>
      <c r="G34" s="18"/>
      <c r="H34" s="92"/>
      <c r="I34" s="18"/>
      <c r="J34" s="170"/>
      <c r="K34" s="57"/>
      <c r="L34" s="57"/>
      <c r="M34" s="13"/>
    </row>
    <row r="35" spans="1:15" ht="15" thickBot="1" x14ac:dyDescent="0.4">
      <c r="A35" s="3" t="s">
        <v>15</v>
      </c>
      <c r="B35" s="3"/>
      <c r="C35" s="202">
        <v>-2564.19</v>
      </c>
      <c r="D35" s="208"/>
      <c r="E35" s="137">
        <v>1306.94</v>
      </c>
      <c r="F35" s="137">
        <v>1220</v>
      </c>
      <c r="G35" s="138">
        <v>1022.3900000000001</v>
      </c>
      <c r="H35" s="27">
        <v>758.02</v>
      </c>
      <c r="I35" s="123">
        <v>533.32000000000005</v>
      </c>
      <c r="J35" s="176">
        <v>428.89</v>
      </c>
      <c r="K35" s="165">
        <v>404.78999999999996</v>
      </c>
      <c r="L35" s="146">
        <v>478.84000000000003</v>
      </c>
      <c r="M35" s="83"/>
    </row>
    <row r="36" spans="1:15" x14ac:dyDescent="0.35">
      <c r="C36" s="65"/>
      <c r="D36" s="211"/>
      <c r="E36" s="67"/>
      <c r="F36" s="67"/>
      <c r="G36" s="34"/>
      <c r="H36" s="65"/>
      <c r="I36" s="34"/>
      <c r="J36" s="177"/>
      <c r="K36" s="35"/>
      <c r="L36" s="35"/>
      <c r="M36" s="61"/>
    </row>
    <row r="37" spans="1:15" x14ac:dyDescent="0.35">
      <c r="A37" s="47" t="s">
        <v>52</v>
      </c>
      <c r="C37" s="66"/>
      <c r="D37" s="212"/>
      <c r="E37" s="36"/>
      <c r="F37" s="36"/>
      <c r="G37" s="36"/>
      <c r="H37" s="66"/>
      <c r="I37" s="36"/>
      <c r="J37" s="178"/>
      <c r="K37" s="35"/>
      <c r="L37" s="35"/>
      <c r="M37" s="61"/>
    </row>
    <row r="38" spans="1:15" x14ac:dyDescent="0.35">
      <c r="A38" s="47" t="s">
        <v>24</v>
      </c>
      <c r="C38" s="209">
        <f t="shared" ref="C38:M38" si="6">C30-C18</f>
        <v>394286.77569999994</v>
      </c>
      <c r="D38" s="213">
        <f t="shared" si="6"/>
        <v>0</v>
      </c>
      <c r="E38" s="42">
        <f t="shared" si="6"/>
        <v>-47619.180000000022</v>
      </c>
      <c r="F38" s="42">
        <f t="shared" si="6"/>
        <v>-89484.09</v>
      </c>
      <c r="G38" s="109">
        <f t="shared" si="6"/>
        <v>-166168.18</v>
      </c>
      <c r="H38" s="41">
        <f t="shared" si="6"/>
        <v>-173237.24</v>
      </c>
      <c r="I38" s="42">
        <f t="shared" si="6"/>
        <v>-111215.81</v>
      </c>
      <c r="J38" s="62">
        <f t="shared" si="6"/>
        <v>-34851.679999999993</v>
      </c>
      <c r="K38" s="124">
        <f t="shared" si="6"/>
        <v>-1620.9522999999754</v>
      </c>
      <c r="L38" s="42">
        <f t="shared" si="6"/>
        <v>82509.239450000023</v>
      </c>
      <c r="M38" s="62">
        <f t="shared" si="6"/>
        <v>-309088.54214999999</v>
      </c>
    </row>
    <row r="39" spans="1:15" x14ac:dyDescent="0.35">
      <c r="A39" s="47" t="s">
        <v>25</v>
      </c>
      <c r="C39" s="209">
        <f>SUM(C31:C33)-SUM(C19:C21)</f>
        <v>251028.60449999996</v>
      </c>
      <c r="D39" s="213">
        <f t="shared" ref="D39:M39" si="7">SUM(D31:D33)-SUM(D19:D21)</f>
        <v>0</v>
      </c>
      <c r="E39" s="42">
        <f t="shared" si="7"/>
        <v>940.17999999999302</v>
      </c>
      <c r="F39" s="42">
        <f t="shared" si="7"/>
        <v>-26825.53</v>
      </c>
      <c r="G39" s="109">
        <f t="shared" si="7"/>
        <v>-33306.700000000012</v>
      </c>
      <c r="H39" s="41">
        <f t="shared" si="7"/>
        <v>-75325.780000000028</v>
      </c>
      <c r="I39" s="42">
        <f t="shared" si="7"/>
        <v>-32209.110000000015</v>
      </c>
      <c r="J39" s="62">
        <f t="shared" si="7"/>
        <v>-9693.1300000000338</v>
      </c>
      <c r="K39" s="124">
        <f t="shared" si="7"/>
        <v>2815.5949900000123</v>
      </c>
      <c r="L39" s="42">
        <f t="shared" si="7"/>
        <v>46007.293440000038</v>
      </c>
      <c r="M39" s="62">
        <f t="shared" si="7"/>
        <v>-212895.67042000001</v>
      </c>
    </row>
    <row r="40" spans="1:15" x14ac:dyDescent="0.35">
      <c r="C40" s="100"/>
      <c r="D40" s="204"/>
      <c r="E40" s="17"/>
      <c r="F40" s="17"/>
      <c r="G40" s="17"/>
      <c r="H40" s="10"/>
      <c r="I40" s="17"/>
      <c r="J40" s="11"/>
      <c r="K40" s="17"/>
      <c r="L40" s="17"/>
      <c r="M40" s="11"/>
    </row>
    <row r="41" spans="1:15" ht="15" thickBot="1" x14ac:dyDescent="0.4">
      <c r="A41" s="47" t="s">
        <v>53</v>
      </c>
      <c r="C41" s="100"/>
      <c r="D41" s="204"/>
      <c r="E41" s="17"/>
      <c r="F41" s="17"/>
      <c r="G41" s="17"/>
      <c r="H41" s="10"/>
      <c r="I41" s="17"/>
      <c r="J41" s="11"/>
      <c r="K41" s="17"/>
      <c r="L41" s="17"/>
      <c r="M41" s="11"/>
    </row>
    <row r="42" spans="1:15" x14ac:dyDescent="0.35">
      <c r="A42" s="47" t="s">
        <v>24</v>
      </c>
      <c r="B42" s="117">
        <v>439423.2743000004</v>
      </c>
      <c r="C42" s="209">
        <f t="shared" ref="C42:E43" si="8">+B42+C38+B47</f>
        <v>833710.05000000028</v>
      </c>
      <c r="D42" s="213">
        <f t="shared" si="8"/>
        <v>831848.80000000028</v>
      </c>
      <c r="E42" s="42">
        <f t="shared" si="8"/>
        <v>784229.62000000023</v>
      </c>
      <c r="F42" s="42">
        <f t="shared" ref="F42:M42" si="9">+E42+F38+E47</f>
        <v>695682.9500000003</v>
      </c>
      <c r="G42" s="109">
        <f t="shared" si="9"/>
        <v>530378.06000000029</v>
      </c>
      <c r="H42" s="41">
        <f t="shared" si="9"/>
        <v>357845.79000000027</v>
      </c>
      <c r="I42" s="42">
        <f t="shared" si="9"/>
        <v>247135.32000000027</v>
      </c>
      <c r="J42" s="62">
        <f t="shared" si="9"/>
        <v>212626.11000000028</v>
      </c>
      <c r="K42" s="124">
        <f t="shared" si="9"/>
        <v>211266.17770000029</v>
      </c>
      <c r="L42" s="42">
        <f t="shared" si="9"/>
        <v>294016.04715000035</v>
      </c>
      <c r="M42" s="62">
        <f t="shared" si="9"/>
        <v>-14785.704999999645</v>
      </c>
    </row>
    <row r="43" spans="1:15" ht="15" thickBot="1" x14ac:dyDescent="0.4">
      <c r="A43" s="47" t="s">
        <v>25</v>
      </c>
      <c r="B43" s="118">
        <v>67717.759770000004</v>
      </c>
      <c r="C43" s="209">
        <f t="shared" si="8"/>
        <v>318746.36426999996</v>
      </c>
      <c r="D43" s="213">
        <f t="shared" si="8"/>
        <v>318043.42426999996</v>
      </c>
      <c r="E43" s="42">
        <f t="shared" si="8"/>
        <v>318983.60426999995</v>
      </c>
      <c r="F43" s="42">
        <f t="shared" ref="F43:M43" si="10">+E43+F39+E48</f>
        <v>292527.58426999999</v>
      </c>
      <c r="G43" s="109">
        <f t="shared" si="10"/>
        <v>259577.59426999997</v>
      </c>
      <c r="H43" s="41">
        <f t="shared" si="10"/>
        <v>184569.24426999994</v>
      </c>
      <c r="I43" s="42">
        <f t="shared" si="10"/>
        <v>152612.80426999994</v>
      </c>
      <c r="J43" s="62">
        <f t="shared" si="10"/>
        <v>143110.52426999991</v>
      </c>
      <c r="K43" s="124">
        <f t="shared" si="10"/>
        <v>146093.99925999992</v>
      </c>
      <c r="L43" s="42">
        <f t="shared" si="10"/>
        <v>192265.45269999997</v>
      </c>
      <c r="M43" s="62">
        <f t="shared" si="10"/>
        <v>-20438.167720000045</v>
      </c>
    </row>
    <row r="44" spans="1:15" x14ac:dyDescent="0.35">
      <c r="C44" s="100"/>
      <c r="D44" s="204"/>
      <c r="E44" s="17"/>
      <c r="F44" s="17"/>
      <c r="G44" s="17"/>
      <c r="H44" s="10"/>
      <c r="I44" s="17"/>
      <c r="J44" s="11"/>
      <c r="K44" s="17"/>
      <c r="L44" s="17"/>
      <c r="M44" s="11"/>
    </row>
    <row r="45" spans="1:15" x14ac:dyDescent="0.35">
      <c r="A45" s="40" t="s">
        <v>124</v>
      </c>
      <c r="B45" s="40"/>
      <c r="C45" s="105"/>
      <c r="D45" s="214"/>
      <c r="E45" s="84">
        <f>+'PCR Cycle 2'!D47</f>
        <v>1.1601199999999999E-3</v>
      </c>
      <c r="F45" s="84">
        <f>+'PCR Cycle 2'!E47</f>
        <v>1.1659400000000001E-3</v>
      </c>
      <c r="G45" s="84">
        <f>+'PCR Cycle 2'!F47</f>
        <v>1.14916E-3</v>
      </c>
      <c r="H45" s="85">
        <f>+'PCR Cycle 2'!G47</f>
        <v>1.13697E-3</v>
      </c>
      <c r="I45" s="84">
        <f>+'PCR Cycle 2'!H47</f>
        <v>1.1312099999999999E-3</v>
      </c>
      <c r="J45" s="93">
        <f>+'PCR Cycle 2'!I47</f>
        <v>1.13462E-3</v>
      </c>
      <c r="K45" s="84">
        <f>+'PCR Cycle 2'!J47</f>
        <v>1.13462E-3</v>
      </c>
      <c r="L45" s="84">
        <f>+'PCR Cycle 2'!K47</f>
        <v>1.13462E-3</v>
      </c>
      <c r="M45" s="86"/>
    </row>
    <row r="46" spans="1:15" x14ac:dyDescent="0.35">
      <c r="A46" s="40" t="s">
        <v>37</v>
      </c>
      <c r="B46" s="40"/>
      <c r="C46" s="107"/>
      <c r="D46" s="215"/>
      <c r="E46" s="84"/>
      <c r="F46" s="84"/>
      <c r="G46" s="84"/>
      <c r="H46" s="85"/>
      <c r="I46" s="84"/>
      <c r="J46" s="86"/>
      <c r="K46" s="84"/>
      <c r="L46" s="84"/>
      <c r="M46" s="86"/>
    </row>
    <row r="47" spans="1:15" x14ac:dyDescent="0.35">
      <c r="A47" s="47" t="s">
        <v>24</v>
      </c>
      <c r="C47" s="209">
        <v>-1861.25</v>
      </c>
      <c r="D47" s="213"/>
      <c r="E47" s="42">
        <f>ROUND((D42+D47+E38/2)*E$45,2)</f>
        <v>937.42</v>
      </c>
      <c r="F47" s="42">
        <f t="shared" ref="F47:F48" si="11">ROUND((E42+E47+F38/2)*F$45,2)</f>
        <v>863.29</v>
      </c>
      <c r="G47" s="109">
        <f t="shared" ref="G47:G48" si="12">ROUND((F42+F47+G38/2)*G$45,2)</f>
        <v>704.97</v>
      </c>
      <c r="H47" s="41">
        <f t="shared" ref="H47:H48" si="13">ROUND((G42+G47+H38/2)*H$45,2)</f>
        <v>505.34</v>
      </c>
      <c r="I47" s="124">
        <f t="shared" ref="I47:J48" si="14">ROUND((H42+H47+I38/2)*I$45,2)</f>
        <v>342.47</v>
      </c>
      <c r="J47" s="62">
        <f t="shared" si="14"/>
        <v>261.02</v>
      </c>
      <c r="K47" s="166">
        <f t="shared" ref="K47:K48" si="15">ROUND((J42+J47+K38/2)*K$45,2)</f>
        <v>240.63</v>
      </c>
      <c r="L47" s="109">
        <f t="shared" ref="L47:L48" si="16">ROUND((K42+K47+L38/2)*L$45,2)</f>
        <v>286.79000000000002</v>
      </c>
      <c r="M47" s="62">
        <f t="shared" ref="M47:M48" si="17">ROUND((L42+L47+M38/2)*M$45,2)</f>
        <v>0</v>
      </c>
    </row>
    <row r="48" spans="1:15" ht="15" thickBot="1" x14ac:dyDescent="0.4">
      <c r="A48" s="47" t="s">
        <v>25</v>
      </c>
      <c r="C48" s="209">
        <v>-702.94</v>
      </c>
      <c r="D48" s="213"/>
      <c r="E48" s="42">
        <f>ROUND((D43+D48+E39/2)*E$45,2)</f>
        <v>369.51</v>
      </c>
      <c r="F48" s="42">
        <f t="shared" si="11"/>
        <v>356.71</v>
      </c>
      <c r="G48" s="109">
        <f t="shared" si="12"/>
        <v>317.43</v>
      </c>
      <c r="H48" s="41">
        <f t="shared" si="13"/>
        <v>252.67</v>
      </c>
      <c r="I48" s="124">
        <f t="shared" si="14"/>
        <v>190.85</v>
      </c>
      <c r="J48" s="62">
        <f t="shared" si="14"/>
        <v>167.88</v>
      </c>
      <c r="K48" s="166">
        <f t="shared" si="15"/>
        <v>164.16</v>
      </c>
      <c r="L48" s="109">
        <f t="shared" si="16"/>
        <v>192.05</v>
      </c>
      <c r="M48" s="62">
        <f t="shared" si="17"/>
        <v>0</v>
      </c>
    </row>
    <row r="49" spans="1:13" ht="15.5" thickTop="1" thickBot="1" x14ac:dyDescent="0.4">
      <c r="A49" s="55" t="s">
        <v>22</v>
      </c>
      <c r="B49" s="55"/>
      <c r="C49" s="210">
        <v>0</v>
      </c>
      <c r="D49" s="216"/>
      <c r="E49" s="43">
        <f>SUM(E47:E48)+SUM(E42:E43)-E52</f>
        <v>0</v>
      </c>
      <c r="F49" s="43">
        <f t="shared" ref="F49:M49" si="18">SUM(F47:F48)+SUM(F42:F43)-F52</f>
        <v>0</v>
      </c>
      <c r="G49" s="51">
        <f t="shared" si="18"/>
        <v>0</v>
      </c>
      <c r="H49" s="52">
        <f t="shared" si="18"/>
        <v>0</v>
      </c>
      <c r="I49" s="43">
        <f t="shared" si="18"/>
        <v>0</v>
      </c>
      <c r="J49" s="63">
        <f t="shared" si="18"/>
        <v>0</v>
      </c>
      <c r="K49" s="167">
        <f t="shared" si="18"/>
        <v>0</v>
      </c>
      <c r="L49" s="51">
        <f t="shared" si="18"/>
        <v>0</v>
      </c>
      <c r="M49" s="63">
        <f t="shared" si="18"/>
        <v>0</v>
      </c>
    </row>
    <row r="50" spans="1:13" ht="15.5" thickTop="1" thickBot="1" x14ac:dyDescent="0.4">
      <c r="A50" s="55" t="s">
        <v>23</v>
      </c>
      <c r="B50" s="55"/>
      <c r="C50" s="210">
        <v>0</v>
      </c>
      <c r="D50" s="216"/>
      <c r="E50" s="43">
        <f>SUM(E47:E48)-E35</f>
        <v>-1.0000000000218279E-2</v>
      </c>
      <c r="F50" s="43">
        <f t="shared" ref="F50:J50" si="19">SUM(F47:F48)-F35</f>
        <v>0</v>
      </c>
      <c r="G50" s="51">
        <f t="shared" ref="G50:I50" si="20">SUM(G47:G48)-G35</f>
        <v>9.9999999999909051E-3</v>
      </c>
      <c r="H50" s="52">
        <f t="shared" si="20"/>
        <v>-9.9999999999909051E-3</v>
      </c>
      <c r="I50" s="43">
        <f t="shared" si="20"/>
        <v>0</v>
      </c>
      <c r="J50" s="63">
        <f t="shared" si="19"/>
        <v>9.9999999999909051E-3</v>
      </c>
      <c r="K50" s="168">
        <f t="shared" ref="K50:M50" si="21">SUM(K47:K48)-K35</f>
        <v>0</v>
      </c>
      <c r="L50" s="43">
        <f t="shared" si="21"/>
        <v>0</v>
      </c>
      <c r="M50" s="43">
        <f t="shared" si="21"/>
        <v>0</v>
      </c>
    </row>
    <row r="51" spans="1:13" ht="15.5" thickTop="1" thickBot="1" x14ac:dyDescent="0.4">
      <c r="C51" s="100"/>
      <c r="D51" s="204"/>
      <c r="E51" s="17"/>
      <c r="F51" s="17"/>
      <c r="G51" s="17"/>
      <c r="H51" s="10"/>
      <c r="I51" s="17"/>
      <c r="J51" s="11"/>
      <c r="K51" s="17"/>
      <c r="L51" s="17"/>
      <c r="M51" s="11"/>
    </row>
    <row r="52" spans="1:13" ht="15" thickBot="1" x14ac:dyDescent="0.4">
      <c r="A52" s="47" t="s">
        <v>36</v>
      </c>
      <c r="B52" s="120">
        <f>+B42+B43</f>
        <v>507141.0340700004</v>
      </c>
      <c r="C52" s="209">
        <f t="shared" ref="C52:M52" si="22">(C15-SUM(C18:C21))+SUM(C47:C48)+B52</f>
        <v>1149892.2242700004</v>
      </c>
      <c r="D52" s="213">
        <f t="shared" si="22"/>
        <v>1149892.2242700004</v>
      </c>
      <c r="E52" s="42">
        <f t="shared" si="22"/>
        <v>1104520.1542700003</v>
      </c>
      <c r="F52" s="42">
        <f t="shared" si="22"/>
        <v>989430.53427000029</v>
      </c>
      <c r="G52" s="109">
        <f t="shared" si="22"/>
        <v>790978.05427000031</v>
      </c>
      <c r="H52" s="41">
        <f t="shared" si="22"/>
        <v>543173.0442700003</v>
      </c>
      <c r="I52" s="42">
        <f t="shared" si="22"/>
        <v>400281.44427000033</v>
      </c>
      <c r="J52" s="62">
        <f t="shared" si="22"/>
        <v>356165.53427000041</v>
      </c>
      <c r="K52" s="166">
        <f t="shared" si="22"/>
        <v>357764.9669600004</v>
      </c>
      <c r="L52" s="109">
        <f t="shared" si="22"/>
        <v>486760.33985000034</v>
      </c>
      <c r="M52" s="62">
        <f t="shared" si="22"/>
        <v>-35223.872719999694</v>
      </c>
    </row>
    <row r="53" spans="1:13" x14ac:dyDescent="0.35">
      <c r="A53" s="47" t="s">
        <v>12</v>
      </c>
      <c r="C53" s="121"/>
      <c r="D53" s="217"/>
      <c r="E53" s="17"/>
      <c r="F53" s="17"/>
      <c r="G53" s="17"/>
      <c r="H53" s="10"/>
      <c r="I53" s="17"/>
      <c r="J53" s="11"/>
      <c r="K53" s="17"/>
      <c r="L53" s="17"/>
      <c r="M53" s="11"/>
    </row>
    <row r="54" spans="1:13" ht="15" thickBot="1" x14ac:dyDescent="0.4">
      <c r="A54" s="38"/>
      <c r="B54" s="38"/>
      <c r="C54" s="149"/>
      <c r="D54" s="218"/>
      <c r="E54" s="45"/>
      <c r="F54" s="45"/>
      <c r="G54" s="45"/>
      <c r="H54" s="44"/>
      <c r="I54" s="45"/>
      <c r="J54" s="46"/>
      <c r="K54" s="45"/>
      <c r="L54" s="45"/>
      <c r="M54" s="46"/>
    </row>
    <row r="56" spans="1:13" x14ac:dyDescent="0.35">
      <c r="A56" s="70" t="s">
        <v>11</v>
      </c>
      <c r="B56" s="70"/>
      <c r="C56" s="70"/>
      <c r="D56" s="70"/>
    </row>
    <row r="57" spans="1:13" ht="34.5" customHeight="1" x14ac:dyDescent="0.35">
      <c r="A57" s="305" t="s">
        <v>179</v>
      </c>
      <c r="B57" s="305"/>
      <c r="C57" s="305"/>
      <c r="D57" s="305"/>
      <c r="E57" s="305"/>
      <c r="F57" s="305"/>
      <c r="G57" s="305"/>
      <c r="H57" s="305"/>
      <c r="I57" s="305"/>
      <c r="J57" s="305"/>
      <c r="K57" s="198"/>
      <c r="L57" s="147"/>
      <c r="M57" s="147"/>
    </row>
    <row r="58" spans="1:13" ht="42.75" customHeight="1" x14ac:dyDescent="0.35">
      <c r="A58" s="305" t="s">
        <v>180</v>
      </c>
      <c r="B58" s="305"/>
      <c r="C58" s="305"/>
      <c r="D58" s="305"/>
      <c r="E58" s="305"/>
      <c r="F58" s="305"/>
      <c r="G58" s="305"/>
      <c r="H58" s="305"/>
      <c r="I58" s="305"/>
      <c r="J58" s="305"/>
      <c r="K58" s="305"/>
      <c r="L58" s="147"/>
      <c r="M58" s="147"/>
    </row>
    <row r="59" spans="1:13" ht="33.75" customHeight="1" x14ac:dyDescent="0.35">
      <c r="A59" s="305" t="s">
        <v>181</v>
      </c>
      <c r="B59" s="305"/>
      <c r="C59" s="305"/>
      <c r="D59" s="305"/>
      <c r="E59" s="305"/>
      <c r="F59" s="305"/>
      <c r="G59" s="305"/>
      <c r="H59" s="305"/>
      <c r="I59" s="305"/>
      <c r="J59" s="305"/>
      <c r="K59" s="198"/>
      <c r="L59" s="147"/>
      <c r="M59" s="147"/>
    </row>
    <row r="60" spans="1:13" x14ac:dyDescent="0.35">
      <c r="A60" s="3" t="s">
        <v>67</v>
      </c>
      <c r="B60" s="3"/>
      <c r="C60" s="3"/>
      <c r="D60" s="3"/>
    </row>
    <row r="61" spans="1:13" x14ac:dyDescent="0.35">
      <c r="A61" s="64" t="s">
        <v>182</v>
      </c>
      <c r="B61" s="3"/>
      <c r="C61" s="3"/>
      <c r="D61" s="3"/>
    </row>
    <row r="62" spans="1:13" x14ac:dyDescent="0.35">
      <c r="A62" s="3" t="s">
        <v>70</v>
      </c>
      <c r="B62" s="3"/>
      <c r="C62" s="3"/>
      <c r="D62" s="3"/>
    </row>
    <row r="63" spans="1:13" x14ac:dyDescent="0.35">
      <c r="A63" s="3" t="s">
        <v>183</v>
      </c>
      <c r="B63" s="3"/>
      <c r="C63" s="3"/>
      <c r="D63" s="3"/>
    </row>
  </sheetData>
  <mergeCells count="6">
    <mergeCell ref="A59:J59"/>
    <mergeCell ref="E13:G13"/>
    <mergeCell ref="A57:J57"/>
    <mergeCell ref="A58:K58"/>
    <mergeCell ref="H13:J13"/>
    <mergeCell ref="K13:M13"/>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66"/>
  <sheetViews>
    <sheetView zoomScaleNormal="100" workbookViewId="0">
      <pane xSplit="1" ySplit="2" topLeftCell="G57" activePane="bottomRight" state="frozen"/>
      <selection activeCell="K4" sqref="K4"/>
      <selection pane="topRight" activeCell="K4" sqref="K4"/>
      <selection pane="bottomLeft" activeCell="K4" sqref="K4"/>
      <selection pane="bottomRight" activeCell="P1" sqref="P1:P1048576"/>
    </sheetView>
  </sheetViews>
  <sheetFormatPr defaultColWidth="9.1796875" defaultRowHeight="14.5" x14ac:dyDescent="0.35"/>
  <cols>
    <col min="1" max="1" width="61.7265625" style="47" customWidth="1"/>
    <col min="2" max="2" width="12.1796875" style="47" customWidth="1"/>
    <col min="3" max="4" width="12.453125" style="47" customWidth="1"/>
    <col min="5" max="5" width="15.453125" style="47" customWidth="1"/>
    <col min="6" max="6" width="15.81640625" style="47" customWidth="1"/>
    <col min="7" max="7" width="12.26953125" style="47" customWidth="1"/>
    <col min="8" max="9" width="13.26953125" style="47" customWidth="1"/>
    <col min="10" max="10" width="12.26953125" style="47" bestFit="1" customWidth="1"/>
    <col min="11" max="11" width="11.54296875" style="47" bestFit="1" customWidth="1"/>
    <col min="12" max="12" width="12.81640625" style="47" customWidth="1"/>
    <col min="13" max="13" width="10.7265625" style="47" bestFit="1" customWidth="1"/>
    <col min="14" max="14" width="15" style="47" bestFit="1" customWidth="1"/>
    <col min="15" max="15" width="16" style="47" bestFit="1"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Missouri West, Inc. - DSIM Rider Update Filed 06/01/2021</v>
      </c>
      <c r="B1" s="3"/>
      <c r="C1" s="3"/>
      <c r="D1" s="3"/>
    </row>
    <row r="2" spans="1:35" x14ac:dyDescent="0.35">
      <c r="E2" s="3" t="s">
        <v>140</v>
      </c>
    </row>
    <row r="3" spans="1:35" ht="29" x14ac:dyDescent="0.35">
      <c r="E3" s="49" t="s">
        <v>46</v>
      </c>
      <c r="F3" s="71" t="s">
        <v>71</v>
      </c>
      <c r="G3" s="71" t="s">
        <v>54</v>
      </c>
      <c r="H3" s="49" t="s">
        <v>3</v>
      </c>
      <c r="I3" s="71" t="s">
        <v>55</v>
      </c>
      <c r="J3" s="49" t="s">
        <v>10</v>
      </c>
      <c r="K3" s="49" t="s">
        <v>9</v>
      </c>
      <c r="S3" s="49"/>
    </row>
    <row r="4" spans="1:35" x14ac:dyDescent="0.35">
      <c r="A4" s="20" t="s">
        <v>24</v>
      </c>
      <c r="B4" s="20"/>
      <c r="C4" s="20"/>
      <c r="D4" s="20"/>
      <c r="E4" s="22">
        <f>SUM(C15:M15)</f>
        <v>1594872.01828</v>
      </c>
      <c r="F4" s="139">
        <f>N21</f>
        <v>29382032.806610726</v>
      </c>
      <c r="G4" s="22">
        <f>SUM(C27:L27)</f>
        <v>1527068.4</v>
      </c>
      <c r="H4" s="22">
        <f>G4-E4</f>
        <v>-67803.618280000053</v>
      </c>
      <c r="I4" s="22">
        <f>+B41</f>
        <v>-78887.815719999926</v>
      </c>
      <c r="J4" s="22">
        <f>SUM(C48:L48)</f>
        <v>-829.2600000000001</v>
      </c>
      <c r="K4" s="26">
        <f>SUM(H4:J4)</f>
        <v>-147520.69399999999</v>
      </c>
      <c r="L4" s="48">
        <f>+K4-M41</f>
        <v>0</v>
      </c>
    </row>
    <row r="5" spans="1:35" x14ac:dyDescent="0.35">
      <c r="A5" s="20" t="s">
        <v>108</v>
      </c>
      <c r="B5" s="20"/>
      <c r="C5" s="20"/>
      <c r="D5" s="20"/>
      <c r="E5" s="22">
        <f>SUM(C16:M16)</f>
        <v>254959.56130000003</v>
      </c>
      <c r="F5" s="139">
        <f>N22</f>
        <v>3997739.2219548929</v>
      </c>
      <c r="G5" s="22">
        <f>SUM(C28:L28)</f>
        <v>191993.97999999998</v>
      </c>
      <c r="H5" s="22">
        <f t="shared" ref="H5:H6" si="0">G5-E5</f>
        <v>-62965.581300000049</v>
      </c>
      <c r="I5" s="22">
        <f>+B42</f>
        <v>-91037.008399999992</v>
      </c>
      <c r="J5" s="22">
        <f>SUM(C49:L49)</f>
        <v>-823.2399999999999</v>
      </c>
      <c r="K5" s="26">
        <f t="shared" ref="K5:K6" si="1">SUM(H5:J5)</f>
        <v>-154825.82970000003</v>
      </c>
      <c r="L5" s="48">
        <f t="shared" ref="L5:L6" si="2">+K5-M42</f>
        <v>0</v>
      </c>
    </row>
    <row r="6" spans="1:35" x14ac:dyDescent="0.35">
      <c r="A6" s="20" t="s">
        <v>109</v>
      </c>
      <c r="B6" s="20"/>
      <c r="C6" s="20"/>
      <c r="D6" s="20"/>
      <c r="E6" s="22">
        <f>SUM(C17:M17)</f>
        <v>111868.55046999999</v>
      </c>
      <c r="F6" s="139">
        <f>N23</f>
        <v>3946902.7462504385</v>
      </c>
      <c r="G6" s="22">
        <f>SUM(C29:L29)</f>
        <v>122123.17</v>
      </c>
      <c r="H6" s="22">
        <f t="shared" si="0"/>
        <v>10254.619530000011</v>
      </c>
      <c r="I6" s="22">
        <f>+B43</f>
        <v>-66951.049140000003</v>
      </c>
      <c r="J6" s="22">
        <f>SUM(C50:L50)</f>
        <v>-328.23</v>
      </c>
      <c r="K6" s="26">
        <f t="shared" si="1"/>
        <v>-57024.659609999995</v>
      </c>
      <c r="L6" s="48">
        <f t="shared" si="2"/>
        <v>0</v>
      </c>
    </row>
    <row r="7" spans="1:35" ht="15" thickBot="1" x14ac:dyDescent="0.4">
      <c r="A7" s="20" t="s">
        <v>110</v>
      </c>
      <c r="B7" s="20"/>
      <c r="C7" s="20"/>
      <c r="D7" s="20"/>
      <c r="E7" s="22">
        <f>SUM(C18:M18)</f>
        <v>47585.565300000002</v>
      </c>
      <c r="F7" s="139">
        <f>N24</f>
        <v>3094054.2523407824</v>
      </c>
      <c r="G7" s="22">
        <f>SUM(C30:L30)</f>
        <v>41273.14</v>
      </c>
      <c r="H7" s="22">
        <f>G7-E7</f>
        <v>-6312.4253000000026</v>
      </c>
      <c r="I7" s="22">
        <f>+B44</f>
        <v>-22602.51035</v>
      </c>
      <c r="J7" s="22">
        <f>SUM(C51:L51)</f>
        <v>-144.44999999999999</v>
      </c>
      <c r="K7" s="26">
        <f>SUM(H7:J7)</f>
        <v>-29059.385650000004</v>
      </c>
      <c r="L7" s="48">
        <f>+K7-M44</f>
        <v>0</v>
      </c>
    </row>
    <row r="8" spans="1:35" ht="15.5" thickTop="1" thickBot="1" x14ac:dyDescent="0.4">
      <c r="E8" s="28">
        <f t="shared" ref="E8:K8" si="3">SUM(E4:E7)</f>
        <v>2009285.6953499997</v>
      </c>
      <c r="F8" s="140">
        <f t="shared" si="3"/>
        <v>40420729.027156845</v>
      </c>
      <c r="G8" s="28">
        <f t="shared" si="3"/>
        <v>1882458.6899999997</v>
      </c>
      <c r="H8" s="28">
        <f t="shared" si="3"/>
        <v>-126827.00535000009</v>
      </c>
      <c r="I8" s="28">
        <f t="shared" si="3"/>
        <v>-259478.3836099999</v>
      </c>
      <c r="J8" s="28">
        <f t="shared" si="3"/>
        <v>-2125.1799999999998</v>
      </c>
      <c r="K8" s="28">
        <f t="shared" si="3"/>
        <v>-388430.56896</v>
      </c>
      <c r="T8" s="5"/>
    </row>
    <row r="9" spans="1:35" ht="15.5" thickTop="1" thickBot="1" x14ac:dyDescent="0.4">
      <c r="V9" s="4"/>
      <c r="W9" s="5"/>
    </row>
    <row r="10" spans="1:35" ht="102" thickBot="1" x14ac:dyDescent="0.4">
      <c r="B10" s="119" t="str">
        <f>+'PCR Cycle 2'!B13</f>
        <v>Cumulative Over/Under Carryover From 12/01/2021 Filing</v>
      </c>
      <c r="C10" s="154" t="str">
        <f>+'PCR Cycle 2'!C13</f>
        <v>Reverse May 2021 - July 2021  Forecast From 12/01/2021 Filing</v>
      </c>
      <c r="D10" s="219"/>
      <c r="E10" s="316" t="s">
        <v>33</v>
      </c>
      <c r="F10" s="306"/>
      <c r="G10" s="307"/>
      <c r="H10" s="313" t="s">
        <v>33</v>
      </c>
      <c r="I10" s="314"/>
      <c r="J10" s="315"/>
      <c r="K10" s="302" t="s">
        <v>8</v>
      </c>
      <c r="L10" s="303"/>
      <c r="M10" s="304"/>
    </row>
    <row r="11" spans="1:35" x14ac:dyDescent="0.35">
      <c r="A11" s="47" t="s">
        <v>63</v>
      </c>
      <c r="C11" s="106"/>
      <c r="D11" s="220"/>
      <c r="E11" s="19">
        <f>+'PCR Cycle 2'!D14</f>
        <v>44165</v>
      </c>
      <c r="F11" s="19">
        <f t="shared" ref="F11:M11" si="4">EOMONTH(E11,1)</f>
        <v>44196</v>
      </c>
      <c r="G11" s="19">
        <f t="shared" si="4"/>
        <v>44227</v>
      </c>
      <c r="H11" s="14">
        <f t="shared" si="4"/>
        <v>44255</v>
      </c>
      <c r="I11" s="19">
        <f t="shared" si="4"/>
        <v>44286</v>
      </c>
      <c r="J11" s="15">
        <f t="shared" si="4"/>
        <v>44316</v>
      </c>
      <c r="K11" s="19">
        <f t="shared" si="4"/>
        <v>44347</v>
      </c>
      <c r="L11" s="19">
        <f t="shared" si="4"/>
        <v>44377</v>
      </c>
      <c r="M11" s="15">
        <f t="shared" si="4"/>
        <v>44408</v>
      </c>
      <c r="Z11" s="1"/>
      <c r="AA11" s="1"/>
      <c r="AB11" s="1"/>
      <c r="AC11" s="1"/>
      <c r="AD11" s="1"/>
      <c r="AE11" s="1"/>
      <c r="AF11" s="1"/>
      <c r="AG11" s="1"/>
      <c r="AH11" s="1"/>
      <c r="AI11" s="1"/>
    </row>
    <row r="12" spans="1:35" x14ac:dyDescent="0.35">
      <c r="A12" s="47" t="s">
        <v>5</v>
      </c>
      <c r="C12" s="200">
        <v>-439815.62</v>
      </c>
      <c r="D12" s="203"/>
      <c r="E12" s="110">
        <f t="shared" ref="E12:L12" si="5">SUM(E27:E30)</f>
        <v>193590.66999999998</v>
      </c>
      <c r="F12" s="110">
        <f t="shared" si="5"/>
        <v>219764.96</v>
      </c>
      <c r="G12" s="111">
        <f t="shared" si="5"/>
        <v>249048.03</v>
      </c>
      <c r="H12" s="16">
        <f t="shared" si="5"/>
        <v>263876.92</v>
      </c>
      <c r="I12" s="56">
        <f t="shared" si="5"/>
        <v>281624.86</v>
      </c>
      <c r="J12" s="169">
        <f t="shared" si="5"/>
        <v>289662.56</v>
      </c>
      <c r="K12" s="162">
        <f t="shared" si="5"/>
        <v>319268.62</v>
      </c>
      <c r="L12" s="79">
        <f t="shared" si="5"/>
        <v>505437.69</v>
      </c>
      <c r="M12" s="80"/>
    </row>
    <row r="13" spans="1:35" x14ac:dyDescent="0.35">
      <c r="C13" s="100"/>
      <c r="D13" s="204"/>
      <c r="E13" s="17"/>
      <c r="F13" s="17"/>
      <c r="G13" s="17"/>
      <c r="H13" s="10"/>
      <c r="I13" s="17"/>
      <c r="J13" s="11"/>
      <c r="K13" s="32"/>
      <c r="L13" s="32"/>
      <c r="M13" s="30"/>
    </row>
    <row r="14" spans="1:35" x14ac:dyDescent="0.35">
      <c r="A14" s="47" t="s">
        <v>62</v>
      </c>
      <c r="C14" s="100"/>
      <c r="D14" s="204"/>
      <c r="E14" s="18"/>
      <c r="F14" s="18"/>
      <c r="G14" s="18"/>
      <c r="H14" s="92"/>
      <c r="I14" s="18"/>
      <c r="J14" s="170"/>
      <c r="K14" s="32"/>
      <c r="L14" s="32"/>
      <c r="M14" s="30"/>
      <c r="N14" s="3" t="s">
        <v>68</v>
      </c>
      <c r="O14" s="40"/>
    </row>
    <row r="15" spans="1:35" x14ac:dyDescent="0.35">
      <c r="A15" s="47" t="s">
        <v>24</v>
      </c>
      <c r="C15" s="200">
        <v>-550028.71571999998</v>
      </c>
      <c r="D15" s="203">
        <v>0</v>
      </c>
      <c r="E15" s="137">
        <f>ROUND('[5]Nov 2020'!$F82,2)</f>
        <v>153194.39000000001</v>
      </c>
      <c r="F15" s="137">
        <f>ROUND('[5]Dec 2020'!$F82,2)</f>
        <v>197066.27</v>
      </c>
      <c r="G15" s="137">
        <f>ROUND('[5]Jan 2021'!$F82,2)</f>
        <v>244332.82</v>
      </c>
      <c r="H15" s="16">
        <f>ROUND('[5]Feb 2021'!$F82,2)</f>
        <v>419327.4</v>
      </c>
      <c r="I15" s="122">
        <f>ROUND('[5]Mar 2021'!$F82,2)</f>
        <v>346862.06</v>
      </c>
      <c r="J15" s="174">
        <f>ROUND('[5]Apr 2021'!$F82,2)</f>
        <v>237993.60000000001</v>
      </c>
      <c r="K15" s="124">
        <f>'PCR Cycle 2'!J26*'TDR Cycle 3'!$N15</f>
        <v>135222.27708</v>
      </c>
      <c r="L15" s="42">
        <f>'PCR Cycle 2'!K26*'TDR Cycle 3'!$N15</f>
        <v>170903.75477999999</v>
      </c>
      <c r="M15" s="62">
        <f>'PCR Cycle 2'!L26*'TDR Cycle 3'!$N15</f>
        <v>239998.16214</v>
      </c>
      <c r="N15" s="73">
        <v>6.6E-4</v>
      </c>
      <c r="O15" s="4"/>
    </row>
    <row r="16" spans="1:35" x14ac:dyDescent="0.35">
      <c r="A16" s="47" t="s">
        <v>108</v>
      </c>
      <c r="C16" s="200">
        <v>-73582.808399999994</v>
      </c>
      <c r="D16" s="203">
        <v>0</v>
      </c>
      <c r="E16" s="137">
        <f>ROUND('[5]Nov 2020'!$F83,2)</f>
        <v>24818.41</v>
      </c>
      <c r="F16" s="137">
        <f>ROUND('[5]Dec 2020'!$F83,2)</f>
        <v>28479.14</v>
      </c>
      <c r="G16" s="137">
        <f>ROUND('[5]Jan 2021'!$F83,2)</f>
        <v>31003.040000000001</v>
      </c>
      <c r="H16" s="16">
        <f>ROUND('[5]Feb 2021'!$F83,2)</f>
        <v>58405.16</v>
      </c>
      <c r="I16" s="122">
        <f>ROUND('[5]Mar 2021'!$F83,2)</f>
        <v>52442.46</v>
      </c>
      <c r="J16" s="174">
        <f>ROUND('[5]Apr 2021'!$F83,2)</f>
        <v>43146.51</v>
      </c>
      <c r="K16" s="124">
        <f>'PCR Cycle 2'!J27*'TDR Cycle 3'!$N16</f>
        <v>27013.558499999999</v>
      </c>
      <c r="L16" s="42">
        <f>'PCR Cycle 2'!K27*'TDR Cycle 3'!$N16</f>
        <v>30103.808699999998</v>
      </c>
      <c r="M16" s="62">
        <f>'PCR Cycle 2'!L27*'TDR Cycle 3'!$N16</f>
        <v>33130.282499999994</v>
      </c>
      <c r="N16" s="73">
        <v>2.9999999999999997E-4</v>
      </c>
      <c r="O16" s="4"/>
    </row>
    <row r="17" spans="1:15" x14ac:dyDescent="0.35">
      <c r="A17" s="47" t="s">
        <v>109</v>
      </c>
      <c r="C17" s="200">
        <v>-63209.679140000007</v>
      </c>
      <c r="D17" s="203">
        <v>0</v>
      </c>
      <c r="E17" s="137">
        <f>ROUND('[5]Nov 2020'!$F84,2)</f>
        <v>14344.07</v>
      </c>
      <c r="F17" s="137">
        <f>ROUND('[5]Dec 2020'!$F84,2)</f>
        <v>15517.93</v>
      </c>
      <c r="G17" s="137">
        <f>ROUND('[5]Jan 2021'!$F84,2)</f>
        <v>15687.95</v>
      </c>
      <c r="H17" s="16">
        <f>ROUND('[5]Feb 2021'!$F84,2)</f>
        <v>28938.01</v>
      </c>
      <c r="I17" s="122">
        <f>ROUND('[5]Mar 2021'!$F84,2)</f>
        <v>26041.03</v>
      </c>
      <c r="J17" s="174">
        <f>ROUND('[5]Apr 2021'!$F84,2)</f>
        <v>23617.88</v>
      </c>
      <c r="K17" s="124">
        <f>'PCR Cycle 2'!J28*'TDR Cycle 3'!$N17</f>
        <v>15245.131310000001</v>
      </c>
      <c r="L17" s="42">
        <f>'PCR Cycle 2'!K28*'TDR Cycle 3'!$N17</f>
        <v>16989.117280000002</v>
      </c>
      <c r="M17" s="62">
        <f>'PCR Cycle 2'!L28*'TDR Cycle 3'!$N17</f>
        <v>18697.11102</v>
      </c>
      <c r="N17" s="73">
        <v>1.7000000000000001E-4</v>
      </c>
      <c r="O17" s="4"/>
    </row>
    <row r="18" spans="1:15" x14ac:dyDescent="0.35">
      <c r="A18" s="47" t="s">
        <v>110</v>
      </c>
      <c r="C18" s="200">
        <v>-19494.910350000002</v>
      </c>
      <c r="D18" s="203">
        <v>0</v>
      </c>
      <c r="E18" s="137">
        <f>ROUND('[5]Nov 2020'!$F85,2)</f>
        <v>5420.2</v>
      </c>
      <c r="F18" s="137">
        <f>ROUND('[5]Dec 2020'!$F85,2)</f>
        <v>5627</v>
      </c>
      <c r="G18" s="137">
        <f>ROUND('[5]Jan 2021'!$F85,2)</f>
        <v>5341.48</v>
      </c>
      <c r="H18" s="16">
        <f>ROUND('[5]Feb 2021'!$F85,2)</f>
        <v>9975.93</v>
      </c>
      <c r="I18" s="122">
        <f>ROUND('[5]Mar 2021'!$F85,2)</f>
        <v>10639.11</v>
      </c>
      <c r="J18" s="174">
        <f>ROUND('[5]Apr 2021'!$F85,2)</f>
        <v>11051.36</v>
      </c>
      <c r="K18" s="124">
        <f>'PCR Cycle 2'!J29*'TDR Cycle 3'!$N18</f>
        <v>5694.8147100000006</v>
      </c>
      <c r="L18" s="42">
        <f>'PCR Cycle 2'!K29*'TDR Cycle 3'!$N18</f>
        <v>6346.2801600000003</v>
      </c>
      <c r="M18" s="62">
        <f>'PCR Cycle 2'!L29*'TDR Cycle 3'!$N18</f>
        <v>6984.3007800000005</v>
      </c>
      <c r="N18" s="73">
        <v>9.0000000000000006E-5</v>
      </c>
      <c r="O18" s="4"/>
    </row>
    <row r="19" spans="1:15" x14ac:dyDescent="0.35">
      <c r="C19" s="68"/>
      <c r="D19" s="205"/>
      <c r="E19" s="69"/>
      <c r="F19" s="69"/>
      <c r="G19" s="69"/>
      <c r="H19" s="68"/>
      <c r="I19" s="69"/>
      <c r="J19" s="172"/>
      <c r="K19" s="57"/>
      <c r="L19" s="57"/>
      <c r="M19" s="13"/>
      <c r="O19" s="4"/>
    </row>
    <row r="20" spans="1:15" x14ac:dyDescent="0.35">
      <c r="A20" s="40" t="s">
        <v>66</v>
      </c>
      <c r="B20" s="40"/>
      <c r="C20" s="68"/>
      <c r="D20" s="205"/>
      <c r="E20" s="57"/>
      <c r="F20" s="57"/>
      <c r="G20" s="57"/>
      <c r="H20" s="12"/>
      <c r="I20" s="57"/>
      <c r="J20" s="173"/>
      <c r="K20" s="57"/>
      <c r="L20" s="57"/>
      <c r="M20" s="13"/>
      <c r="N20" s="7"/>
    </row>
    <row r="21" spans="1:15" x14ac:dyDescent="0.35">
      <c r="A21" s="47" t="s">
        <v>24</v>
      </c>
      <c r="C21" s="201">
        <v>-7494285.6902379952</v>
      </c>
      <c r="D21" s="206"/>
      <c r="E21" s="112">
        <f>+'[15]Monthly TD Calc'!O460</f>
        <v>3188503.8758270754</v>
      </c>
      <c r="F21" s="112">
        <f>+'[15]Monthly TD Calc'!P460</f>
        <v>3927661.8332807384</v>
      </c>
      <c r="G21" s="126">
        <f>+'[15]Monthly TD Calc'!Q460</f>
        <v>4832076.5407923982</v>
      </c>
      <c r="H21" s="75">
        <f>+'[15]Monthly TD Calc'!R460</f>
        <v>4910735.5750901196</v>
      </c>
      <c r="I21" s="76">
        <f>+'[15]Monthly TD Calc'!S460</f>
        <v>4918618.545193118</v>
      </c>
      <c r="J21" s="174">
        <f>+'[15]Monthly TD Calc'!T460</f>
        <v>5039497.929387019</v>
      </c>
      <c r="K21" s="163">
        <f>+'[2]Monthly TD Calc'!U461</f>
        <v>5082452.824321663</v>
      </c>
      <c r="L21" s="145">
        <f>+'[2]Monthly TD Calc'!V461</f>
        <v>4976771.3729565898</v>
      </c>
      <c r="M21" s="81"/>
      <c r="N21" s="60">
        <f>SUM(C21:L21)</f>
        <v>29382032.806610726</v>
      </c>
    </row>
    <row r="22" spans="1:15" x14ac:dyDescent="0.35">
      <c r="A22" s="47" t="s">
        <v>108</v>
      </c>
      <c r="C22" s="201">
        <v>-865551.86243725335</v>
      </c>
      <c r="D22" s="206"/>
      <c r="E22" s="112">
        <f>+'[15]Monthly TD Calc'!O461</f>
        <v>373271.59245975962</v>
      </c>
      <c r="F22" s="112">
        <f>+'[15]Monthly TD Calc'!P461</f>
        <v>491255.79843460862</v>
      </c>
      <c r="G22" s="126">
        <f>+'[15]Monthly TD Calc'!Q461</f>
        <v>619322.74834897532</v>
      </c>
      <c r="H22" s="75">
        <f>+'[15]Monthly TD Calc'!R461</f>
        <v>571978.76190368109</v>
      </c>
      <c r="I22" s="76">
        <f>+'[15]Monthly TD Calc'!S461</f>
        <v>663705.62904136826</v>
      </c>
      <c r="J22" s="174">
        <f>+'[15]Monthly TD Calc'!T461</f>
        <v>658827.38580401533</v>
      </c>
      <c r="K22" s="163">
        <f>+'[2]Monthly TD Calc'!U462</f>
        <v>734636.28496782621</v>
      </c>
      <c r="L22" s="145">
        <f>+'[2]Monthly TD Calc'!V462</f>
        <v>750292.88343191193</v>
      </c>
      <c r="M22" s="81"/>
      <c r="N22" s="60">
        <f t="shared" ref="N22:N24" si="6">SUM(C22:L22)</f>
        <v>3997739.2219548929</v>
      </c>
    </row>
    <row r="23" spans="1:15" x14ac:dyDescent="0.35">
      <c r="A23" s="47" t="s">
        <v>109</v>
      </c>
      <c r="C23" s="201">
        <v>-980427.55912581808</v>
      </c>
      <c r="D23" s="206"/>
      <c r="E23" s="112">
        <f>+'[15]Monthly TD Calc'!O463</f>
        <v>375329.92698194372</v>
      </c>
      <c r="F23" s="112">
        <f>+'[15]Monthly TD Calc'!P463</f>
        <v>465602.64434255101</v>
      </c>
      <c r="G23" s="126">
        <f>+'[15]Monthly TD Calc'!Q463</f>
        <v>572129.26836081059</v>
      </c>
      <c r="H23" s="75">
        <f>+'[15]Monthly TD Calc'!R463</f>
        <v>552695.76358674595</v>
      </c>
      <c r="I23" s="76">
        <f>+'[15]Monthly TD Calc'!S463</f>
        <v>657419.4349375423</v>
      </c>
      <c r="J23" s="174">
        <f>+'[15]Monthly TD Calc'!T463</f>
        <v>672136.2094425871</v>
      </c>
      <c r="K23" s="163">
        <f>+'[2]Monthly TD Calc'!U464</f>
        <v>797115.2879127101</v>
      </c>
      <c r="L23" s="145">
        <f>+'[2]Monthly TD Calc'!V464</f>
        <v>834901.76981136564</v>
      </c>
      <c r="M23" s="81"/>
      <c r="N23" s="60">
        <f t="shared" si="6"/>
        <v>3946902.7462504385</v>
      </c>
    </row>
    <row r="24" spans="1:15" x14ac:dyDescent="0.35">
      <c r="A24" s="47" t="s">
        <v>110</v>
      </c>
      <c r="C24" s="201">
        <v>-1106671.909243661</v>
      </c>
      <c r="D24" s="206"/>
      <c r="E24" s="112">
        <f>+'[15]Monthly TD Calc'!O464</f>
        <v>464908.49341948499</v>
      </c>
      <c r="F24" s="112">
        <f>+'[15]Monthly TD Calc'!P464</f>
        <v>489450.57403128548</v>
      </c>
      <c r="G24" s="126">
        <f>+'[15]Monthly TD Calc'!Q464</f>
        <v>529732.34423795016</v>
      </c>
      <c r="H24" s="75">
        <f>+'[15]Monthly TD Calc'!R464</f>
        <v>479141.61904915213</v>
      </c>
      <c r="I24" s="76">
        <f>+'[15]Monthly TD Calc'!S464</f>
        <v>532248.30581992259</v>
      </c>
      <c r="J24" s="174">
        <f>+'[15]Monthly TD Calc'!T464</f>
        <v>512985.64564548893</v>
      </c>
      <c r="K24" s="163">
        <f>+'[2]Monthly TD Calc'!U465</f>
        <v>580655.83852932288</v>
      </c>
      <c r="L24" s="145">
        <f>+'[2]Monthly TD Calc'!V465</f>
        <v>611603.34085183637</v>
      </c>
      <c r="M24" s="81"/>
      <c r="N24" s="60">
        <f t="shared" si="6"/>
        <v>3094054.2523407824</v>
      </c>
    </row>
    <row r="25" spans="1:15" x14ac:dyDescent="0.35">
      <c r="C25" s="68"/>
      <c r="D25" s="205"/>
      <c r="E25" s="69"/>
      <c r="F25" s="69"/>
      <c r="G25" s="69"/>
      <c r="H25" s="68"/>
      <c r="I25" s="69"/>
      <c r="J25" s="172"/>
      <c r="K25" s="57"/>
      <c r="L25" s="57"/>
      <c r="M25" s="13"/>
    </row>
    <row r="26" spans="1:15" x14ac:dyDescent="0.35">
      <c r="A26" s="47" t="s">
        <v>69</v>
      </c>
      <c r="C26" s="37"/>
      <c r="D26" s="207"/>
      <c r="E26" s="38"/>
      <c r="F26" s="38"/>
      <c r="G26" s="38"/>
      <c r="H26" s="37"/>
      <c r="I26" s="38"/>
      <c r="J26" s="175"/>
      <c r="K26" s="53"/>
      <c r="L26" s="53"/>
      <c r="M26" s="39"/>
    </row>
    <row r="27" spans="1:15" x14ac:dyDescent="0.35">
      <c r="A27" s="47" t="s">
        <v>24</v>
      </c>
      <c r="C27" s="200">
        <v>-360694.18000000005</v>
      </c>
      <c r="D27" s="203"/>
      <c r="E27" s="110">
        <f>ROUND('[15]Monthly TD Calc'!O562,2)</f>
        <v>159746.76999999999</v>
      </c>
      <c r="F27" s="110">
        <f>ROUND('[15]Monthly TD Calc'!P562,2)</f>
        <v>179874.46</v>
      </c>
      <c r="G27" s="111">
        <f>ROUND('[15]Monthly TD Calc'!Q562,2)</f>
        <v>201597.33</v>
      </c>
      <c r="H27" s="16">
        <f>ROUND('[15]Monthly TD Calc'!R562,2)</f>
        <v>218596.21</v>
      </c>
      <c r="I27" s="56">
        <f>ROUND('[15]Monthly TD Calc'!S562,2)</f>
        <v>228396.21</v>
      </c>
      <c r="J27" s="260">
        <f>ROUND('[15]Monthly TD Calc'!T562,2)</f>
        <v>234449.2</v>
      </c>
      <c r="K27" s="164">
        <f>ROUND('[2]Monthly TD Calc'!U563,2)</f>
        <v>254148.15</v>
      </c>
      <c r="L27" s="144">
        <f>ROUND('[2]Monthly TD Calc'!V563,2)</f>
        <v>410954.25</v>
      </c>
      <c r="M27" s="80"/>
    </row>
    <row r="28" spans="1:15" x14ac:dyDescent="0.35">
      <c r="A28" s="47" t="s">
        <v>108</v>
      </c>
      <c r="C28" s="200">
        <v>-36956.93</v>
      </c>
      <c r="D28" s="203"/>
      <c r="E28" s="110">
        <f>ROUND('[15]Monthly TD Calc'!O563,2)</f>
        <v>16847.37</v>
      </c>
      <c r="F28" s="110">
        <f>ROUND('[15]Monthly TD Calc'!P563,2)</f>
        <v>20121.03</v>
      </c>
      <c r="G28" s="111">
        <f>ROUND('[15]Monthly TD Calc'!Q563,2)</f>
        <v>25049.62</v>
      </c>
      <c r="H28" s="16">
        <f>ROUND('[15]Monthly TD Calc'!R563,2)</f>
        <v>23280.41</v>
      </c>
      <c r="I28" s="56">
        <f>ROUND('[15]Monthly TD Calc'!S563,2)</f>
        <v>27223.040000000001</v>
      </c>
      <c r="J28" s="260">
        <f>ROUND('[15]Monthly TD Calc'!T563,2)</f>
        <v>29468.42</v>
      </c>
      <c r="K28" s="164">
        <f>ROUND('[2]Monthly TD Calc'!U564,2)</f>
        <v>33282.589999999997</v>
      </c>
      <c r="L28" s="144">
        <f>ROUND('[2]Monthly TD Calc'!V564,2)</f>
        <v>53678.43</v>
      </c>
      <c r="M28" s="80"/>
    </row>
    <row r="29" spans="1:15" x14ac:dyDescent="0.35">
      <c r="A29" s="47" t="s">
        <v>109</v>
      </c>
      <c r="C29" s="200">
        <v>-28837.95</v>
      </c>
      <c r="D29" s="203"/>
      <c r="E29" s="110">
        <f>ROUND('[15]Monthly TD Calc'!O565,2)</f>
        <v>11468.25</v>
      </c>
      <c r="F29" s="110">
        <f>ROUND('[15]Monthly TD Calc'!P565,2)</f>
        <v>13539.51</v>
      </c>
      <c r="G29" s="111">
        <f>ROUND('[15]Monthly TD Calc'!Q565,2)</f>
        <v>15762.85</v>
      </c>
      <c r="H29" s="16">
        <f>ROUND('[15]Monthly TD Calc'!R565,2)</f>
        <v>16063.04</v>
      </c>
      <c r="I29" s="56">
        <f>ROUND('[15]Monthly TD Calc'!S565,2)</f>
        <v>19290.25</v>
      </c>
      <c r="J29" s="260">
        <f>ROUND('[15]Monthly TD Calc'!T565,2)</f>
        <v>19559.240000000002</v>
      </c>
      <c r="K29" s="164">
        <f>ROUND('[2]Monthly TD Calc'!U566,2)</f>
        <v>24446.12</v>
      </c>
      <c r="L29" s="144">
        <f>ROUND('[2]Monthly TD Calc'!V566,2)</f>
        <v>30831.86</v>
      </c>
      <c r="M29" s="80"/>
    </row>
    <row r="30" spans="1:15" x14ac:dyDescent="0.35">
      <c r="A30" s="47" t="s">
        <v>110</v>
      </c>
      <c r="C30" s="200">
        <v>-13326.56</v>
      </c>
      <c r="D30" s="203"/>
      <c r="E30" s="110">
        <f>ROUND('[15]Monthly TD Calc'!O566,2)</f>
        <v>5528.28</v>
      </c>
      <c r="F30" s="110">
        <f>ROUND('[15]Monthly TD Calc'!P566,2)</f>
        <v>6229.96</v>
      </c>
      <c r="G30" s="111">
        <f>ROUND('[15]Monthly TD Calc'!Q566,2)</f>
        <v>6638.23</v>
      </c>
      <c r="H30" s="16">
        <f>ROUND('[15]Monthly TD Calc'!R566,2)</f>
        <v>5937.26</v>
      </c>
      <c r="I30" s="56">
        <f>ROUND('[15]Monthly TD Calc'!S566,2)</f>
        <v>6715.36</v>
      </c>
      <c r="J30" s="260">
        <f>ROUND('[15]Monthly TD Calc'!T566,2)</f>
        <v>6185.7</v>
      </c>
      <c r="K30" s="164">
        <f>ROUND('[2]Monthly TD Calc'!U567,2)</f>
        <v>7391.76</v>
      </c>
      <c r="L30" s="144">
        <f>ROUND('[2]Monthly TD Calc'!V567,2)</f>
        <v>9973.15</v>
      </c>
      <c r="M30" s="80"/>
      <c r="O30" s="48"/>
    </row>
    <row r="31" spans="1:15" x14ac:dyDescent="0.35">
      <c r="C31" s="100"/>
      <c r="D31" s="204"/>
      <c r="E31" s="18"/>
      <c r="F31" s="18"/>
      <c r="G31" s="18"/>
      <c r="H31" s="92"/>
      <c r="I31" s="18"/>
      <c r="J31" s="170"/>
      <c r="K31" s="57"/>
      <c r="L31" s="57"/>
      <c r="M31" s="13"/>
    </row>
    <row r="32" spans="1:15" ht="15" thickBot="1" x14ac:dyDescent="0.4">
      <c r="A32" s="3" t="s">
        <v>15</v>
      </c>
      <c r="B32" s="3"/>
      <c r="C32" s="202">
        <v>-67.600000000000009</v>
      </c>
      <c r="D32" s="208">
        <v>0.14999999999999947</v>
      </c>
      <c r="E32" s="137">
        <v>5.6400000000000077</v>
      </c>
      <c r="F32" s="137">
        <v>-12.45</v>
      </c>
      <c r="G32" s="138">
        <v>-54.96</v>
      </c>
      <c r="H32" s="27">
        <v>-225.03</v>
      </c>
      <c r="I32" s="123">
        <v>-454.41999999999996</v>
      </c>
      <c r="J32" s="176">
        <v>-558.70000000000005</v>
      </c>
      <c r="K32" s="165">
        <v>-496.96999999999997</v>
      </c>
      <c r="L32" s="146">
        <v>-260.85000000000002</v>
      </c>
      <c r="M32" s="83"/>
    </row>
    <row r="33" spans="1:13" x14ac:dyDescent="0.35">
      <c r="C33" s="65"/>
      <c r="D33" s="211"/>
      <c r="E33" s="67"/>
      <c r="F33" s="67"/>
      <c r="G33" s="34"/>
      <c r="H33" s="65"/>
      <c r="I33" s="34"/>
      <c r="J33" s="177"/>
      <c r="K33" s="35"/>
      <c r="L33" s="35"/>
      <c r="M33" s="61"/>
    </row>
    <row r="34" spans="1:13" x14ac:dyDescent="0.35">
      <c r="A34" s="47" t="s">
        <v>52</v>
      </c>
      <c r="C34" s="66"/>
      <c r="D34" s="212"/>
      <c r="E34" s="36"/>
      <c r="F34" s="36"/>
      <c r="G34" s="36"/>
      <c r="H34" s="66"/>
      <c r="I34" s="36"/>
      <c r="J34" s="178"/>
      <c r="K34" s="35"/>
      <c r="L34" s="35"/>
      <c r="M34" s="61"/>
    </row>
    <row r="35" spans="1:13" x14ac:dyDescent="0.35">
      <c r="A35" s="47" t="s">
        <v>24</v>
      </c>
      <c r="C35" s="209">
        <f t="shared" ref="C35:M35" si="7">C27-C15</f>
        <v>189334.53571999993</v>
      </c>
      <c r="D35" s="213">
        <f t="shared" si="7"/>
        <v>0</v>
      </c>
      <c r="E35" s="42">
        <f t="shared" si="7"/>
        <v>6552.3799999999756</v>
      </c>
      <c r="F35" s="42">
        <f t="shared" si="7"/>
        <v>-17191.809999999998</v>
      </c>
      <c r="G35" s="109">
        <f t="shared" si="7"/>
        <v>-42735.49000000002</v>
      </c>
      <c r="H35" s="41">
        <f t="shared" si="7"/>
        <v>-200731.19000000003</v>
      </c>
      <c r="I35" s="42">
        <f t="shared" si="7"/>
        <v>-118465.85</v>
      </c>
      <c r="J35" s="62">
        <f t="shared" si="7"/>
        <v>-3544.3999999999942</v>
      </c>
      <c r="K35" s="124">
        <f t="shared" si="7"/>
        <v>118925.87291999999</v>
      </c>
      <c r="L35" s="42">
        <f t="shared" si="7"/>
        <v>240050.49522000001</v>
      </c>
      <c r="M35" s="62">
        <f t="shared" si="7"/>
        <v>-239998.16214</v>
      </c>
    </row>
    <row r="36" spans="1:13" x14ac:dyDescent="0.35">
      <c r="A36" s="47" t="s">
        <v>108</v>
      </c>
      <c r="C36" s="209">
        <f t="shared" ref="C36:M36" si="8">C28-C16</f>
        <v>36625.878399999994</v>
      </c>
      <c r="D36" s="213">
        <f t="shared" si="8"/>
        <v>0</v>
      </c>
      <c r="E36" s="42">
        <f t="shared" si="8"/>
        <v>-7971.0400000000009</v>
      </c>
      <c r="F36" s="42">
        <f t="shared" si="8"/>
        <v>-8358.11</v>
      </c>
      <c r="G36" s="109">
        <f t="shared" si="8"/>
        <v>-5953.4200000000019</v>
      </c>
      <c r="H36" s="41">
        <f t="shared" si="8"/>
        <v>-35124.75</v>
      </c>
      <c r="I36" s="42">
        <f t="shared" si="8"/>
        <v>-25219.42</v>
      </c>
      <c r="J36" s="62">
        <f t="shared" si="8"/>
        <v>-13678.090000000004</v>
      </c>
      <c r="K36" s="124">
        <f t="shared" si="8"/>
        <v>6269.0314999999973</v>
      </c>
      <c r="L36" s="42">
        <f t="shared" si="8"/>
        <v>23574.621300000003</v>
      </c>
      <c r="M36" s="62">
        <f t="shared" si="8"/>
        <v>-33130.282499999994</v>
      </c>
    </row>
    <row r="37" spans="1:13" x14ac:dyDescent="0.35">
      <c r="A37" s="47" t="s">
        <v>109</v>
      </c>
      <c r="C37" s="209">
        <f t="shared" ref="C37:M37" si="9">C29-C17</f>
        <v>34371.72914000001</v>
      </c>
      <c r="D37" s="213">
        <f t="shared" si="9"/>
        <v>0</v>
      </c>
      <c r="E37" s="42">
        <f t="shared" si="9"/>
        <v>-2875.8199999999997</v>
      </c>
      <c r="F37" s="42">
        <f t="shared" si="9"/>
        <v>-1978.42</v>
      </c>
      <c r="G37" s="109">
        <f t="shared" si="9"/>
        <v>74.899999999999636</v>
      </c>
      <c r="H37" s="41">
        <f t="shared" si="9"/>
        <v>-12874.969999999998</v>
      </c>
      <c r="I37" s="42">
        <f t="shared" si="9"/>
        <v>-6750.7799999999988</v>
      </c>
      <c r="J37" s="62">
        <f t="shared" si="9"/>
        <v>-4058.6399999999994</v>
      </c>
      <c r="K37" s="124">
        <f t="shared" si="9"/>
        <v>9200.9886899999983</v>
      </c>
      <c r="L37" s="42">
        <f t="shared" si="9"/>
        <v>13842.742719999998</v>
      </c>
      <c r="M37" s="62">
        <f t="shared" si="9"/>
        <v>-18697.11102</v>
      </c>
    </row>
    <row r="38" spans="1:13" x14ac:dyDescent="0.35">
      <c r="A38" s="47" t="s">
        <v>110</v>
      </c>
      <c r="C38" s="209">
        <f t="shared" ref="C38:M38" si="10">C30-C18</f>
        <v>6168.3503500000024</v>
      </c>
      <c r="D38" s="213">
        <f t="shared" si="10"/>
        <v>0</v>
      </c>
      <c r="E38" s="42">
        <f t="shared" si="10"/>
        <v>108.07999999999993</v>
      </c>
      <c r="F38" s="42">
        <f t="shared" si="10"/>
        <v>602.96</v>
      </c>
      <c r="G38" s="109">
        <f t="shared" si="10"/>
        <v>1296.75</v>
      </c>
      <c r="H38" s="41">
        <f t="shared" si="10"/>
        <v>-4038.67</v>
      </c>
      <c r="I38" s="42">
        <f t="shared" si="10"/>
        <v>-3923.7500000000009</v>
      </c>
      <c r="J38" s="62">
        <f t="shared" si="10"/>
        <v>-4865.6600000000008</v>
      </c>
      <c r="K38" s="124">
        <f t="shared" si="10"/>
        <v>1696.9452899999997</v>
      </c>
      <c r="L38" s="42">
        <f t="shared" si="10"/>
        <v>3626.8698399999994</v>
      </c>
      <c r="M38" s="62">
        <f t="shared" si="10"/>
        <v>-6984.3007800000005</v>
      </c>
    </row>
    <row r="39" spans="1:13" x14ac:dyDescent="0.35">
      <c r="C39" s="100"/>
      <c r="D39" s="204"/>
      <c r="E39" s="17"/>
      <c r="F39" s="17"/>
      <c r="G39" s="17"/>
      <c r="H39" s="10"/>
      <c r="I39" s="17"/>
      <c r="J39" s="11"/>
      <c r="K39" s="17"/>
      <c r="L39" s="17"/>
      <c r="M39" s="11"/>
    </row>
    <row r="40" spans="1:13" ht="15" thickBot="1" x14ac:dyDescent="0.4">
      <c r="A40" s="47" t="s">
        <v>53</v>
      </c>
      <c r="C40" s="100"/>
      <c r="D40" s="204"/>
      <c r="E40" s="17"/>
      <c r="F40" s="17"/>
      <c r="G40" s="17"/>
      <c r="H40" s="10"/>
      <c r="I40" s="17"/>
      <c r="J40" s="11"/>
      <c r="K40" s="17"/>
      <c r="L40" s="17"/>
      <c r="M40" s="11"/>
    </row>
    <row r="41" spans="1:13" x14ac:dyDescent="0.35">
      <c r="A41" s="47" t="s">
        <v>24</v>
      </c>
      <c r="B41" s="117">
        <v>-78887.815719999926</v>
      </c>
      <c r="C41" s="209">
        <f t="shared" ref="C41:M41" si="11">+B41+C35+B48</f>
        <v>110446.72</v>
      </c>
      <c r="D41" s="213">
        <f t="shared" si="11"/>
        <v>110114.01</v>
      </c>
      <c r="E41" s="42">
        <f t="shared" si="11"/>
        <v>116666.38999999997</v>
      </c>
      <c r="F41" s="42">
        <f t="shared" si="11"/>
        <v>99606.129999999976</v>
      </c>
      <c r="G41" s="109">
        <f t="shared" si="11"/>
        <v>56996.799999999959</v>
      </c>
      <c r="H41" s="41">
        <f t="shared" si="11"/>
        <v>-143644.34000000008</v>
      </c>
      <c r="I41" s="42">
        <f t="shared" si="11"/>
        <v>-262159.40000000008</v>
      </c>
      <c r="J41" s="62">
        <f t="shared" si="11"/>
        <v>-265933.35000000003</v>
      </c>
      <c r="K41" s="124">
        <f t="shared" si="11"/>
        <v>-147307.19708000004</v>
      </c>
      <c r="L41" s="42">
        <f t="shared" si="11"/>
        <v>92508.688139999969</v>
      </c>
      <c r="M41" s="62">
        <f t="shared" si="11"/>
        <v>-147520.69400000005</v>
      </c>
    </row>
    <row r="42" spans="1:13" x14ac:dyDescent="0.35">
      <c r="A42" s="47" t="s">
        <v>108</v>
      </c>
      <c r="B42" s="252">
        <v>-91037.008399999992</v>
      </c>
      <c r="C42" s="209">
        <f t="shared" ref="C42:M42" si="12">+B42+C36+B49</f>
        <v>-54411.13</v>
      </c>
      <c r="D42" s="213">
        <f t="shared" si="12"/>
        <v>-54273.439999999995</v>
      </c>
      <c r="E42" s="42">
        <f t="shared" si="12"/>
        <v>-62244.399999999994</v>
      </c>
      <c r="F42" s="42">
        <f t="shared" si="12"/>
        <v>-70670.099999999991</v>
      </c>
      <c r="G42" s="109">
        <f t="shared" si="12"/>
        <v>-76701.039999999994</v>
      </c>
      <c r="H42" s="41">
        <f t="shared" si="12"/>
        <v>-111910.51</v>
      </c>
      <c r="I42" s="42">
        <f t="shared" si="12"/>
        <v>-137237.19999999998</v>
      </c>
      <c r="J42" s="62">
        <f t="shared" si="12"/>
        <v>-151056.26999999999</v>
      </c>
      <c r="K42" s="124">
        <f t="shared" si="12"/>
        <v>-144950.86849999998</v>
      </c>
      <c r="L42" s="42">
        <f t="shared" si="12"/>
        <v>-121544.26719999999</v>
      </c>
      <c r="M42" s="62">
        <f t="shared" si="12"/>
        <v>-154825.82969999997</v>
      </c>
    </row>
    <row r="43" spans="1:13" x14ac:dyDescent="0.35">
      <c r="A43" s="47" t="s">
        <v>109</v>
      </c>
      <c r="B43" s="252">
        <v>-66951.049140000003</v>
      </c>
      <c r="C43" s="209">
        <f t="shared" ref="C43:M43" si="13">+B43+C37+B50</f>
        <v>-32579.319999999992</v>
      </c>
      <c r="D43" s="213">
        <f t="shared" si="13"/>
        <v>-32489.629999999994</v>
      </c>
      <c r="E43" s="42">
        <f t="shared" si="13"/>
        <v>-35365.369999999995</v>
      </c>
      <c r="F43" s="42">
        <f t="shared" si="13"/>
        <v>-37383.149999999994</v>
      </c>
      <c r="G43" s="109">
        <f t="shared" si="13"/>
        <v>-37350.679999999993</v>
      </c>
      <c r="H43" s="41">
        <f t="shared" si="13"/>
        <v>-50268.609999999993</v>
      </c>
      <c r="I43" s="42">
        <f t="shared" si="13"/>
        <v>-57069.219999999994</v>
      </c>
      <c r="J43" s="62">
        <f t="shared" si="13"/>
        <v>-61188.599999999991</v>
      </c>
      <c r="K43" s="124">
        <f t="shared" si="13"/>
        <v>-52054.731309999996</v>
      </c>
      <c r="L43" s="42">
        <f t="shared" si="13"/>
        <v>-38276.268589999992</v>
      </c>
      <c r="M43" s="62">
        <f t="shared" si="13"/>
        <v>-57024.659609999988</v>
      </c>
    </row>
    <row r="44" spans="1:13" ht="15" thickBot="1" x14ac:dyDescent="0.4">
      <c r="A44" s="47" t="s">
        <v>110</v>
      </c>
      <c r="B44" s="118">
        <v>-22602.51035</v>
      </c>
      <c r="C44" s="209">
        <f t="shared" ref="C44:M44" si="14">+B44+C38+B51</f>
        <v>-16434.159999999996</v>
      </c>
      <c r="D44" s="213">
        <f t="shared" si="14"/>
        <v>-16396.429999999997</v>
      </c>
      <c r="E44" s="42">
        <f t="shared" si="14"/>
        <v>-16288.359999999997</v>
      </c>
      <c r="F44" s="42">
        <f t="shared" si="14"/>
        <v>-15704.359999999997</v>
      </c>
      <c r="G44" s="109">
        <f t="shared" si="14"/>
        <v>-14426.269999999997</v>
      </c>
      <c r="H44" s="41">
        <f t="shared" si="14"/>
        <v>-18482.259999999995</v>
      </c>
      <c r="I44" s="42">
        <f t="shared" si="14"/>
        <v>-22424.729999999996</v>
      </c>
      <c r="J44" s="62">
        <f t="shared" si="14"/>
        <v>-27313.539999999997</v>
      </c>
      <c r="K44" s="124">
        <f t="shared" si="14"/>
        <v>-25644.824709999997</v>
      </c>
      <c r="L44" s="42">
        <f t="shared" si="14"/>
        <v>-22048.014869999999</v>
      </c>
      <c r="M44" s="62">
        <f t="shared" si="14"/>
        <v>-29059.38565</v>
      </c>
    </row>
    <row r="45" spans="1:13" x14ac:dyDescent="0.35">
      <c r="C45" s="100"/>
      <c r="D45" s="204"/>
      <c r="E45" s="17"/>
      <c r="F45" s="17"/>
      <c r="G45" s="17"/>
      <c r="H45" s="10"/>
      <c r="I45" s="17"/>
      <c r="J45" s="11"/>
      <c r="K45" s="17"/>
      <c r="L45" s="17"/>
      <c r="M45" s="11"/>
    </row>
    <row r="46" spans="1:13" x14ac:dyDescent="0.35">
      <c r="A46" s="40" t="s">
        <v>124</v>
      </c>
      <c r="B46" s="40"/>
      <c r="C46" s="105"/>
      <c r="D46" s="214"/>
      <c r="E46" s="84">
        <f>+'PCR Cycle 2'!D47</f>
        <v>1.1601199999999999E-3</v>
      </c>
      <c r="F46" s="84">
        <f>+'PCR Cycle 2'!E47</f>
        <v>1.1659400000000001E-3</v>
      </c>
      <c r="G46" s="84">
        <f>+'PCR Cycle 2'!F47</f>
        <v>1.14916E-3</v>
      </c>
      <c r="H46" s="85">
        <f>+'PCR Cycle 2'!G47</f>
        <v>1.13697E-3</v>
      </c>
      <c r="I46" s="84">
        <f>+'PCR Cycle 2'!H47</f>
        <v>1.1312099999999999E-3</v>
      </c>
      <c r="J46" s="93">
        <f>+'PCR Cycle 2'!I47</f>
        <v>1.13462E-3</v>
      </c>
      <c r="K46" s="84">
        <f>+'PCR Cycle 2'!J47</f>
        <v>1.13462E-3</v>
      </c>
      <c r="L46" s="84">
        <f>+'PCR Cycle 2'!K47</f>
        <v>1.13462E-3</v>
      </c>
      <c r="M46" s="86"/>
    </row>
    <row r="47" spans="1:13" x14ac:dyDescent="0.35">
      <c r="A47" s="40" t="s">
        <v>37</v>
      </c>
      <c r="B47" s="40"/>
      <c r="C47" s="107"/>
      <c r="D47" s="215"/>
      <c r="E47" s="84"/>
      <c r="F47" s="84"/>
      <c r="G47" s="84"/>
      <c r="H47" s="85"/>
      <c r="I47" s="84"/>
      <c r="J47" s="86"/>
      <c r="K47" s="84"/>
      <c r="L47" s="84"/>
      <c r="M47" s="86"/>
    </row>
    <row r="48" spans="1:13" x14ac:dyDescent="0.35">
      <c r="A48" s="47" t="s">
        <v>24</v>
      </c>
      <c r="C48" s="209">
        <v>-332.71000000000004</v>
      </c>
      <c r="D48" s="213">
        <v>0</v>
      </c>
      <c r="E48" s="42">
        <f t="shared" ref="E48:M48" si="15">ROUND((D41+D48+E35/2)*E$46,2)</f>
        <v>131.55000000000001</v>
      </c>
      <c r="F48" s="42">
        <f t="shared" si="15"/>
        <v>126.16</v>
      </c>
      <c r="G48" s="109">
        <f t="shared" si="15"/>
        <v>90.05</v>
      </c>
      <c r="H48" s="41">
        <f t="shared" si="15"/>
        <v>-49.21</v>
      </c>
      <c r="I48" s="124">
        <f t="shared" si="15"/>
        <v>-229.55</v>
      </c>
      <c r="J48" s="62">
        <f t="shared" si="15"/>
        <v>-299.72000000000003</v>
      </c>
      <c r="K48" s="166">
        <f t="shared" si="15"/>
        <v>-234.61</v>
      </c>
      <c r="L48" s="109">
        <f t="shared" si="15"/>
        <v>-31.22</v>
      </c>
      <c r="M48" s="62">
        <f t="shared" si="15"/>
        <v>0</v>
      </c>
    </row>
    <row r="49" spans="1:13" x14ac:dyDescent="0.35">
      <c r="A49" s="47" t="s">
        <v>108</v>
      </c>
      <c r="C49" s="209">
        <v>137.69</v>
      </c>
      <c r="D49" s="213">
        <v>8.0000000000000071E-2</v>
      </c>
      <c r="E49" s="42">
        <f t="shared" ref="E49:L49" si="16">ROUND((D42+D49+E36/2)*E$46,2)</f>
        <v>-67.59</v>
      </c>
      <c r="F49" s="42">
        <f t="shared" si="16"/>
        <v>-77.52</v>
      </c>
      <c r="G49" s="109">
        <f t="shared" si="16"/>
        <v>-84.72</v>
      </c>
      <c r="H49" s="41">
        <f t="shared" si="16"/>
        <v>-107.27</v>
      </c>
      <c r="I49" s="124">
        <f t="shared" si="16"/>
        <v>-140.97999999999999</v>
      </c>
      <c r="J49" s="62">
        <f t="shared" si="16"/>
        <v>-163.63</v>
      </c>
      <c r="K49" s="166">
        <f t="shared" si="16"/>
        <v>-168.02</v>
      </c>
      <c r="L49" s="109">
        <f t="shared" si="16"/>
        <v>-151.28</v>
      </c>
      <c r="M49" s="62"/>
    </row>
    <row r="50" spans="1:13" x14ac:dyDescent="0.35">
      <c r="A50" s="47" t="s">
        <v>109</v>
      </c>
      <c r="C50" s="209">
        <v>89.69</v>
      </c>
      <c r="D50" s="213">
        <v>8.0000000000000071E-2</v>
      </c>
      <c r="E50" s="42">
        <f t="shared" ref="E50:L50" si="17">ROUND((D43+D50+E37/2)*E$46,2)</f>
        <v>-39.36</v>
      </c>
      <c r="F50" s="42">
        <f t="shared" si="17"/>
        <v>-42.43</v>
      </c>
      <c r="G50" s="109">
        <f t="shared" si="17"/>
        <v>-42.96</v>
      </c>
      <c r="H50" s="41">
        <f t="shared" si="17"/>
        <v>-49.83</v>
      </c>
      <c r="I50" s="124">
        <f t="shared" si="17"/>
        <v>-60.74</v>
      </c>
      <c r="J50" s="62">
        <f t="shared" si="17"/>
        <v>-67.12</v>
      </c>
      <c r="K50" s="166">
        <f t="shared" si="17"/>
        <v>-64.28</v>
      </c>
      <c r="L50" s="109">
        <f t="shared" si="17"/>
        <v>-51.28</v>
      </c>
      <c r="M50" s="62"/>
    </row>
    <row r="51" spans="1:13" ht="15" thickBot="1" x14ac:dyDescent="0.4">
      <c r="A51" s="47" t="s">
        <v>110</v>
      </c>
      <c r="C51" s="209">
        <v>37.730000000000004</v>
      </c>
      <c r="D51" s="213">
        <v>-1.0000000000000675E-2</v>
      </c>
      <c r="E51" s="42">
        <f t="shared" ref="E51:L51" si="18">ROUND((D44+D51+E38/2)*E$46,2)</f>
        <v>-18.96</v>
      </c>
      <c r="F51" s="42">
        <f t="shared" si="18"/>
        <v>-18.66</v>
      </c>
      <c r="G51" s="109">
        <f t="shared" si="18"/>
        <v>-17.32</v>
      </c>
      <c r="H51" s="41">
        <f t="shared" si="18"/>
        <v>-18.72</v>
      </c>
      <c r="I51" s="124">
        <f t="shared" si="18"/>
        <v>-23.15</v>
      </c>
      <c r="J51" s="62">
        <f t="shared" si="18"/>
        <v>-28.23</v>
      </c>
      <c r="K51" s="166">
        <f t="shared" si="18"/>
        <v>-30.06</v>
      </c>
      <c r="L51" s="109">
        <f t="shared" si="18"/>
        <v>-27.07</v>
      </c>
      <c r="M51" s="62">
        <f>ROUND((L44+L51+M38/2)*M$46,2)</f>
        <v>0</v>
      </c>
    </row>
    <row r="52" spans="1:13" ht="15.5" thickTop="1" thickBot="1" x14ac:dyDescent="0.4">
      <c r="A52" s="55" t="s">
        <v>22</v>
      </c>
      <c r="B52" s="55"/>
      <c r="C52" s="210">
        <v>0</v>
      </c>
      <c r="D52" s="216"/>
      <c r="E52" s="43">
        <f t="shared" ref="E52:M52" si="19">SUM(E48:E51)+SUM(E41:E44)-E55</f>
        <v>-8.9585228124633431E-11</v>
      </c>
      <c r="F52" s="43">
        <f t="shared" si="19"/>
        <v>-1.0550138540565968E-10</v>
      </c>
      <c r="G52" s="51">
        <f t="shared" si="19"/>
        <v>-1.4551915228366852E-10</v>
      </c>
      <c r="H52" s="52">
        <f t="shared" si="19"/>
        <v>0</v>
      </c>
      <c r="I52" s="43">
        <f t="shared" si="19"/>
        <v>0</v>
      </c>
      <c r="J52" s="63">
        <f t="shared" si="19"/>
        <v>0</v>
      </c>
      <c r="K52" s="167">
        <f t="shared" si="19"/>
        <v>0</v>
      </c>
      <c r="L52" s="51">
        <f t="shared" si="19"/>
        <v>0</v>
      </c>
      <c r="M52" s="63">
        <f t="shared" si="19"/>
        <v>0</v>
      </c>
    </row>
    <row r="53" spans="1:13" ht="15.5" thickTop="1" thickBot="1" x14ac:dyDescent="0.4">
      <c r="A53" s="55" t="s">
        <v>23</v>
      </c>
      <c r="B53" s="55"/>
      <c r="C53" s="210">
        <v>0</v>
      </c>
      <c r="D53" s="216"/>
      <c r="E53" s="43">
        <f t="shared" ref="E53:M53" si="20">SUM(E48:E51)-E32</f>
        <v>0</v>
      </c>
      <c r="F53" s="43">
        <f t="shared" si="20"/>
        <v>0</v>
      </c>
      <c r="G53" s="51">
        <f t="shared" si="20"/>
        <v>9.9999999999980105E-3</v>
      </c>
      <c r="H53" s="52">
        <f t="shared" si="20"/>
        <v>0</v>
      </c>
      <c r="I53" s="43">
        <f t="shared" si="20"/>
        <v>0</v>
      </c>
      <c r="J53" s="63">
        <f t="shared" si="20"/>
        <v>0</v>
      </c>
      <c r="K53" s="168">
        <f>SUM(K48:K51)-K32</f>
        <v>0</v>
      </c>
      <c r="L53" s="43">
        <f t="shared" si="20"/>
        <v>0</v>
      </c>
      <c r="M53" s="43">
        <f t="shared" si="20"/>
        <v>0</v>
      </c>
    </row>
    <row r="54" spans="1:13" ht="15.5" thickTop="1" thickBot="1" x14ac:dyDescent="0.4">
      <c r="C54" s="100"/>
      <c r="D54" s="204"/>
      <c r="E54" s="17"/>
      <c r="F54" s="17"/>
      <c r="G54" s="17"/>
      <c r="H54" s="10"/>
      <c r="I54" s="17"/>
      <c r="J54" s="11"/>
      <c r="K54" s="17"/>
      <c r="L54" s="17"/>
      <c r="M54" s="11"/>
    </row>
    <row r="55" spans="1:13" ht="15" thickBot="1" x14ac:dyDescent="0.4">
      <c r="A55" s="47" t="s">
        <v>36</v>
      </c>
      <c r="B55" s="120">
        <f>SUM(B41:B44)</f>
        <v>-259478.3836099999</v>
      </c>
      <c r="C55" s="209">
        <f t="shared" ref="C55:M55" si="21">(C12-SUM(C15:C18))+SUM(C48:C51)+B55</f>
        <v>6954.5100000001257</v>
      </c>
      <c r="D55" s="213">
        <f t="shared" si="21"/>
        <v>6954.6600000001254</v>
      </c>
      <c r="E55" s="42">
        <f t="shared" si="21"/>
        <v>2773.9000000000733</v>
      </c>
      <c r="F55" s="42">
        <f t="shared" si="21"/>
        <v>-24163.929999999902</v>
      </c>
      <c r="G55" s="109">
        <f t="shared" si="21"/>
        <v>-71536.139999999883</v>
      </c>
      <c r="H55" s="41">
        <f t="shared" si="21"/>
        <v>-324530.74999999994</v>
      </c>
      <c r="I55" s="42">
        <f t="shared" si="21"/>
        <v>-479344.97</v>
      </c>
      <c r="J55" s="62">
        <f t="shared" si="21"/>
        <v>-506050.45999999996</v>
      </c>
      <c r="K55" s="166">
        <f t="shared" si="21"/>
        <v>-370454.59159999999</v>
      </c>
      <c r="L55" s="109">
        <f t="shared" si="21"/>
        <v>-89620.712519999943</v>
      </c>
      <c r="M55" s="62">
        <f t="shared" si="21"/>
        <v>-388430.56895999995</v>
      </c>
    </row>
    <row r="56" spans="1:13" x14ac:dyDescent="0.35">
      <c r="A56" s="47" t="s">
        <v>12</v>
      </c>
      <c r="C56" s="121"/>
      <c r="D56" s="217"/>
      <c r="E56" s="17"/>
      <c r="F56" s="17"/>
      <c r="G56" s="17"/>
      <c r="H56" s="10"/>
      <c r="I56" s="17"/>
      <c r="J56" s="11"/>
      <c r="K56" s="17"/>
      <c r="L56" s="17"/>
      <c r="M56" s="11"/>
    </row>
    <row r="57" spans="1:13" ht="15" thickBot="1" x14ac:dyDescent="0.4">
      <c r="A57" s="38"/>
      <c r="B57" s="38"/>
      <c r="C57" s="149"/>
      <c r="D57" s="218"/>
      <c r="E57" s="45"/>
      <c r="F57" s="45"/>
      <c r="G57" s="45"/>
      <c r="H57" s="44"/>
      <c r="I57" s="45"/>
      <c r="J57" s="46"/>
      <c r="K57" s="45"/>
      <c r="L57" s="45"/>
      <c r="M57" s="46"/>
    </row>
    <row r="59" spans="1:13" x14ac:dyDescent="0.35">
      <c r="A59" s="70" t="s">
        <v>11</v>
      </c>
      <c r="B59" s="70"/>
      <c r="C59" s="70"/>
      <c r="D59" s="70"/>
    </row>
    <row r="60" spans="1:13" ht="34.5" customHeight="1" x14ac:dyDescent="0.35">
      <c r="A60" s="305" t="s">
        <v>198</v>
      </c>
      <c r="B60" s="305"/>
      <c r="C60" s="305"/>
      <c r="D60" s="305"/>
      <c r="E60" s="305"/>
      <c r="F60" s="305"/>
      <c r="G60" s="305"/>
      <c r="H60" s="305"/>
      <c r="I60" s="305"/>
      <c r="J60" s="305"/>
      <c r="K60" s="261"/>
      <c r="L60" s="241"/>
      <c r="M60" s="241"/>
    </row>
    <row r="61" spans="1:13" ht="42.75" customHeight="1" x14ac:dyDescent="0.35">
      <c r="A61" s="305" t="s">
        <v>180</v>
      </c>
      <c r="B61" s="305"/>
      <c r="C61" s="305"/>
      <c r="D61" s="305"/>
      <c r="E61" s="305"/>
      <c r="F61" s="305"/>
      <c r="G61" s="305"/>
      <c r="H61" s="305"/>
      <c r="I61" s="305"/>
      <c r="J61" s="305"/>
      <c r="K61" s="305"/>
      <c r="L61" s="241"/>
      <c r="M61" s="241"/>
    </row>
    <row r="62" spans="1:13" ht="33.75" customHeight="1" x14ac:dyDescent="0.35">
      <c r="A62" s="305" t="s">
        <v>199</v>
      </c>
      <c r="B62" s="305"/>
      <c r="C62" s="305"/>
      <c r="D62" s="305"/>
      <c r="E62" s="305"/>
      <c r="F62" s="305"/>
      <c r="G62" s="305"/>
      <c r="H62" s="305"/>
      <c r="I62" s="305"/>
      <c r="J62" s="305"/>
      <c r="K62" s="261"/>
      <c r="L62" s="241"/>
      <c r="M62" s="241"/>
    </row>
    <row r="63" spans="1:13" x14ac:dyDescent="0.35">
      <c r="A63" s="64" t="s">
        <v>67</v>
      </c>
      <c r="B63" s="64"/>
      <c r="C63" s="64"/>
      <c r="D63" s="64"/>
      <c r="E63" s="40"/>
      <c r="F63" s="40"/>
      <c r="G63" s="40"/>
      <c r="H63" s="40"/>
      <c r="I63" s="40"/>
      <c r="J63" s="40"/>
      <c r="K63" s="40"/>
    </row>
    <row r="64" spans="1:13" x14ac:dyDescent="0.35">
      <c r="A64" s="64" t="s">
        <v>182</v>
      </c>
      <c r="B64" s="64"/>
      <c r="C64" s="64"/>
      <c r="D64" s="64"/>
      <c r="E64" s="40"/>
      <c r="F64" s="40"/>
      <c r="G64" s="40"/>
      <c r="H64" s="40"/>
      <c r="I64" s="40"/>
      <c r="J64" s="40"/>
      <c r="K64" s="40"/>
    </row>
    <row r="65" spans="1:11" x14ac:dyDescent="0.35">
      <c r="A65" s="64" t="s">
        <v>70</v>
      </c>
      <c r="B65" s="64"/>
      <c r="C65" s="64"/>
      <c r="D65" s="64"/>
      <c r="E65" s="40"/>
      <c r="F65" s="40"/>
      <c r="G65" s="40"/>
      <c r="H65" s="40"/>
      <c r="I65" s="40"/>
      <c r="J65" s="40"/>
      <c r="K65" s="40"/>
    </row>
    <row r="66" spans="1:11" x14ac:dyDescent="0.35">
      <c r="A66" s="3"/>
      <c r="B66" s="3"/>
      <c r="C66" s="3"/>
      <c r="D66" s="3"/>
    </row>
  </sheetData>
  <mergeCells count="6">
    <mergeCell ref="A62:J62"/>
    <mergeCell ref="E10:G10"/>
    <mergeCell ref="H10:J10"/>
    <mergeCell ref="K10:M10"/>
    <mergeCell ref="A60:J60"/>
    <mergeCell ref="A61:K61"/>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1A6497F0A034408B121D2E9E1ADC67" ma:contentTypeVersion="" ma:contentTypeDescription="Create a new document." ma:contentTypeScope="" ma:versionID="eaec9d6e250ec9bd82e58a183e84679e">
  <xsd:schema xmlns:xsd="http://www.w3.org/2001/XMLSchema" xmlns:xs="http://www.w3.org/2001/XMLSchema" xmlns:p="http://schemas.microsoft.com/office/2006/metadata/properties" xmlns:ns2="c85253b9-0a55-49a1-98ad-b5b6252d7079" xmlns:ns3="42a0a5c2-94d1-43c3-962b-eaf68dcf55f1" targetNamespace="http://schemas.microsoft.com/office/2006/metadata/properties" ma:root="true" ma:fieldsID="4b8c01d9bb3fcf7a2a1646407042e387" ns2:_="" ns3:_="">
    <xsd:import namespace="c85253b9-0a55-49a1-98ad-b5b6252d7079"/>
    <xsd:import namespace="42a0a5c2-94d1-43c3-962b-eaf68dcf55f1"/>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42a0a5c2-94d1-43c3-962b-eaf68dcf55f1"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_x0020_Status xmlns="c85253b9-0a55-49a1-98ad-b5b6252d7079">Draft</Document_x0020_Status>
    <Comments xmlns="c85253b9-0a55-49a1-98ad-b5b6252d7079" xsi:nil="true"/>
    <Sequence_x0020_Number xmlns="42a0a5c2-94d1-43c3-962b-eaf68dcf55f1" xsi:nil="true"/>
    <Document_x0020_Type xmlns="c85253b9-0a55-49a1-98ad-b5b6252d7079">Question</Document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53095A-6ECA-4B5C-94A7-4044BC1C83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42a0a5c2-94d1-43c3-962b-eaf68dcf5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E680F6-EEBC-41A4-AEB5-0B773B5EACA2}">
  <ds:schemaRefs>
    <ds:schemaRef ds:uri="http://schemas.microsoft.com/office/infopath/2007/PartnerControls"/>
    <ds:schemaRef ds:uri="c85253b9-0a55-49a1-98ad-b5b6252d7079"/>
    <ds:schemaRef ds:uri="42a0a5c2-94d1-43c3-962b-eaf68dcf55f1"/>
    <ds:schemaRef ds:uri="http://www.w3.org/XML/1998/namespace"/>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tariff tables</vt:lpstr>
      <vt:lpstr>DSIM Cycle Tables</vt:lpstr>
      <vt:lpstr>PPC Cycle 3</vt:lpstr>
      <vt:lpstr>PCR Cycle 2</vt:lpstr>
      <vt:lpstr>PCR Cycle 3</vt:lpstr>
      <vt:lpstr>PTD Cycle 2</vt:lpstr>
      <vt:lpstr>PTD Cycle 3</vt:lpstr>
      <vt:lpstr>TDR Cycle 2</vt:lpstr>
      <vt:lpstr>TDR Cycle 3</vt:lpstr>
      <vt:lpstr>EO Cycle 2</vt:lpstr>
      <vt:lpstr>EOR Cycle 2</vt:lpstr>
      <vt:lpstr>OA Cycle 2</vt:lpstr>
      <vt:lpstr>OAR Cycle 2</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2019-05-23T21:26:27Z</cp:lastPrinted>
  <dcterms:created xsi:type="dcterms:W3CDTF">2013-08-12T19:20:10Z</dcterms:created>
  <dcterms:modified xsi:type="dcterms:W3CDTF">2021-06-28T15:26:35Z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0x010100011A6497F0A034408B121D2E9E1ADC67</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2021-06-28T15:26:34Z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
  </property>
  <property fmtid="{D5CDD505-2E9C-101B-9397-08002B2CF9AE}" pid="11" name="MSIP_Label_d275ac46-98b9-4d64-949f-e82ee8dc823c_ContentBits">
    <vt:lpwstr>3</vt:lpwstr>
  </property>
</Properties>
</file>