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N:\CorpAcctg\MEEIA\Missouri West MEEIA DSIM Rider\20220601 Filing\"/>
    </mc:Choice>
  </mc:AlternateContent>
  <xr:revisionPtr revIDLastSave="0" documentId="13_ncr:1_{84BB0462-362D-41E9-AA97-E13958D4EF85}" xr6:coauthVersionLast="47" xr6:coauthVersionMax="47" xr10:uidLastSave="{00000000-0000-0000-0000-000000000000}"/>
  <bookViews>
    <workbookView xWindow="-120" yWindow="-120" windowWidth="24240" windowHeight="13140" firstSheet="8" activeTab="15" xr2:uid="{00000000-000D-0000-FFFF-FFFF00000000}"/>
  </bookViews>
  <sheets>
    <sheet name="tariff tables" sheetId="5" r:id="rId1"/>
    <sheet name="tariff tables v. current tariff" sheetId="27" r:id="rId2"/>
    <sheet name="DSIM Cycle Tables" sheetId="20" r:id="rId3"/>
    <sheet name="PPC Cycle 3" sheetId="18" r:id="rId4"/>
    <sheet name="PCR Cycle 2" sheetId="15" r:id="rId5"/>
    <sheet name="PCR Cycle 3" sheetId="22" r:id="rId6"/>
    <sheet name="PTD Cycle 2" sheetId="12" r:id="rId7"/>
    <sheet name="PTD Cycle 3" sheetId="19" r:id="rId8"/>
    <sheet name="TDR Cycle 2" sheetId="16" r:id="rId9"/>
    <sheet name="TDR Cycle 3" sheetId="24" r:id="rId10"/>
    <sheet name="EO Cycle 2" sheetId="8" r:id="rId11"/>
    <sheet name="EO Cycle 3" sheetId="28" r:id="rId12"/>
    <sheet name="EOR Cycle 2" sheetId="23" r:id="rId13"/>
    <sheet name="EOR Cycle 3" sheetId="29" r:id="rId14"/>
    <sheet name="OA Cycle 2" sheetId="10" r:id="rId15"/>
    <sheet name="OAR Cycle 2" sheetId="13"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xlnm.Print_Area" localSheetId="4">'PCR Cycle 2'!$A$1:$N$64</definedName>
    <definedName name="_xlnm.Print_Area" localSheetId="5">'PCR Cycle 3'!$A$1:$O$64</definedName>
    <definedName name="solver_adj" localSheetId="4" hidden="1">'PCR Cycle 2'!$E$47</definedName>
    <definedName name="solver_adj" localSheetId="5" hidden="1">'PCR Cycle 3'!$F$45</definedName>
    <definedName name="solver_adj" localSheetId="8" hidden="1">'TDR Cycle 2'!#REF!</definedName>
    <definedName name="solver_adj" localSheetId="9" hidden="1">'TDR Cycle 3'!#REF!</definedName>
    <definedName name="solver_cvg" localSheetId="4" hidden="1">0.0001</definedName>
    <definedName name="solver_cvg" localSheetId="5" hidden="1">0.0001</definedName>
    <definedName name="solver_cvg" localSheetId="8" hidden="1">0.0001</definedName>
    <definedName name="solver_cvg" localSheetId="9" hidden="1">0.0001</definedName>
    <definedName name="solver_drv" localSheetId="4" hidden="1">1</definedName>
    <definedName name="solver_drv" localSheetId="5" hidden="1">1</definedName>
    <definedName name="solver_drv" localSheetId="8" hidden="1">2</definedName>
    <definedName name="solver_drv" localSheetId="9" hidden="1">2</definedName>
    <definedName name="solver_eng" localSheetId="4" hidden="1">1</definedName>
    <definedName name="solver_eng" localSheetId="5" hidden="1">1</definedName>
    <definedName name="solver_eng" localSheetId="8" hidden="1">1</definedName>
    <definedName name="solver_eng" localSheetId="9" hidden="1">1</definedName>
    <definedName name="solver_est" localSheetId="4" hidden="1">1</definedName>
    <definedName name="solver_est" localSheetId="5" hidden="1">1</definedName>
    <definedName name="solver_est" localSheetId="8" hidden="1">1</definedName>
    <definedName name="solver_est" localSheetId="9" hidden="1">1</definedName>
    <definedName name="solver_itr" localSheetId="4" hidden="1">2147483647</definedName>
    <definedName name="solver_itr" localSheetId="5" hidden="1">2147483647</definedName>
    <definedName name="solver_itr" localSheetId="8" hidden="1">2147483647</definedName>
    <definedName name="solver_itr" localSheetId="9" hidden="1">2147483647</definedName>
    <definedName name="solver_mip" localSheetId="4" hidden="1">2147483647</definedName>
    <definedName name="solver_mip" localSheetId="5" hidden="1">2147483647</definedName>
    <definedName name="solver_mip" localSheetId="8" hidden="1">2147483647</definedName>
    <definedName name="solver_mip" localSheetId="9" hidden="1">2147483647</definedName>
    <definedName name="solver_mni" localSheetId="4" hidden="1">30</definedName>
    <definedName name="solver_mni" localSheetId="5" hidden="1">30</definedName>
    <definedName name="solver_mni" localSheetId="8" hidden="1">30</definedName>
    <definedName name="solver_mni" localSheetId="9" hidden="1">30</definedName>
    <definedName name="solver_mrt" localSheetId="4" hidden="1">0.075</definedName>
    <definedName name="solver_mrt" localSheetId="5" hidden="1">0.075</definedName>
    <definedName name="solver_mrt" localSheetId="8" hidden="1">0.075</definedName>
    <definedName name="solver_mrt" localSheetId="9" hidden="1">0.075</definedName>
    <definedName name="solver_msl" localSheetId="4" hidden="1">2</definedName>
    <definedName name="solver_msl" localSheetId="5" hidden="1">2</definedName>
    <definedName name="solver_msl" localSheetId="8" hidden="1">2</definedName>
    <definedName name="solver_msl" localSheetId="9" hidden="1">2</definedName>
    <definedName name="solver_neg" localSheetId="4" hidden="1">1</definedName>
    <definedName name="solver_neg" localSheetId="5" hidden="1">1</definedName>
    <definedName name="solver_neg" localSheetId="8" hidden="1">1</definedName>
    <definedName name="solver_neg" localSheetId="9" hidden="1">1</definedName>
    <definedName name="solver_nod" localSheetId="4" hidden="1">2147483647</definedName>
    <definedName name="solver_nod" localSheetId="5" hidden="1">2147483647</definedName>
    <definedName name="solver_nod" localSheetId="8" hidden="1">2147483647</definedName>
    <definedName name="solver_nod" localSheetId="9" hidden="1">2147483647</definedName>
    <definedName name="solver_num" localSheetId="4" hidden="1">0</definedName>
    <definedName name="solver_num" localSheetId="5" hidden="1">0</definedName>
    <definedName name="solver_num" localSheetId="8" hidden="1">0</definedName>
    <definedName name="solver_num" localSheetId="9" hidden="1">0</definedName>
    <definedName name="solver_nwt" localSheetId="4" hidden="1">1</definedName>
    <definedName name="solver_nwt" localSheetId="5" hidden="1">1</definedName>
    <definedName name="solver_nwt" localSheetId="8" hidden="1">1</definedName>
    <definedName name="solver_nwt" localSheetId="9" hidden="1">1</definedName>
    <definedName name="solver_opt" localSheetId="4" hidden="1">'PCR Cycle 2'!$E$52</definedName>
    <definedName name="solver_opt" localSheetId="5" hidden="1">'PCR Cycle 3'!$F$52</definedName>
    <definedName name="solver_opt" localSheetId="8" hidden="1">'TDR Cycle 2'!#REF!</definedName>
    <definedName name="solver_opt" localSheetId="9" hidden="1">'TDR Cycle 3'!#REF!</definedName>
    <definedName name="solver_pre" localSheetId="4" hidden="1">0.000001</definedName>
    <definedName name="solver_pre" localSheetId="5" hidden="1">0.000001</definedName>
    <definedName name="solver_pre" localSheetId="8" hidden="1">0.000001</definedName>
    <definedName name="solver_pre" localSheetId="9" hidden="1">0.000001</definedName>
    <definedName name="solver_rbv" localSheetId="4" hidden="1">1</definedName>
    <definedName name="solver_rbv" localSheetId="5" hidden="1">1</definedName>
    <definedName name="solver_rbv" localSheetId="8" hidden="1">2</definedName>
    <definedName name="solver_rbv" localSheetId="9" hidden="1">2</definedName>
    <definedName name="solver_rlx" localSheetId="4" hidden="1">2</definedName>
    <definedName name="solver_rlx" localSheetId="5" hidden="1">2</definedName>
    <definedName name="solver_rlx" localSheetId="8" hidden="1">2</definedName>
    <definedName name="solver_rlx" localSheetId="9" hidden="1">2</definedName>
    <definedName name="solver_rsd" localSheetId="4" hidden="1">0</definedName>
    <definedName name="solver_rsd" localSheetId="5" hidden="1">0</definedName>
    <definedName name="solver_rsd" localSheetId="8" hidden="1">0</definedName>
    <definedName name="solver_rsd" localSheetId="9" hidden="1">0</definedName>
    <definedName name="solver_scl" localSheetId="4" hidden="1">1</definedName>
    <definedName name="solver_scl" localSheetId="5" hidden="1">1</definedName>
    <definedName name="solver_scl" localSheetId="8" hidden="1">2</definedName>
    <definedName name="solver_scl" localSheetId="9" hidden="1">2</definedName>
    <definedName name="solver_sho" localSheetId="4" hidden="1">2</definedName>
    <definedName name="solver_sho" localSheetId="5" hidden="1">2</definedName>
    <definedName name="solver_sho" localSheetId="8" hidden="1">2</definedName>
    <definedName name="solver_sho" localSheetId="9" hidden="1">2</definedName>
    <definedName name="solver_ssz" localSheetId="4" hidden="1">100</definedName>
    <definedName name="solver_ssz" localSheetId="5" hidden="1">100</definedName>
    <definedName name="solver_ssz" localSheetId="8" hidden="1">100</definedName>
    <definedName name="solver_ssz" localSheetId="9" hidden="1">100</definedName>
    <definedName name="solver_tim" localSheetId="4" hidden="1">2147483647</definedName>
    <definedName name="solver_tim" localSheetId="5" hidden="1">2147483647</definedName>
    <definedName name="solver_tim" localSheetId="8" hidden="1">2147483647</definedName>
    <definedName name="solver_tim" localSheetId="9" hidden="1">2147483647</definedName>
    <definedName name="solver_tol" localSheetId="4" hidden="1">0.01</definedName>
    <definedName name="solver_tol" localSheetId="5" hidden="1">0.01</definedName>
    <definedName name="solver_tol" localSheetId="8" hidden="1">0.01</definedName>
    <definedName name="solver_tol" localSheetId="9" hidden="1">0.01</definedName>
    <definedName name="solver_typ" localSheetId="4" hidden="1">3</definedName>
    <definedName name="solver_typ" localSheetId="5" hidden="1">3</definedName>
    <definedName name="solver_typ" localSheetId="8" hidden="1">3</definedName>
    <definedName name="solver_typ" localSheetId="9" hidden="1">3</definedName>
    <definedName name="solver_val" localSheetId="4" hidden="1">0</definedName>
    <definedName name="solver_val" localSheetId="5" hidden="1">0</definedName>
    <definedName name="solver_val" localSheetId="8" hidden="1">23888.44</definedName>
    <definedName name="solver_val" localSheetId="9" hidden="1">23888.44</definedName>
    <definedName name="solver_ver" localSheetId="4" hidden="1">3</definedName>
    <definedName name="solver_ver" localSheetId="5" hidden="1">3</definedName>
    <definedName name="solver_ver" localSheetId="8" hidden="1">3</definedName>
    <definedName name="solver_ver" localSheetId="9"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3" i="5" l="1"/>
  <c r="X14" i="5"/>
  <c r="X13" i="5"/>
  <c r="X12" i="5"/>
  <c r="D29" i="28" l="1"/>
  <c r="D33" i="28" l="1"/>
  <c r="D34" i="28" l="1"/>
  <c r="D35" i="28" l="1"/>
  <c r="D30" i="28" s="1"/>
  <c r="C34" i="28" l="1"/>
  <c r="C29" i="28"/>
  <c r="C35" i="28" l="1"/>
  <c r="C33" i="28" l="1"/>
  <c r="C30" i="28" s="1"/>
  <c r="E29" i="28" l="1"/>
  <c r="E35" i="28"/>
  <c r="E33" i="28" l="1"/>
  <c r="E34" i="28" l="1"/>
  <c r="E30" i="28" s="1"/>
  <c r="E65" i="8" l="1"/>
  <c r="E67" i="8" l="1"/>
  <c r="E66" i="8" l="1"/>
  <c r="G35" i="8" l="1"/>
  <c r="G34" i="8"/>
  <c r="G33" i="8"/>
  <c r="G30" i="8"/>
  <c r="G29" i="8"/>
  <c r="G24" i="8"/>
  <c r="G23" i="8"/>
  <c r="G22" i="8"/>
  <c r="G19" i="8"/>
  <c r="G18" i="8"/>
  <c r="E61" i="8" l="1"/>
  <c r="L17" i="22" l="1"/>
  <c r="L16" i="22"/>
  <c r="L15" i="22"/>
  <c r="L14" i="22"/>
  <c r="K17" i="22"/>
  <c r="K16" i="22"/>
  <c r="K15" i="22"/>
  <c r="K14" i="22"/>
  <c r="D8" i="18"/>
  <c r="D7" i="18"/>
  <c r="D6" i="18"/>
  <c r="D5" i="18"/>
  <c r="E8" i="18"/>
  <c r="E7" i="18"/>
  <c r="E6" i="18"/>
  <c r="E5" i="18"/>
  <c r="C8" i="18" l="1"/>
  <c r="D9" i="18"/>
  <c r="C7" i="18"/>
  <c r="E9" i="18"/>
  <c r="C6" i="18"/>
  <c r="C5" i="18"/>
  <c r="C8" i="10" l="1"/>
  <c r="B6" i="10" s="1"/>
  <c r="B8" i="10"/>
  <c r="B5" i="10" s="1"/>
  <c r="D9" i="10"/>
  <c r="D68" i="8"/>
  <c r="C68" i="8"/>
  <c r="B68" i="8"/>
  <c r="F67" i="8"/>
  <c r="G67" i="8" s="1"/>
  <c r="F66" i="8"/>
  <c r="G66" i="8" s="1"/>
  <c r="D63" i="8"/>
  <c r="D62" i="8"/>
  <c r="C62" i="8"/>
  <c r="C63" i="8" s="1"/>
  <c r="B62" i="8"/>
  <c r="B63" i="8" s="1"/>
  <c r="F61" i="8"/>
  <c r="E18" i="29"/>
  <c r="E17" i="29"/>
  <c r="E16" i="29"/>
  <c r="E15" i="29"/>
  <c r="F18" i="29"/>
  <c r="F17" i="29"/>
  <c r="F16" i="29"/>
  <c r="F15" i="29"/>
  <c r="G18" i="29"/>
  <c r="G17" i="29"/>
  <c r="G16" i="29"/>
  <c r="G15" i="29"/>
  <c r="H18" i="29"/>
  <c r="H17" i="29"/>
  <c r="H16" i="29"/>
  <c r="H15" i="29"/>
  <c r="I18" i="29"/>
  <c r="I17" i="29"/>
  <c r="I16" i="29"/>
  <c r="I15" i="29"/>
  <c r="D18" i="29"/>
  <c r="D17" i="29"/>
  <c r="D16" i="29"/>
  <c r="D15" i="29"/>
  <c r="I21" i="23"/>
  <c r="I20" i="23"/>
  <c r="I19" i="23"/>
  <c r="I18" i="23"/>
  <c r="H21" i="23"/>
  <c r="H20" i="23"/>
  <c r="H19" i="23"/>
  <c r="H18" i="23"/>
  <c r="G21" i="23"/>
  <c r="G20" i="23"/>
  <c r="G19" i="23"/>
  <c r="G18" i="23"/>
  <c r="F21" i="23"/>
  <c r="F20" i="23"/>
  <c r="F19" i="23"/>
  <c r="F18" i="23"/>
  <c r="E21" i="23"/>
  <c r="E20" i="23"/>
  <c r="E19" i="23"/>
  <c r="E18" i="23"/>
  <c r="D21" i="23"/>
  <c r="D20" i="23"/>
  <c r="D19" i="23"/>
  <c r="D18" i="23"/>
  <c r="E68" i="8" l="1"/>
  <c r="D8" i="10"/>
  <c r="G61" i="8"/>
  <c r="E62" i="8"/>
  <c r="E63" i="8" s="1"/>
  <c r="F65" i="8"/>
  <c r="E21" i="24"/>
  <c r="E23" i="24"/>
  <c r="E24" i="24"/>
  <c r="F62" i="8" l="1"/>
  <c r="F63" i="8" s="1"/>
  <c r="F68" i="8"/>
  <c r="G65" i="8"/>
  <c r="F23" i="24"/>
  <c r="F24" i="24"/>
  <c r="F21" i="24"/>
  <c r="E27" i="24"/>
  <c r="G62" i="8" l="1"/>
  <c r="G63" i="8" s="1"/>
  <c r="G68" i="8"/>
  <c r="E22" i="24"/>
  <c r="E30" i="24"/>
  <c r="E29" i="24"/>
  <c r="G23" i="24"/>
  <c r="G24" i="24"/>
  <c r="G21" i="24"/>
  <c r="F27" i="24"/>
  <c r="F22" i="24" l="1"/>
  <c r="F30" i="24"/>
  <c r="F29" i="24"/>
  <c r="H23" i="24"/>
  <c r="H24" i="24"/>
  <c r="H21" i="24"/>
  <c r="G30" i="24"/>
  <c r="G22" i="24" l="1"/>
  <c r="G29" i="24"/>
  <c r="G27" i="24"/>
  <c r="E28" i="24"/>
  <c r="H29" i="24"/>
  <c r="I24" i="24"/>
  <c r="I23" i="24"/>
  <c r="I21" i="24"/>
  <c r="H30" i="24"/>
  <c r="H27" i="24"/>
  <c r="H22" i="24" l="1"/>
  <c r="F28" i="24"/>
  <c r="J21" i="24"/>
  <c r="J23" i="24"/>
  <c r="J24" i="24"/>
  <c r="I30" i="24"/>
  <c r="I29" i="24"/>
  <c r="I27" i="24"/>
  <c r="I22" i="24" l="1"/>
  <c r="G28" i="24"/>
  <c r="J29" i="24"/>
  <c r="J27" i="24"/>
  <c r="J22" i="24" l="1"/>
  <c r="H28" i="24"/>
  <c r="I28" i="24" l="1"/>
  <c r="J30" i="24"/>
  <c r="J28" i="24" l="1"/>
  <c r="F18" i="24" l="1"/>
  <c r="F17" i="24"/>
  <c r="F16" i="24"/>
  <c r="F15" i="24"/>
  <c r="G18" i="24"/>
  <c r="G17" i="24"/>
  <c r="G16" i="24"/>
  <c r="G15" i="24"/>
  <c r="H18" i="24"/>
  <c r="H17" i="24"/>
  <c r="H16" i="24"/>
  <c r="H15" i="24"/>
  <c r="I18" i="24"/>
  <c r="I17" i="24"/>
  <c r="I16" i="24"/>
  <c r="I15" i="24"/>
  <c r="J18" i="24"/>
  <c r="J17" i="24"/>
  <c r="J16" i="24"/>
  <c r="J15" i="24"/>
  <c r="E18" i="24"/>
  <c r="E17" i="24"/>
  <c r="E16" i="24"/>
  <c r="E15" i="24"/>
  <c r="J21" i="16"/>
  <c r="J20" i="16"/>
  <c r="J19" i="16"/>
  <c r="J18" i="16"/>
  <c r="I21" i="16"/>
  <c r="I20" i="16"/>
  <c r="I19" i="16"/>
  <c r="I18" i="16"/>
  <c r="H21" i="16"/>
  <c r="H20" i="16"/>
  <c r="H19" i="16"/>
  <c r="H18" i="16"/>
  <c r="G21" i="16"/>
  <c r="G20" i="16"/>
  <c r="G19" i="16"/>
  <c r="G18" i="16"/>
  <c r="F21" i="16"/>
  <c r="F20" i="16"/>
  <c r="F19" i="16"/>
  <c r="F18" i="16"/>
  <c r="E21" i="16"/>
  <c r="E20" i="16"/>
  <c r="E19" i="16"/>
  <c r="E18" i="16"/>
  <c r="J17" i="22"/>
  <c r="J16" i="22"/>
  <c r="J15" i="22"/>
  <c r="J14" i="22"/>
  <c r="I17" i="22"/>
  <c r="I16" i="22"/>
  <c r="I15" i="22"/>
  <c r="I14" i="22"/>
  <c r="H17" i="22"/>
  <c r="H16" i="22"/>
  <c r="H15" i="22"/>
  <c r="H14" i="22"/>
  <c r="G17" i="22"/>
  <c r="G16" i="22"/>
  <c r="G15" i="22"/>
  <c r="G14" i="22"/>
  <c r="F17" i="22"/>
  <c r="F16" i="22"/>
  <c r="F15" i="22"/>
  <c r="F14" i="22"/>
  <c r="E17" i="22"/>
  <c r="E16" i="22"/>
  <c r="E15" i="22"/>
  <c r="E14" i="22"/>
  <c r="F29" i="22" l="1"/>
  <c r="F28" i="22"/>
  <c r="F27" i="22"/>
  <c r="F26" i="22"/>
  <c r="G29" i="22"/>
  <c r="G28" i="22"/>
  <c r="G27" i="22"/>
  <c r="G26" i="22"/>
  <c r="H29" i="22"/>
  <c r="H28" i="22"/>
  <c r="H27" i="22"/>
  <c r="H26" i="22"/>
  <c r="I29" i="22"/>
  <c r="I28" i="22"/>
  <c r="I27" i="22"/>
  <c r="I26" i="22"/>
  <c r="J29" i="22"/>
  <c r="J28" i="22"/>
  <c r="J27" i="22"/>
  <c r="J26" i="22"/>
  <c r="E26" i="22"/>
  <c r="E29" i="22"/>
  <c r="E28" i="22"/>
  <c r="E27" i="22"/>
  <c r="I35" i="15" l="1"/>
  <c r="I34" i="15"/>
  <c r="I33" i="15"/>
  <c r="I32" i="15"/>
  <c r="I29" i="15"/>
  <c r="I28" i="15"/>
  <c r="I27" i="15"/>
  <c r="I26" i="15"/>
  <c r="H35" i="15"/>
  <c r="H34" i="15"/>
  <c r="H33" i="15"/>
  <c r="H32" i="15"/>
  <c r="H29" i="15"/>
  <c r="H28" i="15"/>
  <c r="H27" i="15"/>
  <c r="H26" i="15"/>
  <c r="G35" i="15"/>
  <c r="G34" i="15"/>
  <c r="G33" i="15"/>
  <c r="G32" i="15"/>
  <c r="G29" i="15"/>
  <c r="G28" i="15"/>
  <c r="G27" i="15"/>
  <c r="G26" i="15"/>
  <c r="F35" i="15"/>
  <c r="F34" i="15"/>
  <c r="F33" i="15"/>
  <c r="F32" i="15"/>
  <c r="F29" i="15"/>
  <c r="F28" i="15"/>
  <c r="F27" i="15"/>
  <c r="F26" i="15"/>
  <c r="E35" i="15"/>
  <c r="E34" i="15"/>
  <c r="E33" i="15"/>
  <c r="E32" i="15"/>
  <c r="E29" i="15"/>
  <c r="E28" i="15"/>
  <c r="E27" i="15"/>
  <c r="E26" i="15"/>
  <c r="D35" i="15"/>
  <c r="D34" i="15"/>
  <c r="D33" i="15"/>
  <c r="D32" i="15"/>
  <c r="D29" i="15"/>
  <c r="D28" i="15"/>
  <c r="D27" i="15"/>
  <c r="D26" i="15"/>
  <c r="I47" i="15" l="1"/>
  <c r="H47" i="15"/>
  <c r="F27" i="16"/>
  <c r="E27" i="16"/>
  <c r="G26" i="16"/>
  <c r="E25" i="16"/>
  <c r="G27" i="16"/>
  <c r="G25" i="16"/>
  <c r="F26" i="16"/>
  <c r="E26" i="16"/>
  <c r="F25" i="16"/>
  <c r="E24" i="16"/>
  <c r="F24" i="16"/>
  <c r="G24" i="16"/>
  <c r="H25" i="16" l="1"/>
  <c r="H26" i="16"/>
  <c r="H27" i="16"/>
  <c r="H24" i="16"/>
  <c r="I26" i="16" l="1"/>
  <c r="I27" i="16"/>
  <c r="I25" i="16"/>
  <c r="J26" i="16" l="1"/>
  <c r="J27" i="16"/>
  <c r="J25" i="16"/>
  <c r="I24" i="16"/>
  <c r="J24" i="16"/>
  <c r="K25" i="16" l="1"/>
  <c r="K27" i="16"/>
  <c r="K26" i="16"/>
  <c r="L26" i="16" l="1"/>
  <c r="L25" i="16"/>
  <c r="L27" i="16"/>
  <c r="K24" i="16" l="1"/>
  <c r="L24" i="16" l="1"/>
  <c r="L29" i="15" l="1"/>
  <c r="K29" i="15"/>
  <c r="J29" i="15"/>
  <c r="L28" i="15"/>
  <c r="K28" i="15"/>
  <c r="J28" i="15"/>
  <c r="L27" i="15"/>
  <c r="K27" i="15"/>
  <c r="J27" i="15"/>
  <c r="L26" i="15"/>
  <c r="K26" i="15"/>
  <c r="J26" i="15"/>
  <c r="F31" i="16" l="1"/>
  <c r="G31" i="16"/>
  <c r="F33" i="16"/>
  <c r="E33" i="16"/>
  <c r="G32" i="16"/>
  <c r="E31" i="16"/>
  <c r="G33" i="16"/>
  <c r="F32" i="16"/>
  <c r="E32" i="16" l="1"/>
  <c r="E30" i="16"/>
  <c r="F30" i="16"/>
  <c r="H31" i="16" l="1"/>
  <c r="H33" i="16"/>
  <c r="G30" i="16"/>
  <c r="H32" i="16"/>
  <c r="I31" i="16" l="1"/>
  <c r="I33" i="16"/>
  <c r="I32" i="16"/>
  <c r="H30" i="16" l="1"/>
  <c r="J31" i="16"/>
  <c r="J33" i="16"/>
  <c r="J32" i="16"/>
  <c r="I30" i="16"/>
  <c r="K31" i="16" l="1"/>
  <c r="K32" i="16"/>
  <c r="K33" i="16"/>
  <c r="J30" i="16" l="1"/>
  <c r="L31" i="16"/>
  <c r="L33" i="16"/>
  <c r="L32" i="16"/>
  <c r="K30" i="16" l="1"/>
  <c r="L30" i="16" l="1"/>
  <c r="C10" i="12" l="1"/>
  <c r="C12" i="12"/>
  <c r="B12" i="12"/>
  <c r="B11" i="12" l="1"/>
  <c r="B10" i="12"/>
  <c r="C11" i="12"/>
  <c r="B6" i="12"/>
  <c r="C6" i="12" l="1"/>
  <c r="G47" i="15" l="1"/>
  <c r="F47" i="15"/>
  <c r="E47" i="15"/>
  <c r="D47" i="15"/>
  <c r="G7" i="29" l="1"/>
  <c r="G6" i="29"/>
  <c r="G5" i="29"/>
  <c r="D12" i="29"/>
  <c r="E12" i="29"/>
  <c r="F12" i="29"/>
  <c r="B49" i="29"/>
  <c r="C49" i="29" s="1"/>
  <c r="E32" i="29"/>
  <c r="C32" i="29"/>
  <c r="C38" i="29" s="1"/>
  <c r="C31" i="29"/>
  <c r="C37" i="29" s="1"/>
  <c r="F30" i="29"/>
  <c r="C30" i="29"/>
  <c r="C36" i="29" s="1"/>
  <c r="C29" i="29"/>
  <c r="C35" i="29" s="1"/>
  <c r="D32" i="29"/>
  <c r="F31" i="29"/>
  <c r="E31" i="29"/>
  <c r="D31" i="29"/>
  <c r="E30" i="29"/>
  <c r="D30" i="29"/>
  <c r="F29" i="29"/>
  <c r="D29" i="29"/>
  <c r="D11" i="29"/>
  <c r="E11" i="29" s="1"/>
  <c r="F11" i="29" s="1"/>
  <c r="G11" i="29" s="1"/>
  <c r="H11" i="29" s="1"/>
  <c r="I11" i="29" s="1"/>
  <c r="J11" i="29" s="1"/>
  <c r="K11" i="29" s="1"/>
  <c r="L11" i="29" s="1"/>
  <c r="C10" i="29"/>
  <c r="B10" i="29"/>
  <c r="G4" i="29"/>
  <c r="A1" i="29"/>
  <c r="B8" i="18"/>
  <c r="B7" i="18"/>
  <c r="B6" i="18"/>
  <c r="B5" i="18"/>
  <c r="L18" i="29"/>
  <c r="L32" i="29" s="1"/>
  <c r="K18" i="29"/>
  <c r="L17" i="29"/>
  <c r="L31" i="29" s="1"/>
  <c r="K17" i="29"/>
  <c r="L16" i="29"/>
  <c r="L30" i="29" s="1"/>
  <c r="K16" i="29"/>
  <c r="L15" i="29"/>
  <c r="L29" i="29" s="1"/>
  <c r="K15" i="29"/>
  <c r="J18" i="29"/>
  <c r="J17" i="29"/>
  <c r="J16" i="29"/>
  <c r="J15" i="29"/>
  <c r="D7" i="29" l="1"/>
  <c r="D5" i="29"/>
  <c r="D6" i="29"/>
  <c r="G8" i="29"/>
  <c r="F32" i="29"/>
  <c r="D4" i="29"/>
  <c r="D37" i="29"/>
  <c r="D35" i="29"/>
  <c r="D38" i="29"/>
  <c r="D36" i="29"/>
  <c r="E29" i="29"/>
  <c r="D8" i="29" l="1"/>
  <c r="E54" i="8" l="1"/>
  <c r="E56" i="8"/>
  <c r="E55" i="8" l="1"/>
  <c r="E50" i="8" l="1"/>
  <c r="C51" i="8" l="1"/>
  <c r="B51" i="8"/>
  <c r="B52" i="8" s="1"/>
  <c r="B57" i="8"/>
  <c r="F56" i="8"/>
  <c r="G56" i="8" s="1"/>
  <c r="G13" i="8" s="1"/>
  <c r="F55" i="8"/>
  <c r="G55" i="8" s="1"/>
  <c r="G12" i="8" s="1"/>
  <c r="E57" i="8"/>
  <c r="D57" i="8"/>
  <c r="F54" i="8"/>
  <c r="G54" i="8" s="1"/>
  <c r="G11" i="8" s="1"/>
  <c r="D51" i="8"/>
  <c r="D52" i="8" s="1"/>
  <c r="G51" i="8" l="1"/>
  <c r="G8" i="8" s="1"/>
  <c r="F57" i="8"/>
  <c r="G57" i="8"/>
  <c r="E51" i="8"/>
  <c r="E52" i="8" s="1"/>
  <c r="C57" i="8"/>
  <c r="F50" i="8"/>
  <c r="G50" i="8" s="1"/>
  <c r="G7" i="8" s="1"/>
  <c r="F51" i="8" l="1"/>
  <c r="F52" i="8" s="1"/>
  <c r="C52" i="8"/>
  <c r="G52" i="8"/>
  <c r="K10" i="15" l="1"/>
  <c r="K9" i="15"/>
  <c r="K8" i="15"/>
  <c r="I40" i="29" l="1"/>
  <c r="H40" i="29" l="1"/>
  <c r="G40" i="29"/>
  <c r="F40" i="29"/>
  <c r="E40" i="29"/>
  <c r="D40" i="29"/>
  <c r="D45" i="29" l="1"/>
  <c r="D44" i="29"/>
  <c r="D43" i="29"/>
  <c r="D42" i="29"/>
  <c r="D18" i="28"/>
  <c r="E44" i="29" l="1"/>
  <c r="E37" i="29"/>
  <c r="D49" i="29"/>
  <c r="D47" i="29"/>
  <c r="E35" i="29"/>
  <c r="E42" i="29"/>
  <c r="D46" i="29"/>
  <c r="E36" i="29"/>
  <c r="E43" i="29"/>
  <c r="E38" i="29"/>
  <c r="E45" i="29"/>
  <c r="D22" i="28"/>
  <c r="D24" i="28"/>
  <c r="D23" i="28"/>
  <c r="F38" i="29" l="1"/>
  <c r="F45" i="29"/>
  <c r="F37" i="29"/>
  <c r="F44" i="29"/>
  <c r="E47" i="29"/>
  <c r="E49" i="29"/>
  <c r="E46" i="29" s="1"/>
  <c r="F35" i="29"/>
  <c r="F42" i="29"/>
  <c r="F43" i="29"/>
  <c r="F36" i="29"/>
  <c r="C24" i="28"/>
  <c r="C23" i="28"/>
  <c r="F47" i="29" l="1"/>
  <c r="F49" i="29"/>
  <c r="F46" i="29" s="1"/>
  <c r="C18" i="28"/>
  <c r="C22" i="28" l="1"/>
  <c r="E22" i="28" l="1"/>
  <c r="E24" i="28"/>
  <c r="E18" i="28" l="1"/>
  <c r="E23" i="28" l="1"/>
  <c r="E19" i="28" l="1"/>
  <c r="D19" i="28"/>
  <c r="C19" i="28"/>
  <c r="B18" i="28" l="1"/>
  <c r="B24" i="28" l="1"/>
  <c r="B23" i="28"/>
  <c r="B22" i="28" l="1"/>
  <c r="B19" i="28" s="1"/>
  <c r="B47" i="28"/>
  <c r="F46" i="28"/>
  <c r="G46" i="28" s="1"/>
  <c r="E47" i="28"/>
  <c r="D47" i="28"/>
  <c r="F44" i="28"/>
  <c r="D42" i="28"/>
  <c r="B42" i="28"/>
  <c r="E36" i="28"/>
  <c r="D36" i="28"/>
  <c r="F35" i="28"/>
  <c r="G35" i="28" s="1"/>
  <c r="F34" i="28"/>
  <c r="G34" i="28" s="1"/>
  <c r="F33" i="28"/>
  <c r="G33" i="28" s="1"/>
  <c r="C36" i="28"/>
  <c r="B36" i="28"/>
  <c r="E31" i="28"/>
  <c r="D31" i="28"/>
  <c r="F30" i="28"/>
  <c r="G30" i="28" s="1"/>
  <c r="C31" i="28"/>
  <c r="B31" i="28"/>
  <c r="E13" i="28"/>
  <c r="D13" i="28"/>
  <c r="C12" i="28"/>
  <c r="B12" i="28"/>
  <c r="E25" i="28"/>
  <c r="D25" i="28"/>
  <c r="D8" i="28"/>
  <c r="D20" i="28"/>
  <c r="C7" i="28"/>
  <c r="B7" i="28"/>
  <c r="B13" i="28"/>
  <c r="E12" i="28"/>
  <c r="D12" i="28"/>
  <c r="E11" i="28"/>
  <c r="D11" i="28"/>
  <c r="C11" i="28"/>
  <c r="E7" i="28"/>
  <c r="D7" i="28"/>
  <c r="A2" i="28"/>
  <c r="A1" i="28"/>
  <c r="B11" i="28" l="1"/>
  <c r="B25" i="28"/>
  <c r="E14" i="28"/>
  <c r="F11" i="28"/>
  <c r="D14" i="28"/>
  <c r="D9" i="28"/>
  <c r="C8" i="28"/>
  <c r="C9" i="28" s="1"/>
  <c r="F36" i="28"/>
  <c r="F7" i="28"/>
  <c r="G36" i="28"/>
  <c r="G44" i="28"/>
  <c r="F41" i="28"/>
  <c r="G41" i="28" s="1"/>
  <c r="F12" i="28"/>
  <c r="C42" i="28"/>
  <c r="F19" i="28"/>
  <c r="G19" i="28" s="1"/>
  <c r="B14" i="28"/>
  <c r="E42" i="28"/>
  <c r="F18" i="28"/>
  <c r="B20" i="28"/>
  <c r="F23" i="28"/>
  <c r="F45" i="28"/>
  <c r="G45" i="28" s="1"/>
  <c r="C47" i="28"/>
  <c r="C13" i="28"/>
  <c r="F13" i="28" s="1"/>
  <c r="C20" i="28"/>
  <c r="C25" i="28"/>
  <c r="F24" i="28"/>
  <c r="F22" i="28"/>
  <c r="F29" i="28"/>
  <c r="G29" i="28" s="1"/>
  <c r="B8" i="28"/>
  <c r="B9" i="28" s="1"/>
  <c r="F40" i="28"/>
  <c r="G23" i="28" l="1"/>
  <c r="G12" i="28" s="1"/>
  <c r="I23" i="29"/>
  <c r="I31" i="29" s="1"/>
  <c r="H23" i="29"/>
  <c r="H31" i="29" s="1"/>
  <c r="K23" i="29"/>
  <c r="K31" i="29" s="1"/>
  <c r="J23" i="29"/>
  <c r="G23" i="29"/>
  <c r="G18" i="28"/>
  <c r="G21" i="29"/>
  <c r="J21" i="29"/>
  <c r="I21" i="29"/>
  <c r="H21" i="29"/>
  <c r="K21" i="29"/>
  <c r="G22" i="28"/>
  <c r="H22" i="29"/>
  <c r="H30" i="29" s="1"/>
  <c r="G22" i="29"/>
  <c r="J22" i="29"/>
  <c r="K22" i="29"/>
  <c r="K30" i="29" s="1"/>
  <c r="I22" i="29"/>
  <c r="I30" i="29" s="1"/>
  <c r="G24" i="28"/>
  <c r="G13" i="28" s="1"/>
  <c r="H24" i="29"/>
  <c r="H32" i="29" s="1"/>
  <c r="K24" i="29"/>
  <c r="K32" i="29" s="1"/>
  <c r="J24" i="29"/>
  <c r="I24" i="29"/>
  <c r="I32" i="29" s="1"/>
  <c r="G24" i="29"/>
  <c r="G8" i="28"/>
  <c r="F14" i="28"/>
  <c r="C14" i="28"/>
  <c r="F25" i="28"/>
  <c r="F20" i="28"/>
  <c r="E20" i="28"/>
  <c r="E8" i="28"/>
  <c r="E9" i="28" s="1"/>
  <c r="F47" i="28"/>
  <c r="G31" i="28"/>
  <c r="F31" i="28"/>
  <c r="G40" i="28"/>
  <c r="G42" i="28" s="1"/>
  <c r="F42" i="28"/>
  <c r="G47" i="28"/>
  <c r="E6" i="29" l="1"/>
  <c r="F6" i="29" s="1"/>
  <c r="G31" i="29"/>
  <c r="E7" i="29"/>
  <c r="F7" i="29" s="1"/>
  <c r="G32" i="29"/>
  <c r="J31" i="29"/>
  <c r="E5" i="29"/>
  <c r="F5" i="29" s="1"/>
  <c r="G30" i="29"/>
  <c r="E4" i="29"/>
  <c r="G29" i="29"/>
  <c r="G12" i="29"/>
  <c r="J32" i="29"/>
  <c r="H12" i="29"/>
  <c r="H29" i="29"/>
  <c r="K29" i="29"/>
  <c r="K12" i="29"/>
  <c r="I12" i="29"/>
  <c r="I29" i="29"/>
  <c r="J30" i="29"/>
  <c r="J12" i="29"/>
  <c r="J29" i="29"/>
  <c r="F8" i="28"/>
  <c r="F9" i="28" s="1"/>
  <c r="G20" i="28"/>
  <c r="G7" i="28"/>
  <c r="G11" i="28"/>
  <c r="G25" i="28"/>
  <c r="G42" i="29" l="1"/>
  <c r="G35" i="29"/>
  <c r="G44" i="29"/>
  <c r="G37" i="29"/>
  <c r="G43" i="29"/>
  <c r="G36" i="29"/>
  <c r="G38" i="29"/>
  <c r="G45" i="29"/>
  <c r="F4" i="29"/>
  <c r="F8" i="29" s="1"/>
  <c r="E8" i="29"/>
  <c r="G14" i="28"/>
  <c r="G9" i="28"/>
  <c r="H36" i="29" l="1"/>
  <c r="H43" i="29"/>
  <c r="G47" i="29"/>
  <c r="H44" i="29"/>
  <c r="H37" i="29"/>
  <c r="H35" i="29"/>
  <c r="H42" i="29"/>
  <c r="H45" i="29"/>
  <c r="H38" i="29"/>
  <c r="G49" i="29"/>
  <c r="D37" i="22"/>
  <c r="D36" i="22"/>
  <c r="D35" i="22"/>
  <c r="D34" i="22"/>
  <c r="H47" i="29" l="1"/>
  <c r="G46" i="29"/>
  <c r="H49" i="29"/>
  <c r="I35" i="29"/>
  <c r="I42" i="29"/>
  <c r="I37" i="29"/>
  <c r="I44" i="29"/>
  <c r="I45" i="29"/>
  <c r="I38" i="29"/>
  <c r="I43" i="29"/>
  <c r="I36" i="29"/>
  <c r="C10" i="10"/>
  <c r="B10" i="10"/>
  <c r="J36" i="29" l="1"/>
  <c r="J38" i="29"/>
  <c r="J37" i="29"/>
  <c r="H46" i="29"/>
  <c r="I49" i="29"/>
  <c r="I46" i="29" s="1"/>
  <c r="I47" i="29"/>
  <c r="J35" i="29"/>
  <c r="C11" i="10"/>
  <c r="B11" i="10"/>
  <c r="E29" i="13" l="1"/>
  <c r="C29" i="8" l="1"/>
  <c r="D29" i="8" l="1"/>
  <c r="D34" i="8"/>
  <c r="C34" i="8"/>
  <c r="C35" i="8"/>
  <c r="D35" i="8" l="1"/>
  <c r="C33" i="8" l="1"/>
  <c r="C30" i="8" s="1"/>
  <c r="D33" i="8" l="1"/>
  <c r="D30" i="8" s="1"/>
  <c r="C22" i="8" l="1"/>
  <c r="C24" i="8"/>
  <c r="C23" i="8"/>
  <c r="C19" i="8" l="1"/>
  <c r="C18" i="8"/>
  <c r="D22" i="8" l="1"/>
  <c r="D24" i="8"/>
  <c r="D23" i="8"/>
  <c r="D19" i="8" l="1"/>
  <c r="D18" i="8"/>
  <c r="E24" i="8" l="1"/>
  <c r="E23" i="8"/>
  <c r="E22" i="8"/>
  <c r="E19" i="8" l="1"/>
  <c r="E18" i="8"/>
  <c r="E33" i="8" l="1"/>
  <c r="E34" i="8"/>
  <c r="E35" i="8" l="1"/>
  <c r="E30" i="8" l="1"/>
  <c r="E29" i="8" l="1"/>
  <c r="B42" i="8" l="1"/>
  <c r="B47" i="8" l="1"/>
  <c r="D40" i="8" l="1"/>
  <c r="C40" i="8"/>
  <c r="C46" i="8"/>
  <c r="C45" i="8"/>
  <c r="D45" i="8" l="1"/>
  <c r="D46" i="8" l="1"/>
  <c r="C44" i="8" l="1"/>
  <c r="D44" i="8" l="1"/>
  <c r="D41" i="8" l="1"/>
  <c r="D42" i="8" s="1"/>
  <c r="D47" i="8"/>
  <c r="C41" i="8"/>
  <c r="C47" i="8"/>
  <c r="C42" i="8" l="1"/>
  <c r="E44" i="8" l="1"/>
  <c r="F44" i="8" l="1"/>
  <c r="E45" i="8"/>
  <c r="G44" i="8" l="1"/>
  <c r="E46" i="8"/>
  <c r="F46" i="8" l="1"/>
  <c r="G46" i="8" s="1"/>
  <c r="E40" i="8"/>
  <c r="F40" i="8" l="1"/>
  <c r="F45" i="8" l="1"/>
  <c r="E47" i="8"/>
  <c r="E41" i="8"/>
  <c r="G40" i="8"/>
  <c r="F41" i="8" l="1"/>
  <c r="E42" i="8"/>
  <c r="G45" i="8"/>
  <c r="F47" i="8"/>
  <c r="G47" i="8" l="1"/>
  <c r="G41" i="8"/>
  <c r="F42" i="8"/>
  <c r="G42" i="8" l="1"/>
  <c r="J23" i="22" l="1"/>
  <c r="J22" i="22"/>
  <c r="J21" i="22"/>
  <c r="J20" i="22"/>
  <c r="I23" i="22"/>
  <c r="I22" i="22"/>
  <c r="I21" i="22"/>
  <c r="I20" i="22"/>
  <c r="H23" i="22"/>
  <c r="H22" i="22"/>
  <c r="H21" i="22"/>
  <c r="H20" i="22"/>
  <c r="G23" i="22"/>
  <c r="G22" i="22"/>
  <c r="G21" i="22"/>
  <c r="G20" i="22"/>
  <c r="F23" i="22"/>
  <c r="F22" i="22"/>
  <c r="F21" i="22"/>
  <c r="F20" i="22"/>
  <c r="E23" i="22"/>
  <c r="E22" i="22"/>
  <c r="E21" i="22"/>
  <c r="E20" i="22"/>
  <c r="C15" i="5" l="1"/>
  <c r="C14" i="5"/>
  <c r="B23" i="27" s="1"/>
  <c r="C13" i="5"/>
  <c r="C12" i="5"/>
  <c r="J8" i="13"/>
  <c r="L8" i="16"/>
  <c r="J10" i="23"/>
  <c r="C14" i="10"/>
  <c r="C13" i="10"/>
  <c r="B21" i="27" l="1"/>
  <c r="B22" i="27"/>
  <c r="B24" i="27"/>
  <c r="C15" i="10"/>
  <c r="J9" i="13"/>
  <c r="J10" i="13"/>
  <c r="L9" i="16"/>
  <c r="L10" i="16"/>
  <c r="J8" i="23"/>
  <c r="J9" i="23"/>
  <c r="A1" i="13" l="1"/>
  <c r="A2" i="10"/>
  <c r="A1" i="10"/>
  <c r="A1" i="23"/>
  <c r="A2" i="8"/>
  <c r="A1" i="8"/>
  <c r="A1" i="24"/>
  <c r="A1" i="16"/>
  <c r="A1" i="19"/>
  <c r="A1" i="12"/>
  <c r="A1" i="22"/>
  <c r="A1" i="15"/>
  <c r="A1" i="27"/>
  <c r="A1" i="5"/>
  <c r="A2" i="20" s="1"/>
  <c r="B35" i="8" l="1"/>
  <c r="B34" i="8"/>
  <c r="B33" i="8"/>
  <c r="B30" i="8"/>
  <c r="B29" i="8"/>
  <c r="B24" i="8"/>
  <c r="B23" i="8"/>
  <c r="B22" i="8"/>
  <c r="B19" i="8"/>
  <c r="B18" i="8"/>
  <c r="B11" i="8" l="1"/>
  <c r="B12" i="8"/>
  <c r="B13" i="8"/>
  <c r="B7" i="8"/>
  <c r="B8" i="8"/>
  <c r="C12" i="8"/>
  <c r="C13" i="8"/>
  <c r="C11" i="8"/>
  <c r="C8" i="8"/>
  <c r="C7" i="8" l="1"/>
  <c r="D13" i="8" l="1"/>
  <c r="D12" i="8"/>
  <c r="D11" i="8"/>
  <c r="D8" i="8"/>
  <c r="D7" i="8" l="1"/>
  <c r="E11" i="8" l="1"/>
  <c r="E12" i="8" l="1"/>
  <c r="E13" i="8"/>
  <c r="E8" i="8" l="1"/>
  <c r="E7" i="8"/>
  <c r="B31" i="8" l="1"/>
  <c r="B9" i="8" l="1"/>
  <c r="A2" i="12" l="1"/>
  <c r="G5" i="23" l="1"/>
  <c r="B52" i="23" l="1"/>
  <c r="B55" i="24"/>
  <c r="B54" i="22"/>
  <c r="G7" i="5" l="1"/>
  <c r="G6" i="5"/>
  <c r="F15" i="27" s="1"/>
  <c r="G5" i="5"/>
  <c r="G4" i="5"/>
  <c r="F14" i="27" l="1"/>
  <c r="F13" i="27"/>
  <c r="Z12" i="5"/>
  <c r="F16" i="27"/>
  <c r="Z15" i="5"/>
  <c r="X15" i="5"/>
  <c r="Z14" i="5"/>
  <c r="B9" i="18"/>
  <c r="D39" i="16" l="1"/>
  <c r="C39" i="16"/>
  <c r="E25" i="8" l="1"/>
  <c r="B25" i="8"/>
  <c r="D25" i="8"/>
  <c r="E20" i="8"/>
  <c r="F23" i="8"/>
  <c r="F19" i="8"/>
  <c r="B20" i="8"/>
  <c r="C20" i="8"/>
  <c r="F22" i="8"/>
  <c r="D20" i="8"/>
  <c r="C25" i="8"/>
  <c r="F24" i="8"/>
  <c r="F18" i="8"/>
  <c r="F25" i="8" l="1"/>
  <c r="F20" i="8"/>
  <c r="G20" i="8" l="1"/>
  <c r="G25" i="8"/>
  <c r="G5" i="16" l="1"/>
  <c r="I6" i="24" l="1"/>
  <c r="I5" i="24"/>
  <c r="C38" i="24" l="1"/>
  <c r="C44" i="24" s="1"/>
  <c r="C37" i="24"/>
  <c r="C43" i="24" s="1"/>
  <c r="C36" i="24"/>
  <c r="C42" i="24" s="1"/>
  <c r="C35" i="24"/>
  <c r="F15" i="16" l="1"/>
  <c r="H15" i="16" l="1"/>
  <c r="G15" i="16"/>
  <c r="I15" i="16" l="1"/>
  <c r="J15" i="16" l="1"/>
  <c r="K15" i="16" l="1"/>
  <c r="L15" i="16" l="1"/>
  <c r="N26" i="16" l="1"/>
  <c r="N25" i="16"/>
  <c r="J39" i="16" l="1"/>
  <c r="I39" i="16"/>
  <c r="H39" i="16"/>
  <c r="L34" i="15" l="1"/>
  <c r="L22" i="22"/>
  <c r="L28" i="22" s="1"/>
  <c r="L33" i="15"/>
  <c r="K33" i="15"/>
  <c r="L20" i="22"/>
  <c r="K21" i="22"/>
  <c r="K27" i="22" s="1"/>
  <c r="M21" i="22" l="1"/>
  <c r="M27" i="22" s="1"/>
  <c r="J33" i="15"/>
  <c r="L21" i="22"/>
  <c r="L27" i="22" s="1"/>
  <c r="J20" i="23"/>
  <c r="K17" i="24"/>
  <c r="K20" i="16"/>
  <c r="J21" i="23"/>
  <c r="K18" i="24"/>
  <c r="K21" i="16"/>
  <c r="K21" i="23"/>
  <c r="L18" i="24"/>
  <c r="L21" i="16"/>
  <c r="K34" i="15"/>
  <c r="K22" i="22"/>
  <c r="K28" i="22" s="1"/>
  <c r="L18" i="13"/>
  <c r="L18" i="23"/>
  <c r="M15" i="24"/>
  <c r="M35" i="24" s="1"/>
  <c r="M18" i="16"/>
  <c r="L20" i="23"/>
  <c r="M17" i="24"/>
  <c r="M37" i="24" s="1"/>
  <c r="M20" i="16"/>
  <c r="J34" i="15"/>
  <c r="J18" i="13"/>
  <c r="J18" i="23"/>
  <c r="K15" i="24"/>
  <c r="K18" i="16"/>
  <c r="K20" i="22"/>
  <c r="M22" i="22"/>
  <c r="M28" i="22" s="1"/>
  <c r="K23" i="22"/>
  <c r="K18" i="13"/>
  <c r="K18" i="23"/>
  <c r="L15" i="24"/>
  <c r="L18" i="16"/>
  <c r="L21" i="23"/>
  <c r="M18" i="24"/>
  <c r="M38" i="24" s="1"/>
  <c r="M21" i="16"/>
  <c r="K19" i="13"/>
  <c r="K19" i="23"/>
  <c r="L16" i="24"/>
  <c r="L19" i="16"/>
  <c r="L19" i="13"/>
  <c r="L19" i="23"/>
  <c r="M16" i="24"/>
  <c r="M36" i="24" s="1"/>
  <c r="M19" i="16"/>
  <c r="J19" i="13"/>
  <c r="J19" i="23"/>
  <c r="K16" i="24"/>
  <c r="K19" i="16"/>
  <c r="M20" i="22"/>
  <c r="L23" i="22"/>
  <c r="K20" i="23"/>
  <c r="L17" i="24"/>
  <c r="L20" i="16"/>
  <c r="M23" i="22"/>
  <c r="E5" i="16" l="1"/>
  <c r="D5" i="23"/>
  <c r="M39" i="16"/>
  <c r="E5" i="24"/>
  <c r="L39" i="16"/>
  <c r="K39" i="16"/>
  <c r="E6" i="24"/>
  <c r="I6" i="22" l="1"/>
  <c r="F6" i="22"/>
  <c r="E6" i="22"/>
  <c r="I5" i="22"/>
  <c r="F5" i="22"/>
  <c r="E5" i="22"/>
  <c r="M36" i="22" l="1"/>
  <c r="I36" i="22"/>
  <c r="H36" i="22"/>
  <c r="G36" i="22"/>
  <c r="F36" i="22"/>
  <c r="E36" i="22"/>
  <c r="C36" i="22"/>
  <c r="C42" i="22" s="1"/>
  <c r="D42" i="22" s="1"/>
  <c r="M35" i="22"/>
  <c r="I35" i="22"/>
  <c r="H35" i="22"/>
  <c r="G35" i="22"/>
  <c r="F35" i="22"/>
  <c r="E35" i="22"/>
  <c r="C35" i="22"/>
  <c r="C41" i="22" s="1"/>
  <c r="D41" i="22" s="1"/>
  <c r="E41" i="22" l="1"/>
  <c r="E42" i="22"/>
  <c r="L34" i="23"/>
  <c r="C34" i="23"/>
  <c r="C40" i="23" s="1"/>
  <c r="L33" i="23"/>
  <c r="C33" i="23"/>
  <c r="C39" i="23" s="1"/>
  <c r="C13" i="13"/>
  <c r="B13" i="13"/>
  <c r="C13" i="23"/>
  <c r="B13" i="23"/>
  <c r="C10" i="24"/>
  <c r="B10" i="24"/>
  <c r="C13" i="16"/>
  <c r="B13" i="16"/>
  <c r="C10" i="22"/>
  <c r="B10" i="22"/>
  <c r="J47" i="15" l="1"/>
  <c r="K47" i="15" l="1"/>
  <c r="K40" i="29" s="1"/>
  <c r="J40" i="29"/>
  <c r="G39" i="16"/>
  <c r="F39" i="16"/>
  <c r="E39" i="16"/>
  <c r="J43" i="29" l="1"/>
  <c r="J44" i="29"/>
  <c r="J45" i="29"/>
  <c r="J42" i="29"/>
  <c r="E15" i="16"/>
  <c r="J49" i="29" l="1"/>
  <c r="J46" i="29" s="1"/>
  <c r="J47" i="29"/>
  <c r="K35" i="29"/>
  <c r="K42" i="29"/>
  <c r="K45" i="29"/>
  <c r="H7" i="29" s="1"/>
  <c r="I7" i="29" s="1"/>
  <c r="Z23" i="5" s="1"/>
  <c r="K38" i="29"/>
  <c r="K37" i="29"/>
  <c r="K44" i="29"/>
  <c r="H6" i="29" s="1"/>
  <c r="I6" i="29" s="1"/>
  <c r="Z22" i="5" s="1"/>
  <c r="K43" i="29"/>
  <c r="H5" i="29" s="1"/>
  <c r="I5" i="29" s="1"/>
  <c r="Z21" i="5" s="1"/>
  <c r="K36" i="29"/>
  <c r="N27" i="16"/>
  <c r="F5" i="16" s="1"/>
  <c r="K49" i="29" l="1"/>
  <c r="K46" i="29" s="1"/>
  <c r="K47" i="29"/>
  <c r="L42" i="29"/>
  <c r="L35" i="29"/>
  <c r="L36" i="29"/>
  <c r="J5" i="29" s="1"/>
  <c r="L43" i="29"/>
  <c r="H4" i="29"/>
  <c r="L38" i="29"/>
  <c r="J7" i="29" s="1"/>
  <c r="L45" i="29"/>
  <c r="L44" i="29"/>
  <c r="L37" i="29"/>
  <c r="J6" i="29" s="1"/>
  <c r="C55" i="24"/>
  <c r="C41" i="24"/>
  <c r="E11" i="24"/>
  <c r="F11" i="24" s="1"/>
  <c r="G11" i="24" s="1"/>
  <c r="H11" i="24" s="1"/>
  <c r="I11" i="24" s="1"/>
  <c r="J11" i="24" s="1"/>
  <c r="K11" i="24" s="1"/>
  <c r="L11" i="24" s="1"/>
  <c r="M11" i="24" s="1"/>
  <c r="I7" i="24"/>
  <c r="I4" i="24"/>
  <c r="L49" i="29" l="1"/>
  <c r="L46" i="29" s="1"/>
  <c r="L47" i="29"/>
  <c r="H8" i="29"/>
  <c r="I4" i="29"/>
  <c r="Z20" i="5" s="1"/>
  <c r="I8" i="24"/>
  <c r="E7" i="24"/>
  <c r="E4" i="24"/>
  <c r="J4" i="29" l="1"/>
  <c r="I8" i="29"/>
  <c r="E8" i="24"/>
  <c r="D14" i="13" l="1"/>
  <c r="D14" i="23"/>
  <c r="E14" i="23" s="1"/>
  <c r="F14" i="23" s="1"/>
  <c r="G14" i="23" s="1"/>
  <c r="H14" i="23" s="1"/>
  <c r="I14" i="23" s="1"/>
  <c r="J14" i="23" s="1"/>
  <c r="K14" i="23" s="1"/>
  <c r="L14" i="23" s="1"/>
  <c r="E14" i="16"/>
  <c r="E11" i="22"/>
  <c r="E14" i="15"/>
  <c r="F14" i="15" s="1"/>
  <c r="G14" i="15" s="1"/>
  <c r="H14" i="15" s="1"/>
  <c r="I14" i="15" s="1"/>
  <c r="J14" i="15" s="1"/>
  <c r="K14" i="15" s="1"/>
  <c r="L14" i="15" s="1"/>
  <c r="M11" i="22" s="1"/>
  <c r="C52" i="23"/>
  <c r="C35" i="23"/>
  <c r="C41" i="23" s="1"/>
  <c r="C32" i="23"/>
  <c r="C38" i="23" s="1"/>
  <c r="L35" i="23"/>
  <c r="L32" i="23"/>
  <c r="G4" i="23"/>
  <c r="G6" i="23" s="1"/>
  <c r="C38" i="16"/>
  <c r="C54" i="22"/>
  <c r="M52" i="22"/>
  <c r="M29" i="22"/>
  <c r="L29" i="22"/>
  <c r="K29" i="22"/>
  <c r="M26" i="22"/>
  <c r="L26" i="22"/>
  <c r="K26" i="22"/>
  <c r="C37" i="22"/>
  <c r="C43" i="22" s="1"/>
  <c r="D43" i="22" s="1"/>
  <c r="H37" i="22"/>
  <c r="G37" i="22"/>
  <c r="G34" i="22"/>
  <c r="F34" i="22"/>
  <c r="I7" i="22"/>
  <c r="I4" i="22"/>
  <c r="I8" i="22" l="1"/>
  <c r="M34" i="22"/>
  <c r="H34" i="22"/>
  <c r="I34" i="22"/>
  <c r="F37" i="22"/>
  <c r="I37" i="22"/>
  <c r="J11" i="23"/>
  <c r="F4" i="22"/>
  <c r="M37" i="22"/>
  <c r="F7" i="22"/>
  <c r="D4" i="23"/>
  <c r="F11" i="22"/>
  <c r="H11" i="22"/>
  <c r="G11" i="22"/>
  <c r="I11" i="22"/>
  <c r="J11" i="22"/>
  <c r="K11" i="22"/>
  <c r="L11" i="22"/>
  <c r="E37" i="22"/>
  <c r="E43" i="22" s="1"/>
  <c r="E7" i="22"/>
  <c r="E4" i="22"/>
  <c r="C34" i="22"/>
  <c r="C40" i="22" s="1"/>
  <c r="D40" i="22" s="1"/>
  <c r="E34" i="22"/>
  <c r="E40" i="22" l="1"/>
  <c r="D6" i="23"/>
  <c r="F8" i="22"/>
  <c r="E8" i="22"/>
  <c r="A2" i="19" l="1"/>
  <c r="AA23" i="5" l="1"/>
  <c r="AA15" i="5"/>
  <c r="AA22" i="5"/>
  <c r="AA14" i="5"/>
  <c r="E16" i="20" l="1"/>
  <c r="E15" i="20"/>
  <c r="D16" i="20"/>
  <c r="AA13" i="5"/>
  <c r="AA21" i="5"/>
  <c r="D15" i="20"/>
  <c r="J11" i="13"/>
  <c r="C16" i="10" l="1"/>
  <c r="D14" i="20"/>
  <c r="E14" i="20"/>
  <c r="K11" i="15"/>
  <c r="L11" i="16"/>
  <c r="B13" i="12" l="1"/>
  <c r="B7" i="12" s="1"/>
  <c r="T15" i="5"/>
  <c r="T14" i="5"/>
  <c r="T13" i="5"/>
  <c r="C13" i="12" l="1"/>
  <c r="C7" i="12" s="1"/>
  <c r="D38" i="16" l="1"/>
  <c r="D15" i="16"/>
  <c r="B52" i="16" l="1"/>
  <c r="B54" i="15"/>
  <c r="C42" i="13" l="1"/>
  <c r="F29" i="13"/>
  <c r="D29" i="13"/>
  <c r="C29" i="13"/>
  <c r="C33" i="13" s="1"/>
  <c r="F28" i="13"/>
  <c r="E28" i="13"/>
  <c r="D28" i="13"/>
  <c r="C28" i="13"/>
  <c r="C32" i="13" s="1"/>
  <c r="H29" i="13"/>
  <c r="J15" i="13"/>
  <c r="I15" i="13"/>
  <c r="I28" i="13"/>
  <c r="H28" i="13"/>
  <c r="G28" i="13"/>
  <c r="K15" i="13"/>
  <c r="G15" i="13"/>
  <c r="F15" i="13"/>
  <c r="E15" i="13"/>
  <c r="D15" i="13"/>
  <c r="E14" i="13"/>
  <c r="F14" i="13" s="1"/>
  <c r="G14" i="13" s="1"/>
  <c r="H14" i="13" s="1"/>
  <c r="I14" i="13" s="1"/>
  <c r="J14" i="13" s="1"/>
  <c r="K14" i="13" s="1"/>
  <c r="L14" i="13" s="1"/>
  <c r="G5" i="13"/>
  <c r="G4" i="13"/>
  <c r="G6" i="13" l="1"/>
  <c r="D33" i="13"/>
  <c r="D32" i="13"/>
  <c r="I29" i="13"/>
  <c r="E5" i="13"/>
  <c r="E4" i="13"/>
  <c r="G29" i="13"/>
  <c r="H15" i="13"/>
  <c r="E6" i="13" l="1"/>
  <c r="L29" i="13" l="1"/>
  <c r="L28" i="13"/>
  <c r="K28" i="13"/>
  <c r="K29" i="13"/>
  <c r="J28" i="13" l="1"/>
  <c r="D4" i="13"/>
  <c r="J29" i="13"/>
  <c r="D5" i="13"/>
  <c r="F5" i="13" s="1"/>
  <c r="D6" i="13" l="1"/>
  <c r="F4" i="13"/>
  <c r="F6" i="13" l="1"/>
  <c r="C23" i="15" l="1"/>
  <c r="C41" i="15" s="1"/>
  <c r="C22" i="15"/>
  <c r="H46" i="24" l="1"/>
  <c r="G35" i="13"/>
  <c r="G43" i="23"/>
  <c r="H45" i="16"/>
  <c r="H45" i="22"/>
  <c r="E46" i="24"/>
  <c r="D35" i="13"/>
  <c r="E45" i="16"/>
  <c r="D43" i="23"/>
  <c r="E45" i="22"/>
  <c r="F46" i="24"/>
  <c r="E35" i="13"/>
  <c r="E43" i="23"/>
  <c r="F45" i="16"/>
  <c r="F45" i="22"/>
  <c r="G46" i="24"/>
  <c r="F35" i="13"/>
  <c r="F43" i="23"/>
  <c r="G45" i="16"/>
  <c r="G45" i="22"/>
  <c r="I46" i="24"/>
  <c r="H35" i="13"/>
  <c r="H43" i="23"/>
  <c r="I45" i="16"/>
  <c r="I45" i="22"/>
  <c r="E49" i="22" l="1"/>
  <c r="E48" i="22"/>
  <c r="E50" i="22"/>
  <c r="E47" i="22"/>
  <c r="D38" i="13"/>
  <c r="D37" i="13"/>
  <c r="J46" i="24"/>
  <c r="I43" i="23"/>
  <c r="J45" i="16"/>
  <c r="I35" i="13"/>
  <c r="J45" i="22"/>
  <c r="C52" i="16"/>
  <c r="D52" i="16" s="1"/>
  <c r="E54" i="22" l="1"/>
  <c r="E51" i="22" s="1"/>
  <c r="F42" i="22"/>
  <c r="F49" i="22"/>
  <c r="F41" i="22"/>
  <c r="F48" i="22"/>
  <c r="F47" i="22"/>
  <c r="E52" i="22"/>
  <c r="F40" i="22"/>
  <c r="E37" i="13"/>
  <c r="E32" i="13"/>
  <c r="D40" i="13"/>
  <c r="D42" i="13"/>
  <c r="D39" i="13" s="1"/>
  <c r="F50" i="22"/>
  <c r="F43" i="22"/>
  <c r="E33" i="13"/>
  <c r="E38" i="13"/>
  <c r="L35" i="15"/>
  <c r="K35" i="15"/>
  <c r="J35" i="15"/>
  <c r="L32" i="15"/>
  <c r="K32" i="15"/>
  <c r="J32" i="15"/>
  <c r="F54" i="22" l="1"/>
  <c r="F51" i="22" s="1"/>
  <c r="G42" i="22"/>
  <c r="G41" i="22"/>
  <c r="G48" i="22"/>
  <c r="G49" i="22"/>
  <c r="G47" i="22"/>
  <c r="G40" i="22"/>
  <c r="F52" i="22"/>
  <c r="F33" i="13"/>
  <c r="F38" i="13"/>
  <c r="F32" i="13"/>
  <c r="F37" i="13"/>
  <c r="G43" i="22"/>
  <c r="G50" i="22"/>
  <c r="E40" i="13"/>
  <c r="E42" i="13"/>
  <c r="E39" i="13" s="1"/>
  <c r="G38" i="13" l="1"/>
  <c r="G37" i="13"/>
  <c r="H49" i="22"/>
  <c r="G54" i="22"/>
  <c r="G51" i="22" s="1"/>
  <c r="H42" i="22"/>
  <c r="H41" i="22"/>
  <c r="H48" i="22"/>
  <c r="H50" i="22"/>
  <c r="H43" i="22"/>
  <c r="H40" i="22"/>
  <c r="H47" i="22"/>
  <c r="G33" i="13"/>
  <c r="G52" i="22"/>
  <c r="G32" i="13"/>
  <c r="F42" i="13"/>
  <c r="F39" i="13" s="1"/>
  <c r="F40" i="13"/>
  <c r="H37" i="13" l="1"/>
  <c r="H54" i="22"/>
  <c r="H51" i="22" s="1"/>
  <c r="I48" i="22"/>
  <c r="I41" i="22"/>
  <c r="I42" i="22"/>
  <c r="I49" i="22"/>
  <c r="H33" i="13"/>
  <c r="H38" i="13"/>
  <c r="I40" i="22"/>
  <c r="I47" i="22"/>
  <c r="G40" i="13"/>
  <c r="G42" i="13"/>
  <c r="G39" i="13" s="1"/>
  <c r="H32" i="13"/>
  <c r="H52" i="22"/>
  <c r="I50" i="22"/>
  <c r="I43" i="22"/>
  <c r="C43" i="16"/>
  <c r="D43" i="16" s="1"/>
  <c r="C42" i="16"/>
  <c r="D42" i="16" s="1"/>
  <c r="M38" i="16"/>
  <c r="F14" i="16"/>
  <c r="G14" i="16" s="1"/>
  <c r="H14" i="16" s="1"/>
  <c r="I14" i="16" s="1"/>
  <c r="J14" i="16" s="1"/>
  <c r="K14" i="16" s="1"/>
  <c r="L14" i="16" s="1"/>
  <c r="M14" i="16" s="1"/>
  <c r="I5" i="16"/>
  <c r="I4" i="16"/>
  <c r="C54" i="15"/>
  <c r="L52" i="15"/>
  <c r="C45" i="15"/>
  <c r="C40" i="15"/>
  <c r="C44" i="15" s="1"/>
  <c r="L23" i="15"/>
  <c r="L41" i="15" s="1"/>
  <c r="L22" i="15"/>
  <c r="H5" i="15"/>
  <c r="H4" i="15"/>
  <c r="I54" i="22" l="1"/>
  <c r="I51" i="22" s="1"/>
  <c r="I52" i="22"/>
  <c r="K46" i="24"/>
  <c r="J43" i="23"/>
  <c r="K45" i="16"/>
  <c r="J35" i="13"/>
  <c r="K45" i="22"/>
  <c r="I32" i="13"/>
  <c r="I37" i="13"/>
  <c r="H40" i="13"/>
  <c r="H42" i="13"/>
  <c r="H39" i="13" s="1"/>
  <c r="I33" i="13"/>
  <c r="I38" i="13"/>
  <c r="H6" i="15"/>
  <c r="I6" i="16"/>
  <c r="L40" i="15"/>
  <c r="E4" i="16"/>
  <c r="J38" i="13" l="1"/>
  <c r="J33" i="13"/>
  <c r="I42" i="13"/>
  <c r="I39" i="13" s="1"/>
  <c r="I40" i="13"/>
  <c r="J32" i="13"/>
  <c r="J37" i="13"/>
  <c r="E6" i="16"/>
  <c r="K33" i="13" l="1"/>
  <c r="J42" i="13"/>
  <c r="J39" i="13" s="1"/>
  <c r="K32" i="13"/>
  <c r="J40" i="13"/>
  <c r="L46" i="24" l="1"/>
  <c r="K43" i="23"/>
  <c r="K35" i="13"/>
  <c r="K37" i="13" s="1"/>
  <c r="L45" i="22"/>
  <c r="L45" i="16"/>
  <c r="K38" i="13" l="1"/>
  <c r="L33" i="13" s="1"/>
  <c r="H4" i="13"/>
  <c r="L32" i="13"/>
  <c r="L37" i="13"/>
  <c r="K40" i="13" l="1"/>
  <c r="H5" i="13"/>
  <c r="I5" i="13" s="1"/>
  <c r="I9" i="13" s="1"/>
  <c r="K42" i="13"/>
  <c r="K39" i="13" s="1"/>
  <c r="L38" i="13"/>
  <c r="L40" i="13" s="1"/>
  <c r="I4" i="13"/>
  <c r="L42" i="13" l="1"/>
  <c r="L39" i="13" s="1"/>
  <c r="J5" i="13"/>
  <c r="I8" i="13"/>
  <c r="V21" i="5" s="1"/>
  <c r="I10" i="13"/>
  <c r="F23" i="5" s="1"/>
  <c r="E32" i="27" s="1"/>
  <c r="H6" i="13"/>
  <c r="F22" i="5"/>
  <c r="E31" i="27" s="1"/>
  <c r="V22" i="5"/>
  <c r="I6" i="13"/>
  <c r="F20" i="5"/>
  <c r="E29" i="27" s="1"/>
  <c r="J4" i="13"/>
  <c r="V23" i="5" l="1"/>
  <c r="F21" i="5"/>
  <c r="E30" i="27" s="1"/>
  <c r="I11" i="13"/>
  <c r="AA20" i="5" l="1"/>
  <c r="AA12" i="5"/>
  <c r="V20" i="5"/>
  <c r="E13" i="20" l="1"/>
  <c r="D13" i="20"/>
  <c r="V12" i="5" l="1"/>
  <c r="E5" i="20" s="1"/>
  <c r="E21" i="20" s="1"/>
  <c r="B15" i="10" l="1"/>
  <c r="B13" i="10"/>
  <c r="B14" i="10"/>
  <c r="F12" i="5"/>
  <c r="E21" i="27" s="1"/>
  <c r="D10" i="10"/>
  <c r="D11" i="10" s="1"/>
  <c r="E13" i="27" l="1"/>
  <c r="V14" i="5"/>
  <c r="E7" i="20" s="1"/>
  <c r="E23" i="20" s="1"/>
  <c r="F14" i="5"/>
  <c r="E23" i="27" s="1"/>
  <c r="F13" i="5"/>
  <c r="E22" i="27" s="1"/>
  <c r="B16" i="10"/>
  <c r="V13" i="5"/>
  <c r="E6" i="20" s="1"/>
  <c r="E22" i="20" s="1"/>
  <c r="F15" i="5"/>
  <c r="E24" i="27" s="1"/>
  <c r="V15" i="5"/>
  <c r="E8" i="20" s="1"/>
  <c r="E24" i="20" s="1"/>
  <c r="F4" i="5"/>
  <c r="M4" i="5"/>
  <c r="E14" i="27" l="1"/>
  <c r="E15" i="27"/>
  <c r="E16" i="27"/>
  <c r="M7" i="5"/>
  <c r="E29" i="20" s="1"/>
  <c r="F7" i="5"/>
  <c r="F5" i="5"/>
  <c r="M5" i="5"/>
  <c r="F6" i="5"/>
  <c r="M6" i="5"/>
  <c r="E28" i="20" s="1"/>
  <c r="E26" i="20"/>
  <c r="K23" i="15"/>
  <c r="K41" i="15" s="1"/>
  <c r="E27" i="20" l="1"/>
  <c r="J22" i="15"/>
  <c r="J40" i="15" l="1"/>
  <c r="K22" i="15" l="1"/>
  <c r="K40" i="15" l="1"/>
  <c r="J23" i="15" l="1"/>
  <c r="J41" i="15" s="1"/>
  <c r="K38" i="16" l="1"/>
  <c r="L38" i="16" l="1"/>
  <c r="T12" i="5" l="1"/>
  <c r="B8" i="12" l="1"/>
  <c r="C8" i="12" l="1"/>
  <c r="E38" i="16" l="1"/>
  <c r="F38" i="16" l="1"/>
  <c r="E47" i="16"/>
  <c r="E42" i="16"/>
  <c r="F47" i="16" l="1"/>
  <c r="F42" i="16"/>
  <c r="G38" i="16"/>
  <c r="E48" i="16"/>
  <c r="E52" i="16" s="1"/>
  <c r="E43" i="16"/>
  <c r="E49" i="16" l="1"/>
  <c r="E50" i="16"/>
  <c r="H38" i="16"/>
  <c r="G42" i="16"/>
  <c r="G47" i="16"/>
  <c r="F48" i="16"/>
  <c r="F52" i="16" s="1"/>
  <c r="F43" i="16"/>
  <c r="N24" i="16"/>
  <c r="F4" i="16" s="1"/>
  <c r="F49" i="16" l="1"/>
  <c r="H47" i="16"/>
  <c r="H42" i="16"/>
  <c r="F6" i="16"/>
  <c r="I38" i="16"/>
  <c r="F50" i="16"/>
  <c r="G48" i="16"/>
  <c r="G50" i="16" s="1"/>
  <c r="G43" i="16"/>
  <c r="G52" i="16" l="1"/>
  <c r="G49" i="16" s="1"/>
  <c r="H43" i="16"/>
  <c r="H48" i="16"/>
  <c r="H50" i="16" s="1"/>
  <c r="J38" i="16"/>
  <c r="I47" i="16"/>
  <c r="I42" i="16"/>
  <c r="G4" i="16"/>
  <c r="H4" i="16" l="1"/>
  <c r="I48" i="16"/>
  <c r="I50" i="16" s="1"/>
  <c r="I43" i="16"/>
  <c r="H52" i="16"/>
  <c r="H49" i="16" s="1"/>
  <c r="H5" i="16"/>
  <c r="J42" i="16"/>
  <c r="J47" i="16"/>
  <c r="G6" i="16" l="1"/>
  <c r="J43" i="16"/>
  <c r="J48" i="16"/>
  <c r="J50" i="16" s="1"/>
  <c r="I52" i="16"/>
  <c r="I49" i="16" s="1"/>
  <c r="K47" i="16"/>
  <c r="K42" i="16"/>
  <c r="H6" i="16"/>
  <c r="J52" i="16" l="1"/>
  <c r="J49" i="16" s="1"/>
  <c r="L42" i="16"/>
  <c r="L47" i="16"/>
  <c r="J4" i="16" s="1"/>
  <c r="K43" i="16"/>
  <c r="K48" i="16"/>
  <c r="K52" i="16" l="1"/>
  <c r="L48" i="16"/>
  <c r="J5" i="16" s="1"/>
  <c r="L43" i="16"/>
  <c r="K4" i="16"/>
  <c r="K50" i="16"/>
  <c r="M47" i="16"/>
  <c r="M42" i="16"/>
  <c r="K5" i="16" l="1"/>
  <c r="L4" i="16"/>
  <c r="T20" i="5"/>
  <c r="J6" i="16"/>
  <c r="M43" i="16"/>
  <c r="M48" i="16"/>
  <c r="K49" i="16"/>
  <c r="L52" i="16"/>
  <c r="L50" i="16"/>
  <c r="C5" i="20" l="1"/>
  <c r="L5" i="16"/>
  <c r="K6" i="16"/>
  <c r="K8" i="16"/>
  <c r="T21" i="5" s="1"/>
  <c r="K9" i="16"/>
  <c r="T22" i="5" s="1"/>
  <c r="K10" i="16"/>
  <c r="T23" i="5" s="1"/>
  <c r="L49" i="16"/>
  <c r="M52" i="16"/>
  <c r="M49" i="16" s="1"/>
  <c r="M50" i="16"/>
  <c r="K11" i="16" l="1"/>
  <c r="C7" i="20" l="1"/>
  <c r="C6" i="20"/>
  <c r="C8" i="20"/>
  <c r="E5" i="15" l="1"/>
  <c r="E4" i="15" l="1"/>
  <c r="E6" i="15" s="1"/>
  <c r="D5" i="15" l="1"/>
  <c r="D4" i="15" l="1"/>
  <c r="D6" i="15" l="1"/>
  <c r="J37" i="22" l="1"/>
  <c r="J36" i="22" l="1"/>
  <c r="J43" i="22"/>
  <c r="J50" i="22"/>
  <c r="J34" i="22"/>
  <c r="J47" i="22" l="1"/>
  <c r="J40" i="22"/>
  <c r="J42" i="22"/>
  <c r="J49" i="22"/>
  <c r="J35" i="22" l="1"/>
  <c r="J48" i="22" l="1"/>
  <c r="J41" i="22"/>
  <c r="J52" i="22" l="1"/>
  <c r="J54" i="22"/>
  <c r="J51" i="22" s="1"/>
  <c r="F23" i="15" l="1"/>
  <c r="F41" i="15" s="1"/>
  <c r="D23" i="15"/>
  <c r="D41" i="15" s="1"/>
  <c r="G23" i="15"/>
  <c r="G41" i="15" s="1"/>
  <c r="D22" i="15"/>
  <c r="E23" i="15"/>
  <c r="E41" i="15" s="1"/>
  <c r="I22" i="15"/>
  <c r="I40" i="15" s="1"/>
  <c r="H22" i="15"/>
  <c r="H40" i="15" s="1"/>
  <c r="G22" i="15"/>
  <c r="G40" i="15" s="1"/>
  <c r="I23" i="15"/>
  <c r="I41" i="15" s="1"/>
  <c r="F22" i="15"/>
  <c r="F40" i="15" s="1"/>
  <c r="H23" i="15"/>
  <c r="H41" i="15" s="1"/>
  <c r="E22" i="15"/>
  <c r="E40" i="15" s="1"/>
  <c r="D45" i="15" l="1"/>
  <c r="D50" i="15"/>
  <c r="F5" i="15"/>
  <c r="G5" i="15" s="1"/>
  <c r="D40" i="15"/>
  <c r="F4" i="15"/>
  <c r="F6" i="15" l="1"/>
  <c r="G4" i="15"/>
  <c r="D49" i="15"/>
  <c r="D44" i="15"/>
  <c r="E50" i="15"/>
  <c r="E45" i="15"/>
  <c r="F45" i="15" l="1"/>
  <c r="F50" i="15"/>
  <c r="E44" i="15"/>
  <c r="E49" i="15"/>
  <c r="G6" i="15"/>
  <c r="D52" i="15"/>
  <c r="D54" i="15"/>
  <c r="D51" i="15" s="1"/>
  <c r="E52" i="15" l="1"/>
  <c r="E54" i="15"/>
  <c r="E51" i="15" s="1"/>
  <c r="F49" i="15"/>
  <c r="F44" i="15"/>
  <c r="G49" i="15" s="1"/>
  <c r="G45" i="15"/>
  <c r="G50" i="15"/>
  <c r="H45" i="15" l="1"/>
  <c r="H50" i="15"/>
  <c r="F52" i="15"/>
  <c r="F54" i="15"/>
  <c r="F51" i="15" s="1"/>
  <c r="G44" i="15"/>
  <c r="H44" i="15" l="1"/>
  <c r="H49" i="15"/>
  <c r="G52" i="15"/>
  <c r="G54" i="15"/>
  <c r="G51" i="15" s="1"/>
  <c r="I50" i="15"/>
  <c r="I45" i="15"/>
  <c r="J45" i="15" l="1"/>
  <c r="J50" i="15"/>
  <c r="H52" i="15"/>
  <c r="H54" i="15"/>
  <c r="H51" i="15" s="1"/>
  <c r="I44" i="15"/>
  <c r="I49" i="15"/>
  <c r="J44" i="15" l="1"/>
  <c r="J49" i="15"/>
  <c r="I52" i="15"/>
  <c r="I54" i="15"/>
  <c r="I51" i="15" s="1"/>
  <c r="K50" i="15"/>
  <c r="I5" i="15" s="1"/>
  <c r="J5" i="15" s="1"/>
  <c r="K45" i="15"/>
  <c r="J9" i="15" l="1"/>
  <c r="S22" i="5" s="1"/>
  <c r="J10" i="15"/>
  <c r="S23" i="5" s="1"/>
  <c r="J8" i="15"/>
  <c r="S21" i="5" s="1"/>
  <c r="L45" i="15"/>
  <c r="K5" i="15" s="1"/>
  <c r="J52" i="15"/>
  <c r="J54" i="15"/>
  <c r="J51" i="15" s="1"/>
  <c r="K49" i="15"/>
  <c r="K44" i="15"/>
  <c r="J11" i="15" l="1"/>
  <c r="K52" i="15"/>
  <c r="K54" i="15"/>
  <c r="L54" i="15" s="1"/>
  <c r="I4" i="15"/>
  <c r="L44" i="15"/>
  <c r="B7" i="20" l="1"/>
  <c r="L51" i="15"/>
  <c r="B8" i="20"/>
  <c r="I6" i="15"/>
  <c r="J4" i="15"/>
  <c r="S20" i="5" s="1"/>
  <c r="K51" i="15"/>
  <c r="B6" i="20"/>
  <c r="J6" i="15" l="1"/>
  <c r="K4" i="15"/>
  <c r="B5" i="20" l="1"/>
  <c r="L34" i="22" l="1"/>
  <c r="K34" i="22"/>
  <c r="G4" i="22"/>
  <c r="L37" i="22"/>
  <c r="L36" i="22"/>
  <c r="H4" i="22" l="1"/>
  <c r="K37" i="22"/>
  <c r="G7" i="22"/>
  <c r="H7" i="22" s="1"/>
  <c r="K36" i="22"/>
  <c r="G6" i="22"/>
  <c r="H6" i="22" s="1"/>
  <c r="K40" i="22"/>
  <c r="K47" i="22"/>
  <c r="K50" i="22" l="1"/>
  <c r="K43" i="22"/>
  <c r="L40" i="22"/>
  <c r="L47" i="22"/>
  <c r="K49" i="22"/>
  <c r="K42" i="22"/>
  <c r="L43" i="22" l="1"/>
  <c r="L50" i="22"/>
  <c r="J4" i="22"/>
  <c r="L35" i="22"/>
  <c r="M40" i="22"/>
  <c r="K35" i="22"/>
  <c r="G5" i="22"/>
  <c r="L49" i="22"/>
  <c r="L42" i="22"/>
  <c r="J7" i="22" l="1"/>
  <c r="K7" i="22" s="1"/>
  <c r="X23" i="5" s="1"/>
  <c r="M42" i="22"/>
  <c r="H5" i="22"/>
  <c r="G8" i="22"/>
  <c r="K4" i="22"/>
  <c r="X20" i="5" s="1"/>
  <c r="M43" i="22"/>
  <c r="J6" i="22"/>
  <c r="K6" i="22" s="1"/>
  <c r="K41" i="22"/>
  <c r="K48" i="22"/>
  <c r="C9" i="18"/>
  <c r="L7" i="22" l="1"/>
  <c r="C23" i="5"/>
  <c r="L4" i="22"/>
  <c r="C20" i="5"/>
  <c r="H8" i="22"/>
  <c r="K52" i="22"/>
  <c r="K54" i="22"/>
  <c r="K51" i="22" s="1"/>
  <c r="L41" i="22"/>
  <c r="L48" i="22"/>
  <c r="L6" i="22"/>
  <c r="X22" i="5"/>
  <c r="C22" i="5"/>
  <c r="J6" i="5" s="1"/>
  <c r="B16" i="20"/>
  <c r="B24" i="20" s="1"/>
  <c r="B29" i="27" l="1"/>
  <c r="B13" i="27" s="1"/>
  <c r="J4" i="5"/>
  <c r="B32" i="27"/>
  <c r="J7" i="5"/>
  <c r="S28" i="5" s="1"/>
  <c r="S27" i="5"/>
  <c r="B31" i="27"/>
  <c r="B15" i="27" s="1"/>
  <c r="B16" i="27"/>
  <c r="C7" i="5"/>
  <c r="J5" i="22"/>
  <c r="L52" i="22"/>
  <c r="L54" i="22"/>
  <c r="M54" i="22" s="1"/>
  <c r="M41" i="22"/>
  <c r="B13" i="20"/>
  <c r="B21" i="20" s="1"/>
  <c r="C6" i="5"/>
  <c r="C4" i="5"/>
  <c r="B15" i="20"/>
  <c r="B23" i="20" s="1"/>
  <c r="S25" i="5" l="1"/>
  <c r="B29" i="20"/>
  <c r="B26" i="20"/>
  <c r="B28" i="20"/>
  <c r="M51" i="22"/>
  <c r="L51" i="22"/>
  <c r="J8" i="22"/>
  <c r="K5" i="22"/>
  <c r="L5" i="22" l="1"/>
  <c r="X21" i="5"/>
  <c r="C21" i="5"/>
  <c r="K8" i="22"/>
  <c r="B30" i="27" l="1"/>
  <c r="B14" i="27" s="1"/>
  <c r="J5" i="5"/>
  <c r="C5" i="5"/>
  <c r="B14" i="20"/>
  <c r="B22" i="20" s="1"/>
  <c r="S26" i="5" l="1"/>
  <c r="B27" i="20"/>
  <c r="B36" i="8" l="1"/>
  <c r="B14" i="8" l="1"/>
  <c r="C31" i="8" l="1"/>
  <c r="C36" i="8"/>
  <c r="D14" i="8" l="1"/>
  <c r="D36" i="8"/>
  <c r="C14" i="8"/>
  <c r="C9" i="8"/>
  <c r="D9" i="8"/>
  <c r="D31" i="8"/>
  <c r="F33" i="8" l="1"/>
  <c r="F12" i="8"/>
  <c r="F34" i="8"/>
  <c r="E36" i="8"/>
  <c r="K26" i="23" l="1"/>
  <c r="J26" i="23"/>
  <c r="I26" i="23"/>
  <c r="H26" i="23"/>
  <c r="G26" i="23"/>
  <c r="D26" i="23"/>
  <c r="D34" i="23" s="1"/>
  <c r="E26" i="23"/>
  <c r="E34" i="23" s="1"/>
  <c r="F26" i="23"/>
  <c r="F34" i="23" s="1"/>
  <c r="J25" i="23"/>
  <c r="I25" i="23"/>
  <c r="K25" i="23"/>
  <c r="H25" i="23"/>
  <c r="G25" i="23"/>
  <c r="F25" i="23"/>
  <c r="F33" i="23" s="1"/>
  <c r="E25" i="23"/>
  <c r="E33" i="23" s="1"/>
  <c r="D25" i="23"/>
  <c r="D33" i="23" s="1"/>
  <c r="F13" i="8"/>
  <c r="F35" i="8"/>
  <c r="F11" i="8"/>
  <c r="K27" i="23" l="1"/>
  <c r="J27" i="23"/>
  <c r="I27" i="23"/>
  <c r="H27" i="23"/>
  <c r="G27" i="23"/>
  <c r="F27" i="23"/>
  <c r="F35" i="23" s="1"/>
  <c r="E27" i="23"/>
  <c r="E35" i="23" s="1"/>
  <c r="D27" i="23"/>
  <c r="D35" i="23" s="1"/>
  <c r="E14" i="5"/>
  <c r="D23" i="27" s="1"/>
  <c r="E13" i="5"/>
  <c r="D22" i="27" s="1"/>
  <c r="D40" i="23"/>
  <c r="D47" i="23"/>
  <c r="D39" i="23"/>
  <c r="D46" i="23"/>
  <c r="I33" i="23"/>
  <c r="H33" i="23"/>
  <c r="K33" i="23"/>
  <c r="J33" i="23"/>
  <c r="K34" i="23"/>
  <c r="G34" i="23"/>
  <c r="H34" i="23"/>
  <c r="I34" i="23"/>
  <c r="G33" i="23"/>
  <c r="E14" i="8"/>
  <c r="F14" i="8"/>
  <c r="F36" i="8"/>
  <c r="U13" i="5" l="1"/>
  <c r="E15" i="5"/>
  <c r="D24" i="27" s="1"/>
  <c r="D41" i="23"/>
  <c r="D48" i="23"/>
  <c r="E39" i="23"/>
  <c r="E46" i="23"/>
  <c r="E47" i="23"/>
  <c r="E40" i="23"/>
  <c r="U14" i="5"/>
  <c r="K35" i="23"/>
  <c r="H35" i="23"/>
  <c r="G35" i="23"/>
  <c r="I35" i="23"/>
  <c r="G36" i="8"/>
  <c r="J34" i="23"/>
  <c r="U15" i="5"/>
  <c r="G14" i="8"/>
  <c r="F47" i="23" l="1"/>
  <c r="F40" i="23"/>
  <c r="F39" i="23"/>
  <c r="F46" i="23"/>
  <c r="E48" i="23"/>
  <c r="E41" i="23"/>
  <c r="J35" i="23"/>
  <c r="E5" i="23"/>
  <c r="F5" i="23" s="1"/>
  <c r="E31" i="8"/>
  <c r="F29" i="8"/>
  <c r="F8" i="8"/>
  <c r="F30" i="8"/>
  <c r="K24" i="23" l="1"/>
  <c r="J24" i="23"/>
  <c r="I24" i="23"/>
  <c r="H24" i="23"/>
  <c r="G24" i="23"/>
  <c r="F24" i="23"/>
  <c r="D24" i="23"/>
  <c r="E24" i="23"/>
  <c r="G39" i="23"/>
  <c r="G46" i="23"/>
  <c r="G40" i="23"/>
  <c r="G47" i="23"/>
  <c r="F41" i="23"/>
  <c r="F48" i="23"/>
  <c r="F31" i="8"/>
  <c r="E9" i="8"/>
  <c r="F7" i="8"/>
  <c r="F9" i="8" s="1"/>
  <c r="E12" i="5" l="1"/>
  <c r="D21" i="27" s="1"/>
  <c r="E15" i="23"/>
  <c r="E32" i="23"/>
  <c r="G48" i="23"/>
  <c r="G41" i="23"/>
  <c r="H15" i="23"/>
  <c r="D32" i="23"/>
  <c r="D15" i="23"/>
  <c r="H47" i="23"/>
  <c r="H40" i="23"/>
  <c r="K15" i="23"/>
  <c r="F32" i="23"/>
  <c r="F15" i="23"/>
  <c r="J15" i="23"/>
  <c r="I32" i="23"/>
  <c r="H46" i="23"/>
  <c r="H39" i="23"/>
  <c r="G15" i="23"/>
  <c r="G32" i="23"/>
  <c r="G31" i="8"/>
  <c r="U12" i="5" l="1"/>
  <c r="J32" i="23"/>
  <c r="H41" i="23"/>
  <c r="H48" i="23"/>
  <c r="H32" i="23"/>
  <c r="I15" i="23"/>
  <c r="E4" i="23"/>
  <c r="E6" i="23" s="1"/>
  <c r="I39" i="23"/>
  <c r="I46" i="23"/>
  <c r="D38" i="23"/>
  <c r="D45" i="23"/>
  <c r="D50" i="23" s="1"/>
  <c r="K32" i="23"/>
  <c r="I40" i="23"/>
  <c r="I47" i="23"/>
  <c r="G9" i="8"/>
  <c r="J39" i="23" l="1"/>
  <c r="J46" i="23"/>
  <c r="F4" i="23"/>
  <c r="F6" i="23" s="1"/>
  <c r="J40" i="23"/>
  <c r="J47" i="23"/>
  <c r="D52" i="23"/>
  <c r="D49" i="23" s="1"/>
  <c r="E45" i="23"/>
  <c r="E38" i="23"/>
  <c r="I48" i="23"/>
  <c r="I41" i="23"/>
  <c r="F45" i="23" l="1"/>
  <c r="F38" i="23"/>
  <c r="E50" i="23"/>
  <c r="E52" i="23"/>
  <c r="E49" i="23" s="1"/>
  <c r="K47" i="23"/>
  <c r="K40" i="23"/>
  <c r="J41" i="23"/>
  <c r="J48" i="23"/>
  <c r="K39" i="23"/>
  <c r="K46" i="23"/>
  <c r="K41" i="23" l="1"/>
  <c r="K48" i="23"/>
  <c r="H5" i="23" s="1"/>
  <c r="I5" i="23" s="1"/>
  <c r="G45" i="23"/>
  <c r="G38" i="23"/>
  <c r="L40" i="23"/>
  <c r="L47" i="23"/>
  <c r="L39" i="23"/>
  <c r="L46" i="23"/>
  <c r="F50" i="23"/>
  <c r="F52" i="23"/>
  <c r="F49" i="23" s="1"/>
  <c r="E38" i="24"/>
  <c r="E37" i="24"/>
  <c r="H38" i="23" l="1"/>
  <c r="H45" i="23"/>
  <c r="G50" i="23"/>
  <c r="G52" i="23"/>
  <c r="G49" i="23" s="1"/>
  <c r="I8" i="23"/>
  <c r="U21" i="5" s="1"/>
  <c r="I10" i="23"/>
  <c r="U23" i="5" s="1"/>
  <c r="I9" i="23"/>
  <c r="U22" i="5" s="1"/>
  <c r="L41" i="23"/>
  <c r="J5" i="23" s="1"/>
  <c r="L48" i="23"/>
  <c r="D37" i="24"/>
  <c r="D43" i="24" s="1"/>
  <c r="D35" i="24"/>
  <c r="D41" i="24" s="1"/>
  <c r="F38" i="24"/>
  <c r="F37" i="24"/>
  <c r="E21" i="5" l="1"/>
  <c r="D30" i="27" s="1"/>
  <c r="E22" i="5"/>
  <c r="D31" i="27" s="1"/>
  <c r="E23" i="5"/>
  <c r="D32" i="27" s="1"/>
  <c r="I11" i="23"/>
  <c r="H50" i="23"/>
  <c r="H52" i="23"/>
  <c r="H49" i="23" s="1"/>
  <c r="I45" i="23"/>
  <c r="I38" i="23"/>
  <c r="E35" i="24"/>
  <c r="E41" i="24" s="1"/>
  <c r="D38" i="24"/>
  <c r="D44" i="24" s="1"/>
  <c r="E43" i="24"/>
  <c r="E50" i="24"/>
  <c r="F35" i="24"/>
  <c r="G37" i="24"/>
  <c r="E36" i="24"/>
  <c r="G38" i="24"/>
  <c r="D8" i="20" l="1"/>
  <c r="D16" i="27"/>
  <c r="L7" i="5"/>
  <c r="U28" i="5" s="1"/>
  <c r="E7" i="5"/>
  <c r="D6" i="20"/>
  <c r="J38" i="23"/>
  <c r="J45" i="23"/>
  <c r="D14" i="27"/>
  <c r="L5" i="5"/>
  <c r="U26" i="5" s="1"/>
  <c r="E5" i="5"/>
  <c r="D7" i="20"/>
  <c r="I50" i="23"/>
  <c r="I52" i="23"/>
  <c r="I49" i="23" s="1"/>
  <c r="D15" i="27"/>
  <c r="E6" i="5"/>
  <c r="L6" i="5"/>
  <c r="U27" i="5" s="1"/>
  <c r="E48" i="24"/>
  <c r="F48" i="24" s="1"/>
  <c r="E12" i="24"/>
  <c r="E44" i="24"/>
  <c r="E51" i="24"/>
  <c r="D36" i="24"/>
  <c r="D42" i="24" s="1"/>
  <c r="D55" i="24"/>
  <c r="G35" i="24"/>
  <c r="F50" i="24"/>
  <c r="F43" i="24"/>
  <c r="H37" i="24"/>
  <c r="H38" i="24"/>
  <c r="F6" i="20" l="1"/>
  <c r="D22" i="20"/>
  <c r="D27" i="20" s="1"/>
  <c r="D23" i="20"/>
  <c r="D28" i="20" s="1"/>
  <c r="F7" i="20"/>
  <c r="K45" i="23"/>
  <c r="H4" i="23" s="1"/>
  <c r="K38" i="23"/>
  <c r="F8" i="20"/>
  <c r="D24" i="20"/>
  <c r="D29" i="20" s="1"/>
  <c r="J50" i="23"/>
  <c r="J52" i="23"/>
  <c r="J49" i="23" s="1"/>
  <c r="F44" i="24"/>
  <c r="F41" i="24"/>
  <c r="G48" i="24" s="1"/>
  <c r="F36" i="24"/>
  <c r="F12" i="24"/>
  <c r="G50" i="24"/>
  <c r="G43" i="24"/>
  <c r="F51" i="24"/>
  <c r="E42" i="24"/>
  <c r="E49" i="24"/>
  <c r="E53" i="24" s="1"/>
  <c r="I38" i="24"/>
  <c r="I4" i="23" l="1"/>
  <c r="E20" i="5" s="1"/>
  <c r="D29" i="27" s="1"/>
  <c r="H6" i="23"/>
  <c r="L38" i="23"/>
  <c r="L45" i="23"/>
  <c r="K52" i="23"/>
  <c r="K49" i="23" s="1"/>
  <c r="K50" i="23"/>
  <c r="G44" i="24"/>
  <c r="G41" i="24"/>
  <c r="G51" i="24"/>
  <c r="I35" i="24"/>
  <c r="H35" i="24"/>
  <c r="F49" i="24"/>
  <c r="F53" i="24" s="1"/>
  <c r="F42" i="24"/>
  <c r="G36" i="24"/>
  <c r="G12" i="24"/>
  <c r="H43" i="24"/>
  <c r="H50" i="24"/>
  <c r="E55" i="24"/>
  <c r="E52" i="24" s="1"/>
  <c r="J38" i="24"/>
  <c r="J37" i="24"/>
  <c r="H36" i="24"/>
  <c r="L50" i="23" l="1"/>
  <c r="L52" i="23"/>
  <c r="L49" i="23" s="1"/>
  <c r="J4" i="23"/>
  <c r="I6" i="23"/>
  <c r="U20" i="5"/>
  <c r="H48" i="24"/>
  <c r="H51" i="24"/>
  <c r="H44" i="24"/>
  <c r="H41" i="24"/>
  <c r="J35" i="24"/>
  <c r="H12" i="24"/>
  <c r="G42" i="24"/>
  <c r="G49" i="24"/>
  <c r="G53" i="24" s="1"/>
  <c r="I37" i="24"/>
  <c r="I43" i="24" s="1"/>
  <c r="F55" i="24"/>
  <c r="F52" i="24" s="1"/>
  <c r="D5" i="20" l="1"/>
  <c r="D13" i="27"/>
  <c r="L4" i="5"/>
  <c r="U25" i="5" s="1"/>
  <c r="E4" i="5"/>
  <c r="I44" i="24"/>
  <c r="I51" i="24"/>
  <c r="I48" i="24"/>
  <c r="I41" i="24"/>
  <c r="H42" i="24"/>
  <c r="H49" i="24"/>
  <c r="H53" i="24" s="1"/>
  <c r="G55" i="24"/>
  <c r="G52" i="24" s="1"/>
  <c r="I36" i="24"/>
  <c r="I12" i="24"/>
  <c r="I50" i="24"/>
  <c r="J43" i="24" s="1"/>
  <c r="D21" i="20" l="1"/>
  <c r="D26" i="20" s="1"/>
  <c r="F5" i="20"/>
  <c r="J51" i="24"/>
  <c r="J44" i="24"/>
  <c r="J48" i="24"/>
  <c r="J41" i="24"/>
  <c r="J36" i="24"/>
  <c r="J12" i="24"/>
  <c r="H55" i="24"/>
  <c r="H52" i="24" s="1"/>
  <c r="I49" i="24"/>
  <c r="I53" i="24" s="1"/>
  <c r="I42" i="24"/>
  <c r="J50" i="24"/>
  <c r="I55" i="24" l="1"/>
  <c r="I52" i="24" s="1"/>
  <c r="J49" i="24"/>
  <c r="J53" i="24" s="1"/>
  <c r="J42" i="24"/>
  <c r="J55" i="24" l="1"/>
  <c r="J52" i="24" s="1"/>
  <c r="E6" i="19" l="1"/>
  <c r="E9" i="19"/>
  <c r="E8" i="19" l="1"/>
  <c r="E7" i="19" l="1"/>
  <c r="E10" i="19" l="1"/>
  <c r="K21" i="24" l="1"/>
  <c r="L21" i="24" l="1"/>
  <c r="K27" i="24"/>
  <c r="K35" i="24" l="1"/>
  <c r="N21" i="24"/>
  <c r="F4" i="24" s="1"/>
  <c r="L27" i="24"/>
  <c r="G4" i="24" s="1"/>
  <c r="H4" i="24" l="1"/>
  <c r="L35" i="24"/>
  <c r="K41" i="24"/>
  <c r="K48" i="24"/>
  <c r="L48" i="24" l="1"/>
  <c r="L41" i="24"/>
  <c r="M48" i="24" l="1"/>
  <c r="M41" i="24"/>
  <c r="J4" i="24"/>
  <c r="K4" i="24" l="1"/>
  <c r="Y20" i="5" l="1"/>
  <c r="L4" i="24"/>
  <c r="D20" i="5"/>
  <c r="C29" i="27" s="1"/>
  <c r="B6" i="19"/>
  <c r="D6" i="19" l="1"/>
  <c r="C6" i="19" l="1"/>
  <c r="Y12" i="5" l="1"/>
  <c r="D12" i="5"/>
  <c r="C21" i="27" l="1"/>
  <c r="C13" i="27" s="1"/>
  <c r="D4" i="5"/>
  <c r="H4" i="5" s="1"/>
  <c r="K4" i="5"/>
  <c r="T25" i="5" s="1"/>
  <c r="C13" i="20"/>
  <c r="AB12" i="5"/>
  <c r="F13" i="20" l="1"/>
  <c r="C21" i="20"/>
  <c r="N4" i="5"/>
  <c r="B6" i="27"/>
  <c r="D6" i="27" s="1"/>
  <c r="E6" i="27" l="1"/>
  <c r="F21" i="20"/>
  <c r="G21" i="20" s="1"/>
  <c r="C26" i="20"/>
  <c r="K23" i="24" l="1"/>
  <c r="K24" i="24" l="1"/>
  <c r="K22" i="24"/>
  <c r="L22" i="24" l="1"/>
  <c r="N22" i="24" l="1"/>
  <c r="F5" i="24" s="1"/>
  <c r="L24" i="24"/>
  <c r="L23" i="24"/>
  <c r="K28" i="24"/>
  <c r="K30" i="24"/>
  <c r="K29" i="24" l="1"/>
  <c r="N23" i="24"/>
  <c r="F6" i="24" s="1"/>
  <c r="B9" i="19"/>
  <c r="K36" i="24"/>
  <c r="K12" i="24"/>
  <c r="N24" i="24"/>
  <c r="F7" i="24" s="1"/>
  <c r="K38" i="24"/>
  <c r="B8" i="19"/>
  <c r="D8" i="19"/>
  <c r="C8" i="19" s="1"/>
  <c r="Y14" i="5" l="1"/>
  <c r="D14" i="5"/>
  <c r="K49" i="24"/>
  <c r="K42" i="24"/>
  <c r="L30" i="24"/>
  <c r="K44" i="24"/>
  <c r="K51" i="24"/>
  <c r="F8" i="24"/>
  <c r="L28" i="24"/>
  <c r="K37" i="24"/>
  <c r="L29" i="24" l="1"/>
  <c r="K50" i="24"/>
  <c r="K43" i="24"/>
  <c r="L38" i="24"/>
  <c r="L44" i="24" s="1"/>
  <c r="G7" i="24"/>
  <c r="H7" i="24" s="1"/>
  <c r="L36" i="24"/>
  <c r="L42" i="24" s="1"/>
  <c r="G5" i="24"/>
  <c r="C23" i="27"/>
  <c r="D9" i="19"/>
  <c r="C9" i="19" s="1"/>
  <c r="L49" i="24" l="1"/>
  <c r="Y15" i="5"/>
  <c r="D15" i="5"/>
  <c r="J5" i="24"/>
  <c r="M42" i="24"/>
  <c r="H5" i="24"/>
  <c r="L37" i="24"/>
  <c r="L50" i="24" s="1"/>
  <c r="G6" i="24"/>
  <c r="H6" i="24" s="1"/>
  <c r="L12" i="24"/>
  <c r="K55" i="24"/>
  <c r="K52" i="24" s="1"/>
  <c r="L51" i="24"/>
  <c r="K53" i="24"/>
  <c r="H8" i="24" l="1"/>
  <c r="G8" i="24"/>
  <c r="J6" i="24"/>
  <c r="K6" i="24" s="1"/>
  <c r="L53" i="24"/>
  <c r="J7" i="24"/>
  <c r="K7" i="24" s="1"/>
  <c r="K5" i="24"/>
  <c r="L55" i="24"/>
  <c r="C24" i="27"/>
  <c r="L43" i="24"/>
  <c r="M43" i="24" s="1"/>
  <c r="M44" i="24"/>
  <c r="M51" i="24"/>
  <c r="M53" i="24" s="1"/>
  <c r="J8" i="24" l="1"/>
  <c r="Y22" i="5"/>
  <c r="L6" i="24"/>
  <c r="D22" i="5"/>
  <c r="D21" i="5"/>
  <c r="C30" i="27" s="1"/>
  <c r="Y21" i="5"/>
  <c r="K8" i="24"/>
  <c r="L5" i="24"/>
  <c r="Y23" i="5"/>
  <c r="D23" i="5"/>
  <c r="L7" i="24"/>
  <c r="L52" i="24"/>
  <c r="M55" i="24"/>
  <c r="M52" i="24" s="1"/>
  <c r="B7" i="19" l="1"/>
  <c r="B10" i="19" s="1"/>
  <c r="C31" i="27"/>
  <c r="C15" i="27" s="1"/>
  <c r="D6" i="5"/>
  <c r="K6" i="5"/>
  <c r="T27" i="5" s="1"/>
  <c r="C32" i="27"/>
  <c r="C16" i="27" s="1"/>
  <c r="K7" i="5"/>
  <c r="T28" i="5" s="1"/>
  <c r="D7" i="5"/>
  <c r="C16" i="20"/>
  <c r="AB15" i="5"/>
  <c r="AB14" i="5"/>
  <c r="C15" i="20"/>
  <c r="F15" i="20" l="1"/>
  <c r="C23" i="20"/>
  <c r="H7" i="5"/>
  <c r="H6" i="5"/>
  <c r="F16" i="20"/>
  <c r="C24" i="20"/>
  <c r="N6" i="5" l="1"/>
  <c r="B8" i="27"/>
  <c r="D8" i="27" s="1"/>
  <c r="C29" i="20"/>
  <c r="F24" i="20"/>
  <c r="G24" i="20" s="1"/>
  <c r="N7" i="5"/>
  <c r="B9" i="27"/>
  <c r="D9" i="27" s="1"/>
  <c r="C28" i="20"/>
  <c r="F23" i="20"/>
  <c r="G23" i="20" s="1"/>
  <c r="D7" i="19"/>
  <c r="C7" i="19" l="1"/>
  <c r="D10" i="19"/>
  <c r="E8" i="27"/>
  <c r="E9" i="27"/>
  <c r="Y13" i="5" l="1"/>
  <c r="D13" i="5"/>
  <c r="C10" i="19"/>
  <c r="C22" i="27" l="1"/>
  <c r="C14" i="27" s="1"/>
  <c r="D5" i="5"/>
  <c r="K5" i="5"/>
  <c r="T26" i="5" s="1"/>
  <c r="C14" i="20"/>
  <c r="AB13" i="5"/>
  <c r="C22" i="20" l="1"/>
  <c r="F14" i="20"/>
  <c r="H5" i="5"/>
  <c r="B7" i="27" l="1"/>
  <c r="D7" i="27" s="1"/>
  <c r="N5" i="5"/>
  <c r="F22" i="20"/>
  <c r="G22" i="20" s="1"/>
  <c r="C27" i="20"/>
  <c r="E7" i="27" l="1"/>
</calcChain>
</file>

<file path=xl/sharedStrings.xml><?xml version="1.0" encoding="utf-8"?>
<sst xmlns="http://schemas.openxmlformats.org/spreadsheetml/2006/main" count="721" uniqueCount="222">
  <si>
    <t>Low Income</t>
  </si>
  <si>
    <t>Common/General</t>
  </si>
  <si>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</si>
  <si>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</si>
  <si>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</si>
  <si>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</si>
  <si>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</si>
  <si>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</si>
  <si>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</si>
  <si>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</si>
  <si>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</si>
  <si>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</si>
  <si>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</si>
  <si>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</si>
  <si>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</si>
  <si>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</si>
  <si>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</si>
  <si>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</si>
  <si>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</si>
  <si>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</si>
  <si>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</si>
  <si>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</si>
  <si>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</si>
  <si>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</si>
  <si>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</si>
  <si>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</si>
  <si>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</si>
  <si>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Residential/Non-Residential %</t>
  </si>
  <si>
    <t>DSIM($/kWh)</t>
  </si>
  <si>
    <t>2. PTD</t>
  </si>
  <si>
    <t xml:space="preserve">INPUTS </t>
  </si>
  <si>
    <t>4. Total monthly interest - Source: calculated</t>
  </si>
  <si>
    <t>1. Actual/Forecasted Program Costs</t>
  </si>
  <si>
    <t>ACTUAL</t>
  </si>
  <si>
    <t>3. Actual/Forecasted Revenues - Program Costs Only</t>
  </si>
  <si>
    <t>Allocated Actual Program Costs (calculated)</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</si>
  <si>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</si>
  <si>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</si>
  <si>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</si>
  <si>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</si>
  <si>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</si>
  <si>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</si>
  <si>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</si>
  <si>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</si>
  <si>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</si>
  <si>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</si>
  <si>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</si>
  <si>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</si>
  <si>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</si>
  <si>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</si>
  <si>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</si>
  <si>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</si>
  <si>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</si>
  <si>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</si>
  <si>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</si>
  <si>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</si>
  <si>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</si>
  <si>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</si>
  <si>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</si>
  <si>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</si>
  <si>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Cycle 2 Program Costs Reconciliation (PCR) Calculation</t>
  </si>
  <si>
    <t>Cycle 2 Throughput Disincentive TD Reconciliation (TDR) Calculation</t>
  </si>
  <si>
    <t>2. Actual Revenues - TD Only</t>
  </si>
  <si>
    <t>1. Actual/Forecasted TD</t>
  </si>
  <si>
    <t>Cycle 2 Projected Throughput Disincentive (PTD) TD Calculation</t>
  </si>
  <si>
    <t>1. Forecasted kWh Sales Impact</t>
  </si>
  <si>
    <t>3. kWh Sales Impact</t>
  </si>
  <si>
    <t>5. Total monthly interest - Source: calculated</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</si>
  <si>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</si>
  <si>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</si>
  <si>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</si>
  <si>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</si>
  <si>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</si>
  <si>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</si>
  <si>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</si>
  <si>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</si>
  <si>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</si>
  <si>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</si>
  <si>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</si>
  <si>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</si>
  <si>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</si>
  <si>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</si>
  <si>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</si>
  <si>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</si>
  <si>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Ordered Adjustment</t>
  </si>
  <si>
    <t>2. Carrying Costs on OA</t>
  </si>
  <si>
    <t>1. Actual/Forecasted Earnings Opportunity</t>
  </si>
  <si>
    <t>2. Actual Revenues - EO Only</t>
  </si>
  <si>
    <t>4. Short-Term Interest Rate</t>
  </si>
  <si>
    <t>3. Actual/Forecasted EO Amortization</t>
  </si>
  <si>
    <t>2. Actual Revenues - OA Only</t>
  </si>
  <si>
    <t>1. Actual/Forecasted Ordered Adjustments</t>
  </si>
  <si>
    <t>3. Actual/Forecasted Ordered Adjustments</t>
  </si>
  <si>
    <t>OA-cycle 2</t>
  </si>
  <si>
    <t>OAR-cycle 2</t>
  </si>
  <si>
    <t>6. Actual EO rate component of the tariff rate</t>
  </si>
  <si>
    <t>Cycle 2 Ordered Adjustments Reconciliation (OAR) Calculation</t>
  </si>
  <si>
    <t>Cycle 2 Ordered Adjustment (OA) Calculation</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</si>
  <si>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</si>
  <si>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</si>
  <si>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</si>
  <si>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</si>
  <si>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</si>
  <si>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</si>
  <si>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</si>
  <si>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</si>
  <si>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</si>
  <si>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</si>
  <si>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LGS</t>
  </si>
  <si>
    <t>Non-Residential LPS</t>
  </si>
  <si>
    <t>Cycle 2 kWh Participation</t>
  </si>
  <si>
    <t>Total Non-Residential</t>
  </si>
  <si>
    <t>Cycle 3 Projected Program Costs (PPC) Calculation</t>
  </si>
  <si>
    <t>Cycle 3 Projected Throughput Disincentive (PTD) TD Calculation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</si>
  <si>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</si>
  <si>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</si>
  <si>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</si>
  <si>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</si>
  <si>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</si>
  <si>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</si>
  <si>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</si>
  <si>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</si>
  <si>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</si>
  <si>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</si>
  <si>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</si>
  <si>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</si>
  <si>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</si>
  <si>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</si>
  <si>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</si>
  <si>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</si>
  <si>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</si>
  <si>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</si>
  <si>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</si>
  <si>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</si>
  <si>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</si>
  <si>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</si>
  <si>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</si>
  <si>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</si>
  <si>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</si>
  <si>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</si>
  <si>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</si>
  <si>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</si>
  <si>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</si>
  <si>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</si>
  <si>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</si>
  <si>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</si>
  <si>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</si>
  <si>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</si>
  <si>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</si>
  <si>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NOA = Net Order Adjustment for the upcoming EP plus the succeeding EP (OA + OAR)</t>
  </si>
  <si>
    <t xml:space="preserve">PE = Projected Energy, in kWh to be delivered during the upcoming RP plus the succeeding EP </t>
  </si>
  <si>
    <t>Res</t>
  </si>
  <si>
    <t>SGS</t>
  </si>
  <si>
    <t>LGS</t>
  </si>
  <si>
    <t>LPS</t>
  </si>
  <si>
    <t>5. Monthly Short-Term Borrowing Rate - Source: None</t>
  </si>
  <si>
    <t>7. Cycle 2 kWh Participation - Source: None</t>
  </si>
  <si>
    <t>Cycle 2 - Total</t>
  </si>
  <si>
    <t>1. Total Earnings Opportunity - Source: Missouri West EO Calculation PY1-PY3 v2.xlsx, Missouri West EO Calculation PY4.xlsx</t>
  </si>
  <si>
    <t>5. Total Earnings Opportunity plus Carrying Costs - Source: Sum of Columns 1. through 4.</t>
  </si>
  <si>
    <t>Proposed</t>
  </si>
  <si>
    <t>Current</t>
  </si>
  <si>
    <t>Change</t>
  </si>
  <si>
    <t>Monthly Bill Impact / 1,000 kWhs</t>
  </si>
  <si>
    <t>1.  Actual monthly EO - Source: Sum of Line 3.
    Forecasted monthly EO - Source: Sum of Line 3.</t>
  </si>
  <si>
    <t>3. Actual/Forecasted EO Amortization - Source:  EO Cycle 2 tab column G divided by remaining months on EO Cycle 2 tab line 6.</t>
  </si>
  <si>
    <t>Cycle 3 Earnings Opportunity (EO) Calculation</t>
  </si>
  <si>
    <t>Cycle 3 - Total</t>
  </si>
  <si>
    <t>6. Amortization Over 12 Month Recovery Period</t>
  </si>
  <si>
    <t>Cycle 3 - EO TD Adjustments ??</t>
  </si>
  <si>
    <t>2. EO TD Ex Post Gross Adjustment -  Source: Missouri West Cycle 3 PY1 EO TD Adj Calc.xlsx</t>
  </si>
  <si>
    <t>1. Total Earnings Opportunity - Source: Missouri West EO Calculated Cycle 3 PY1.xlsx</t>
  </si>
  <si>
    <t>3. EO TD NTG Adjustment -  Source: Missouri West Cycle 3 PY1 EO TD Adj Calc.xlsx</t>
  </si>
  <si>
    <t>4. Carrying Costs @ AFUDC Rate -  Source: Missouri West Cycle 3 PY1 EO TD Adj Calc.xlsx</t>
  </si>
  <si>
    <t>1. Actual monthly program costs by allocation bucket Residential, Non-Residential, Income-Eligible, Common/General) - Source: None
    Forecasted monthly program costs by allocation bucket - Source: None</t>
  </si>
  <si>
    <t>Cycle 2 - Program Years 1 to 3 (including EO TD Adjustments through March 2019) (Amortize March 2020-February 2022)</t>
  </si>
  <si>
    <t>Cycle 2 - Program Year 4 (including EO TD Adjustments April 2019 to December 2021) (Amortize February 2021-January 2023)</t>
  </si>
  <si>
    <t>Cycle 2 - EO TD Adjustments January - November 2022 (Amortize August 2021-July 2023)</t>
  </si>
  <si>
    <t>Cycle 3 - Program Year 1 (including EO TD Adjustments through October 2021) (Amortize February 2022-January 2023)</t>
  </si>
  <si>
    <t>Cycle 2 - EO TD Adjustments Carrying Costs May - October 2021 (Amortize February 2022-January 2024)</t>
  </si>
  <si>
    <t>Evergy Missouri West, Inc. - DSIM Rider Update Filed 06/01/2022</t>
  </si>
  <si>
    <t>Projections for Cycle 3 July 2022 - June 2023 DSIM</t>
  </si>
  <si>
    <t>Cumulative Over/Under Carryover From 12/01/2021 Filing</t>
  </si>
  <si>
    <t>Reverse November 2021 - April 2022  Forecast From 12/01/2021 Filing</t>
  </si>
  <si>
    <t>1. Forecasted kWh by Residential/Non-Residential (Reduced for Opt-Out) - Source: Billed kWh Budget Missouri West 2022-2023.xlsx</t>
  </si>
  <si>
    <t>Cycle 3 Earnings Opportunity Reconciliation (EOR) Calculation</t>
  </si>
  <si>
    <t>5. Monthly Short-Term Borrowing Rate - Source: Missouri West Short-Term Borrowing Rate November 2021 - April 2022.xlsx</t>
  </si>
  <si>
    <t>6. Monthly Short-Term Borrowing Rate - Source: Missouri West Short-Term Borrowing Rate November 2021 - April 2022.xlsx</t>
  </si>
  <si>
    <t>2. Forecasted Throughput Disincentive - Source: Missouri West Cycle 2 Monthly TD Calc 042022 05052022.xlsx</t>
  </si>
  <si>
    <t>1. Forecasted Residential/Non-Residential kWh savings  - Source: Missouri West Cycle 2 Monthly TD Calc 042022 05052022.xlsx</t>
  </si>
  <si>
    <t>1. &amp; 4. Actual monthly TD - Source: Missouri West Cycle 2 Monthly TD Calc 042022 05052022.xlsx
    Forecasted monthly TD - Source: Missouri West Cycle 2 Monthly TD Calc 042022 05052022.xlsx</t>
  </si>
  <si>
    <t>3. Actual kWh Sales Impact - Source:  Missouri West Cycle 2 Monthly TD Calc 042022 05052022.xlsx
    Forecasted kWh Sales Impact - Source: Missouri West Cycle 2 Monthly TD Calc 042022 05052022.xlsx</t>
  </si>
  <si>
    <t>8. Cycle 2 kWh Participation - Source: Missouri West Cycle 2 Monthly TD Calc 042022 05052022.xlsx</t>
  </si>
  <si>
    <t>7. Cycle 2 kWh Participation - Source: Missouri West Cycle 2 Monthly TD Calc 042022 05052022.xlsx</t>
  </si>
  <si>
    <t>Cycle 2 - EO TD Adjustments Carrying Costs November 2021 - April 2022 (Amortize August 2022-July 2024)</t>
  </si>
  <si>
    <t>3. Cycle 3 Forecast - July 2022 - June 2023</t>
  </si>
  <si>
    <t>4. Cycle 3 Extension - January 2023 - June 2023</t>
  </si>
  <si>
    <t>2. Actual monthly billed revenues by Residential/Non-Residential (program cost revenues only) - Source: None
Forecasted monthly billed revenues by Residential/Non-Residential (program cost revenues only) - Source: calculated = Forecasted billed kWh sales X tariff rate</t>
  </si>
  <si>
    <t>4. Total monthly interest - Source: None</t>
  </si>
  <si>
    <t>2. Forecasted program costs by customer class - Source: sum of 3. and 4.</t>
  </si>
  <si>
    <t>3. Forecasted program costs by customer class - Source: MEEIA Cycle 3 Forecast MO West 042022 05132022.xlsx</t>
  </si>
  <si>
    <t>4. Forecasted program costs by customer class - Source: Evergy MC3 Extension Appendix A settlement.xlsx</t>
  </si>
  <si>
    <t>2. Actual monthly kWh billed sales by Residential/Non-Residential (reduced for opt-out) - Source: Missouri West MEEIA 2022 Revenue Analysis.xlsx
    Forecasted monthly kWh billed sales by Residential/Non-Residential (reduced for opt-out) - Source: Billed kWh Budget Missouri West 2022-2023.xlsx</t>
  </si>
  <si>
    <t>3. Actual monthly billed revenues by Residential/Non-Residential (program cost revenues only) - Missouri West MEEIA 2022 Revenue Analysis.xlsx
    Forecasted monthly billed revenues by Residential/Non-Residential (program cost revenues only) - Source: calculated = Forecasted billed kWh sales X tariff rate</t>
  </si>
  <si>
    <t>1. Actual monthly program costs by allocation bucket Residential, Non-Residential, Income-Eligible, Common/General) - Source: 11 2021 MO West Spend Allocations Worksheet.xlsx, 12 2021 MO West Spend Allocations Worksheet.xlsx, 01 2022 MO West Spend Allocations Worksheet.xlsx, 02 2022 MO West Spend Allocations Worksheet.xlsx, 03 2022 MO West Spend Allocations Worksheet.xlsx, 04 2022 MO West Spend Allocations Worksheet.xlsx
    Forecasted monthly program costs by allocation bucket - Source: MEEIA Cycle 3 Forecast MO West 042022 05132022.xlsx</t>
  </si>
  <si>
    <t>2. Forecasted Throughput Disincentive -Sum of 3. and 4.</t>
  </si>
  <si>
    <t>1. Forecasted Residential/Non-Residential kWh savings  - Source: MEEIA Cycle 3 Forecast MO West 042022 05132022.xlsx, MO West Cycle 3 Monthly TD Calc Extension 835 NTG.xlsx</t>
  </si>
  <si>
    <t>3. Forecasted Throughput Disincentive - Source: MEEIA Cycle 3 Forecast MO West 042022 05132022.xlsx</t>
  </si>
  <si>
    <t>4. Forecasted Throughput Disincentive - Source: MO West Cycle 3 Monthly TD Calc Extension 835 NTG.xlsx</t>
  </si>
  <si>
    <t>2. Actual monthly billed revenues by Residential/Non-Residential (TD revenues only) - Missouri West MEEIA 2022 Revenue Analysis.xlsx
Forecasted monthly billed revenues by Residential/Non-Residential (TD revenues only) - Source: calculated = Forecasted billed kWh sales X tariff rate</t>
  </si>
  <si>
    <t>1. &amp; 4. Actual monthly TD - Source: Missouri West Cycle 3 TD Calc 042022 05062022.xlsx
    Forecasted monthly TD - Source: MEEIA Cycle 3 Forecast MO West 042022 05132022.xlsx</t>
  </si>
  <si>
    <t>3. Actual monthly TD - Source: Missouri West Cycle 3 TD Calc 042022 05062022.xlsx
    Forecasted monthly TD - Source: MEEIA Cycle 3 Forecast MO West 042022 05132022.xlsx</t>
  </si>
  <si>
    <t>2. EO TD Ex Post Gross Adjustment -  Source: TD Model Missouri West PY1-3 042022.xlsx, TD Model Missouri West PY4 042022.xlsx</t>
  </si>
  <si>
    <t>3. EO TD NTG Adjustment -  Source: TD Model Missouri West PY1-3 042022.xlsx, TD Model Missouri West PY4 042022.xlsx</t>
  </si>
  <si>
    <t>4. Carrying Costs @ AFUDC Rate -  Source: TD Model Missouri West PY1-3 042022.xlsx, TD Model Missouri West PY4 042022.xlsx</t>
  </si>
  <si>
    <t>2. Actual monthly billed revenues by Residential/Non-Residential (EO revenues only) - Missouri West MEEIA 2022 Revenue Analysis.xlsx
Forecasted monthly billed revenues by Residential/Non-Residential (EO revenues only) - Source: calculated = Forecasted billed kWh sales X tariff rate</t>
  </si>
  <si>
    <t>1. Ordered Adjustment - Source: Missouri West Cycle 2 OA Carrying Costs.xlsx</t>
  </si>
  <si>
    <t>2. Carrying Costs on OA - Source: Missouri West Cycle 2 OA Carrying Costs.xlsx</t>
  </si>
  <si>
    <t>1. &amp; 3. Actual monthly Ordered Adjustments - Source: None</t>
  </si>
  <si>
    <t>Cycle 3 - Program Year 1 EO TD Adjustments November 2021 - April 2022 (Amortize August 2022 - July 2023)</t>
  </si>
  <si>
    <t>6. Amortization Over 24 Month Recovery Period - Source: Column 5  PY 1 - 3 divided by 24 times 2 months remaining recovery, PY 4 Column 5 divided by 24 times 7, EO TD Adjustments January - November 2022 Column 5 divided by 24 times 12, EO TD Adjustments Carrying Costs May - October 2022 Column 5 divided by 24 times 12, EO TD Adjustments Carrying Costs November 2021 - April 2022 Column 5 divided by 24 times 11</t>
  </si>
  <si>
    <t>6. Amortization Over 12 Month Recovery Period - Source: Column 5  PY 1 - 3 divided by 12 times 7 months in forecast period, Program Year 1 EO TD Adjustments November 2021 - April 2022 divided by 12 times 11 months in forecast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</si>
</sst>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_(* #,##0.00000_);_(* \(#,##0.00000\);_(* &quot;-&quot;??_);_(@_)"/>
    <numFmt numFmtId="176" formatCode="#,##0.00000_);\(#,##0.00000\)"/>
    <numFmt numFmtId="177" formatCode="_(* #,##0.0000000_);_(* \(#,##0.0000000\);_(* &quot;-&quot;??_);_(@_)"/>
    <numFmt numFmtId="178" formatCode="_(&quot;$&quot;* #,##0.00_);_(&quot;$&quot;* \(#,##0.00\);_(&quot;$&quot;* &quot;-&quot;?????_);_(@_)"/>
    <numFmt numFmtId="179" formatCode="0.0%"/>
    <numFmt numFmtId="180" formatCode="_(&quot;$&quot;* #,##0.000_);_(&quot;$&quot;* \(#,##0.000\);_(&quot;$&quot;* &quot;-&quot;??_);_(@_)"/>
  </numFmts>
  <fonts count="4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10"/>
      <color rgb="FFFF00FF"/>
      <name val="Courier New"/>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s>
  <borders count="8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top style="thin">
        <color rgb="FF3F3F3F"/>
      </top>
      <bottom/>
      <diagonal/>
    </border>
    <border>
      <left style="thin">
        <color indexed="64"/>
      </left>
      <right/>
      <top style="thin">
        <color indexed="64"/>
      </top>
      <bottom style="thin">
        <color indexed="64"/>
      </bottom>
      <diagonal/>
    </border>
    <border>
      <left style="thin">
        <color indexed="64"/>
      </left>
      <right style="thin">
        <color indexed="64"/>
      </right>
      <top style="thin">
        <color rgb="FF3F3F3F"/>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7F7F7F"/>
      </top>
      <bottom style="thin">
        <color rgb="FF7F7F7F"/>
      </bottom>
      <diagonal/>
    </border>
    <border>
      <left style="thin">
        <color indexed="64"/>
      </left>
      <right style="thin">
        <color indexed="64"/>
      </right>
      <top style="thin">
        <color rgb="FF7F7F7F"/>
      </top>
      <bottom style="thin">
        <color indexed="64"/>
      </bottom>
      <diagonal/>
    </border>
    <border>
      <left/>
      <right style="thin">
        <color rgb="FF7F7F7F"/>
      </right>
      <top style="thin">
        <color rgb="FF7F7F7F"/>
      </top>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324">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0" fontId="8" fillId="0" borderId="0" xfId="0" applyFont="1" applyAlignment="1">
      <alignment horizontal="center"/>
    </xf>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10" fontId="5" fillId="5" borderId="23" xfId="6" applyNumberFormat="1" applyBorder="1"/>
    <xf numFmtId="41" fontId="5" fillId="5" borderId="13" xfId="6" applyNumberFormat="1" applyBorder="1"/>
    <xf numFmtId="41" fontId="5" fillId="5" borderId="1" xfId="6" applyNumberFormat="1" applyBorder="1"/>
    <xf numFmtId="165" fontId="4" fillId="4" borderId="37" xfId="11" applyNumberFormat="1" applyFont="1" applyFill="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0" fontId="7" fillId="0" borderId="9" xfId="8" applyFill="1" applyBorder="1"/>
    <xf numFmtId="41" fontId="5" fillId="0" borderId="13" xfId="6" applyNumberFormat="1" applyFill="1" applyBorder="1"/>
    <xf numFmtId="165" fontId="5" fillId="0" borderId="15" xfId="11" applyNumberFormat="1" applyFont="1"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5" fontId="14" fillId="7" borderId="42" xfId="13" applyNumberFormat="1" applyBorder="1"/>
    <xf numFmtId="167" fontId="6" fillId="0" borderId="33" xfId="1" applyNumberFormat="1" applyFont="1" applyFill="1" applyBorder="1"/>
    <xf numFmtId="165" fontId="14" fillId="7" borderId="43" xfId="13" applyNumberFormat="1" applyBorder="1"/>
    <xf numFmtId="165" fontId="14" fillId="7" borderId="44" xfId="13" applyNumberFormat="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23" xfId="6" applyNumberFormat="1"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41" fontId="10" fillId="0" borderId="6" xfId="0" applyNumberFormat="1" applyFont="1" applyBorder="1" applyAlignment="1">
      <alignment vertical="center"/>
    </xf>
    <xf numFmtId="170" fontId="10" fillId="0" borderId="6" xfId="0" applyNumberFormat="1" applyFont="1" applyFill="1" applyBorder="1" applyAlignment="1">
      <alignment vertical="center"/>
    </xf>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165" fontId="4" fillId="4" borderId="48" xfId="11" applyNumberFormat="1" applyFont="1" applyFill="1" applyBorder="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170" fontId="0" fillId="0" borderId="0" xfId="0" applyNumberFormat="1"/>
    <xf numFmtId="172" fontId="11" fillId="0" borderId="6" xfId="0" applyNumberFormat="1" applyFont="1" applyBorder="1" applyAlignment="1">
      <alignment horizontal="right"/>
    </xf>
    <xf numFmtId="172" fontId="0" fillId="0" borderId="0" xfId="0" applyNumberFormat="1"/>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165" fontId="5" fillId="5" borderId="31" xfId="6" applyNumberFormat="1"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165" fontId="4" fillId="4" borderId="53" xfId="11" applyNumberFormat="1" applyFont="1" applyFill="1" applyBorder="1"/>
    <xf numFmtId="3" fontId="4" fillId="4" borderId="53" xfId="5" applyNumberFormat="1" applyBorder="1"/>
    <xf numFmtId="165" fontId="4" fillId="4" borderId="54"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1" xfId="6" applyNumberFormat="1" applyBorder="1"/>
    <xf numFmtId="0" fontId="8" fillId="0" borderId="0" xfId="0" applyFont="1" applyAlignment="1">
      <alignment horizontal="left" vertical="center" wrapText="1"/>
    </xf>
    <xf numFmtId="172" fontId="11" fillId="0" borderId="6" xfId="0" applyNumberFormat="1" applyFont="1" applyFill="1" applyBorder="1" applyAlignment="1">
      <alignment horizontal="right"/>
    </xf>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2" fontId="5" fillId="5" borderId="13" xfId="6" applyNumberFormat="1" applyBorder="1"/>
    <xf numFmtId="42" fontId="5" fillId="37" borderId="22" xfId="6" applyNumberFormat="1" applyFill="1" applyBorder="1"/>
    <xf numFmtId="41" fontId="5" fillId="5" borderId="59" xfId="6" applyNumberFormat="1" applyBorder="1"/>
    <xf numFmtId="172" fontId="36" fillId="0" borderId="6" xfId="0" applyNumberFormat="1" applyFont="1" applyBorder="1" applyAlignment="1">
      <alignment horizontal="right"/>
    </xf>
    <xf numFmtId="43" fontId="0" fillId="0" borderId="0" xfId="1" applyFont="1"/>
    <xf numFmtId="171" fontId="0" fillId="0" borderId="0" xfId="0" applyNumberFormat="1"/>
    <xf numFmtId="0" fontId="8" fillId="0" borderId="0" xfId="0" applyFont="1" applyFill="1" applyAlignment="1">
      <alignment horizontal="left" vertical="center" wrapText="1"/>
    </xf>
    <xf numFmtId="165" fontId="5" fillId="0" borderId="58" xfId="6" applyNumberFormat="1" applyFill="1" applyBorder="1"/>
    <xf numFmtId="41" fontId="5" fillId="0" borderId="58" xfId="6" applyNumberFormat="1" applyFill="1" applyBorder="1"/>
    <xf numFmtId="165" fontId="5" fillId="0" borderId="60" xfId="11" applyNumberFormat="1" applyFont="1" applyFill="1" applyBorder="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0" fontId="0" fillId="39" borderId="64" xfId="0" applyFill="1" applyBorder="1" applyAlignment="1">
      <alignment horizontal="center" wrapText="1"/>
    </xf>
    <xf numFmtId="164" fontId="0" fillId="0" borderId="69"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72" fontId="11" fillId="0" borderId="6" xfId="0" quotePrefix="1" applyNumberFormat="1" applyFont="1" applyFill="1" applyBorder="1" applyAlignment="1">
      <alignment horizontal="right"/>
    </xf>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6" fillId="0" borderId="0" xfId="7" applyNumberFormat="1" applyFill="1" applyBorder="1"/>
    <xf numFmtId="41" fontId="6" fillId="0" borderId="0" xfId="7" applyNumberForma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175" fontId="0" fillId="0" borderId="0" xfId="1" applyNumberFormat="1" applyFont="1"/>
    <xf numFmtId="0" fontId="8" fillId="0" borderId="0" xfId="0" applyFont="1" applyAlignment="1">
      <alignment horizontal="left" vertical="center" wrapText="1"/>
    </xf>
    <xf numFmtId="176" fontId="10" fillId="0" borderId="6" xfId="1" applyNumberFormat="1" applyFont="1" applyFill="1" applyBorder="1" applyAlignment="1">
      <alignment vertical="center"/>
    </xf>
    <xf numFmtId="176" fontId="10" fillId="0" borderId="6" xfId="1" applyNumberFormat="1" applyFont="1" applyBorder="1" applyAlignment="1">
      <alignment horizontal="right" vertical="center"/>
    </xf>
    <xf numFmtId="176" fontId="11" fillId="0" borderId="6" xfId="1" applyNumberFormat="1" applyFont="1" applyBorder="1" applyAlignment="1">
      <alignment horizontal="right" vertical="center"/>
    </xf>
    <xf numFmtId="176" fontId="0" fillId="0" borderId="0" xfId="0" applyNumberFormat="1"/>
    <xf numFmtId="172" fontId="36" fillId="0" borderId="6" xfId="0" quotePrefix="1" applyNumberFormat="1" applyFont="1" applyFill="1" applyBorder="1" applyAlignment="1">
      <alignment horizontal="right"/>
    </xf>
    <xf numFmtId="172" fontId="38" fillId="0" borderId="0" xfId="0" applyNumberFormat="1" applyFont="1"/>
    <xf numFmtId="172" fontId="36" fillId="0" borderId="6" xfId="0" applyNumberFormat="1" applyFont="1" applyFill="1" applyBorder="1" applyAlignment="1">
      <alignment horizontal="right"/>
    </xf>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165" fontId="14" fillId="7" borderId="72" xfId="13" applyNumberFormat="1" applyBorder="1"/>
    <xf numFmtId="165" fontId="14" fillId="7" borderId="73" xfId="13" applyNumberFormat="1" applyBorder="1"/>
    <xf numFmtId="165" fontId="13" fillId="7" borderId="74" xfId="12" applyNumberFormat="1" applyBorder="1"/>
    <xf numFmtId="165" fontId="13" fillId="7" borderId="75" xfId="12" applyNumberFormat="1" applyBorder="1"/>
    <xf numFmtId="165" fontId="13" fillId="7" borderId="76" xfId="12" applyNumberFormat="1" applyBorder="1"/>
    <xf numFmtId="42" fontId="14" fillId="7" borderId="77" xfId="13" applyNumberFormat="1" applyBorder="1"/>
    <xf numFmtId="42" fontId="14" fillId="7" borderId="78" xfId="13" applyNumberFormat="1" applyBorder="1"/>
    <xf numFmtId="42" fontId="14" fillId="7" borderId="0" xfId="13" applyNumberFormat="1" applyBorder="1"/>
    <xf numFmtId="42" fontId="5" fillId="5" borderId="14" xfId="6" applyNumberFormat="1" applyBorder="1"/>
    <xf numFmtId="0" fontId="8" fillId="0" borderId="0" xfId="0" applyFont="1" applyFill="1" applyAlignment="1">
      <alignment horizontal="left" vertical="center" wrapText="1"/>
    </xf>
    <xf numFmtId="170" fontId="36" fillId="0" borderId="5" xfId="0" applyNumberFormat="1" applyFont="1" applyFill="1" applyBorder="1" applyAlignment="1">
      <alignment vertical="center"/>
    </xf>
    <xf numFmtId="0" fontId="8" fillId="0" borderId="0" xfId="0" applyFont="1" applyAlignment="1">
      <alignment horizontal="left"/>
    </xf>
    <xf numFmtId="42" fontId="14" fillId="0" borderId="0" xfId="13" applyNumberFormat="1" applyFill="1" applyBorder="1"/>
    <xf numFmtId="42" fontId="33" fillId="7" borderId="70" xfId="13" applyNumberFormat="1" applyFont="1" applyBorder="1"/>
    <xf numFmtId="177" fontId="0" fillId="0" borderId="0" xfId="1" applyNumberFormat="1" applyFont="1"/>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8" fontId="10" fillId="0" borderId="6" xfId="0" applyNumberFormat="1" applyFont="1" applyFill="1" applyBorder="1" applyAlignment="1">
      <alignment vertical="center"/>
    </xf>
    <xf numFmtId="179" fontId="0" fillId="0" borderId="0" xfId="2" applyNumberFormat="1" applyFont="1"/>
    <xf numFmtId="0" fontId="8" fillId="0" borderId="79" xfId="0" applyFont="1" applyBorder="1" applyAlignment="1">
      <alignment horizontal="center" wrapText="1"/>
    </xf>
    <xf numFmtId="41" fontId="5" fillId="5" borderId="80" xfId="6" applyNumberFormat="1" applyBorder="1"/>
    <xf numFmtId="167" fontId="14" fillId="7" borderId="81" xfId="13" applyNumberFormat="1" applyBorder="1"/>
    <xf numFmtId="43" fontId="0" fillId="0" borderId="0" xfId="0" applyNumberFormat="1"/>
    <xf numFmtId="43" fontId="8" fillId="0" borderId="0" xfId="1" applyFont="1" applyAlignment="1">
      <alignment horizontal="center" wrapText="1"/>
    </xf>
    <xf numFmtId="0" fontId="8" fillId="0" borderId="0" xfId="0" applyFont="1" applyAlignment="1">
      <alignment wrapText="1"/>
    </xf>
    <xf numFmtId="165" fontId="0" fillId="0" borderId="0" xfId="0" applyNumberFormat="1" applyFill="1" applyBorder="1"/>
    <xf numFmtId="165" fontId="5" fillId="0" borderId="23" xfId="6" applyNumberFormat="1" applyFill="1" applyBorder="1"/>
    <xf numFmtId="0" fontId="7" fillId="0" borderId="0" xfId="8" applyFill="1" applyBorder="1"/>
    <xf numFmtId="41" fontId="5" fillId="0" borderId="23" xfId="6" applyNumberFormat="1" applyFill="1" applyBorder="1"/>
    <xf numFmtId="165" fontId="5" fillId="0" borderId="46" xfId="11" applyNumberFormat="1" applyFont="1" applyFill="1" applyBorder="1"/>
    <xf numFmtId="171" fontId="0" fillId="0" borderId="0" xfId="0" applyNumberFormat="1" applyFill="1" applyBorder="1"/>
    <xf numFmtId="165" fontId="14" fillId="7" borderId="82" xfId="13" applyNumberFormat="1" applyBorder="1"/>
    <xf numFmtId="167" fontId="6" fillId="0" borderId="56" xfId="1" applyNumberFormat="1" applyFont="1" applyFill="1" applyBorder="1"/>
    <xf numFmtId="44" fontId="6" fillId="0" borderId="56" xfId="7" applyNumberFormat="1" applyFill="1" applyBorder="1"/>
    <xf numFmtId="0" fontId="0" fillId="39" borderId="3" xfId="0" applyFill="1" applyBorder="1" applyAlignment="1">
      <alignment horizontal="center" wrapText="1"/>
    </xf>
    <xf numFmtId="170" fontId="36" fillId="0" borderId="6" xfId="0" applyNumberFormat="1" applyFont="1" applyFill="1" applyBorder="1" applyAlignment="1">
      <alignment vertical="center"/>
    </xf>
    <xf numFmtId="170" fontId="38" fillId="0" borderId="0" xfId="0" applyNumberFormat="1" applyFont="1" applyFill="1" applyAlignment="1"/>
    <xf numFmtId="0" fontId="38" fillId="0" borderId="0" xfId="0" applyFont="1"/>
    <xf numFmtId="170" fontId="38" fillId="0" borderId="0" xfId="0" applyNumberFormat="1" applyFont="1"/>
    <xf numFmtId="180" fontId="13" fillId="7" borderId="17" xfId="12" applyNumberFormat="1"/>
    <xf numFmtId="165" fontId="7" fillId="0" borderId="9" xfId="8" applyNumberFormat="1" applyBorder="1"/>
    <xf numFmtId="165" fontId="5" fillId="0" borderId="9" xfId="2" applyNumberFormat="1" applyFont="1" applyFill="1" applyBorder="1"/>
    <xf numFmtId="165" fontId="6" fillId="6" borderId="51" xfId="7" applyNumberFormat="1" applyBorder="1"/>
    <xf numFmtId="0" fontId="8" fillId="0" borderId="0" xfId="0" applyFont="1" applyAlignment="1">
      <alignment horizontal="left" vertical="center" wrapText="1"/>
    </xf>
    <xf numFmtId="170" fontId="36" fillId="0" borderId="4" xfId="0" applyNumberFormat="1" applyFont="1" applyFill="1" applyBorder="1" applyAlignment="1">
      <alignment vertical="center"/>
    </xf>
    <xf numFmtId="0" fontId="8" fillId="0" borderId="70" xfId="0" applyFont="1" applyBorder="1" applyAlignment="1">
      <alignment horizontal="center" wrapText="1"/>
    </xf>
    <xf numFmtId="44" fontId="33" fillId="0" borderId="0" xfId="1" applyNumberFormat="1" applyFont="1" applyAlignment="1">
      <alignment horizontal="right"/>
    </xf>
    <xf numFmtId="0" fontId="8" fillId="0" borderId="0" xfId="0" applyFont="1" applyFill="1" applyAlignment="1">
      <alignment wrapText="1"/>
    </xf>
    <xf numFmtId="0" fontId="8" fillId="0" borderId="0" xfId="0" applyFont="1" applyAlignment="1">
      <alignment horizontal="left"/>
    </xf>
    <xf numFmtId="0" fontId="8" fillId="0" borderId="0" xfId="0" applyFont="1" applyFill="1" applyAlignment="1"/>
    <xf numFmtId="0" fontId="8" fillId="0" borderId="0" xfId="0" applyFont="1" applyAlignment="1"/>
    <xf numFmtId="172" fontId="40" fillId="0" borderId="6" xfId="0" applyNumberFormat="1" applyFont="1" applyBorder="1" applyAlignment="1">
      <alignment horizontal="right"/>
    </xf>
    <xf numFmtId="170" fontId="40" fillId="0" borderId="3" xfId="0" applyNumberFormat="1" applyFont="1" applyFill="1" applyBorder="1" applyAlignment="1">
      <alignment vertical="center"/>
    </xf>
    <xf numFmtId="170" fontId="40" fillId="0" borderId="5" xfId="0" applyNumberFormat="1" applyFont="1" applyFill="1" applyBorder="1" applyAlignment="1">
      <alignment vertical="center"/>
    </xf>
    <xf numFmtId="0" fontId="8" fillId="0" borderId="0" xfId="0" applyFont="1" applyFill="1" applyAlignment="1">
      <alignment horizontal="left" wrapText="1"/>
    </xf>
    <xf numFmtId="0" fontId="9" fillId="0" borderId="0" xfId="0" applyFont="1" applyAlignment="1">
      <alignment horizontal="center" wrapText="1"/>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0" borderId="0" xfId="0" applyFont="1" applyFill="1" applyAlignment="1">
      <alignment horizontal="left" vertical="center"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left" wrapText="1"/>
    </xf>
    <xf numFmtId="0" fontId="8" fillId="0" borderId="0" xfId="0" applyFont="1" applyFill="1" applyAlignment="1">
      <alignment horizontal="left"/>
    </xf>
    <xf numFmtId="0" fontId="8" fillId="0" borderId="0" xfId="0" applyFont="1" applyAlignment="1">
      <alignment horizontal="left"/>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8" fillId="38" borderId="19" xfId="0" applyFont="1" applyFill="1" applyBorder="1" applyAlignment="1">
      <alignment horizontal="center"/>
    </xf>
    <xf numFmtId="0" fontId="8" fillId="0" borderId="0" xfId="0" applyFont="1" applyAlignment="1">
      <alignment horizontal="left" vertical="center"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externalLink" Target="externalLinks/externalLink23.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40" Type="http://schemas.openxmlformats.org/officeDocument/2006/relationships/externalLink" Target="externalLinks/externalLink24.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 Id="rId46" Type="http://schemas.openxmlformats.org/officeDocument/2006/relationships/customXml" Target="../customXml/item2.xml"/><Relationship Id="rId20" Type="http://schemas.openxmlformats.org/officeDocument/2006/relationships/externalLink" Target="externalLinks/externalLink4.xml"/><Relationship Id="rId41"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rpAcctg/MEEIA/Missouri%20West%20MEEIA%20DSIM%20Rider/20211201%20Filing/Schedule%20LAS-2_Missouri%20West%20MEEIA%20Rider%20Calcs_February%202022%20rate%20update%20linked%20final.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01%202022%20MO%20West%20Spend%20Allocations%20Workshee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02%202022%20MO%20West%20Spend%20Allocations%20Workshee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03%202022%20MO%20West%20Spend%20Allocations%20Workshee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4%202022%20MO%20West%20Spend%20Allocations%20Worksheet.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Missouri%20West%20Cycle%203%20Monthly%20TD%20Calc%20Extension%20835%20NTG.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Missouri%20West%20Cycle%203%20Monthly%20TD%20Calc%20042022%200506202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Missouri%20West%20EO%20Calculation%20PY1-PY3%20v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TD%20Model%20Missouri%20West%20PY1-3%2004202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Missouri%20West%20EO%20Calculation%20PY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TD%20Model%20Missouri%20West%20PY4%2004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illed%20kWh%20Budget%20Missouri%20West%202022-2023.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TD%20Model%20Missouri%20West%20PY1-3%20042022%20v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TD%20Model%20Missouri%20West%20PY4%20042022%20v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Missouri%20West%20EO%20Calculated%20Cycle%203%20PY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Missouri%20West%20Cycle%203%20PY1%20EO%20TD%20Adj%20Calc.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Missouri%20West%20Cycle%202%20OA%20Carrying%20Cost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EIA%20Cycle%203%20Forecast%20MO%20West%20042022%200513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rpAcctg/MEEIA/Metro%20MEEIA%20DSIM%20RIDER/20220601%20Filing/Evergy%20MC3%20Extension%20Appendix%20A%20settlemen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souri%20West%20Cycle%202%20Monthly%20TD%20Calc%20042022%200505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souri%20West%20MEEIA%202022%20Revenue%20Analysi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souri%20West%20Short-Term%20Borrowing%20Rate%20November%202021%20-%20April%20202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1%202021%20MO%20West%20Spend%20Allocations%20Workshee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2%202021%20MO%20West%20Spend%20Allocations%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f tables"/>
      <sheetName val="DSIM Cycle Tables"/>
      <sheetName val="PPC Cycle 3"/>
      <sheetName val="PCR Cycle 2"/>
      <sheetName val="PCR Cycle 3"/>
      <sheetName val="PTD Cycle 2"/>
      <sheetName val="PTD Cycle 3"/>
      <sheetName val="TDR Cycle 2"/>
      <sheetName val="TDR Cycle 3"/>
      <sheetName val="EO Cycle 2"/>
      <sheetName val="EO Cycle 3"/>
      <sheetName val="EOR Cycle 2"/>
      <sheetName val="OA Cycle 2"/>
      <sheetName val="OAR Cycle 2"/>
    </sheetNames>
    <sheetDataSet>
      <sheetData sheetId="0">
        <row r="4">
          <cell r="G4">
            <v>3564793325</v>
          </cell>
        </row>
        <row r="5">
          <cell r="G5">
            <v>1157760870</v>
          </cell>
        </row>
        <row r="6">
          <cell r="G6">
            <v>1153029898</v>
          </cell>
        </row>
        <row r="7">
          <cell r="G7">
            <v>813570905</v>
          </cell>
        </row>
        <row r="12">
          <cell r="C12">
            <v>11306138.359999999</v>
          </cell>
          <cell r="D12">
            <v>8266769.0500000007</v>
          </cell>
          <cell r="E12">
            <v>1141078.0399999998</v>
          </cell>
          <cell r="F12">
            <v>0</v>
          </cell>
        </row>
        <row r="13">
          <cell r="C13">
            <v>2563949.04</v>
          </cell>
          <cell r="D13">
            <v>1962364.5</v>
          </cell>
          <cell r="E13">
            <v>736631.5</v>
          </cell>
          <cell r="F13">
            <v>0</v>
          </cell>
        </row>
        <row r="14">
          <cell r="C14">
            <v>3871096.38</v>
          </cell>
          <cell r="D14">
            <v>1790849.77</v>
          </cell>
          <cell r="E14">
            <v>777345.64</v>
          </cell>
          <cell r="F14">
            <v>0</v>
          </cell>
        </row>
        <row r="15">
          <cell r="C15">
            <v>2922151.06</v>
          </cell>
          <cell r="D15">
            <v>392879.51</v>
          </cell>
          <cell r="E15">
            <v>382935.14</v>
          </cell>
          <cell r="F15">
            <v>0</v>
          </cell>
        </row>
        <row r="20">
          <cell r="C20">
            <v>1048735.7423199997</v>
          </cell>
          <cell r="D20">
            <v>247094.22597999964</v>
          </cell>
          <cell r="E20">
            <v>432142.47706000012</v>
          </cell>
          <cell r="F20">
            <v>0</v>
          </cell>
        </row>
        <row r="21">
          <cell r="C21">
            <v>-233528.58000000007</v>
          </cell>
          <cell r="D21">
            <v>-15888.148859999987</v>
          </cell>
          <cell r="E21">
            <v>141227.59</v>
          </cell>
          <cell r="F21">
            <v>0</v>
          </cell>
        </row>
        <row r="22">
          <cell r="C22">
            <v>479006.56999999989</v>
          </cell>
          <cell r="D22">
            <v>152094.10819000006</v>
          </cell>
          <cell r="E22">
            <v>163655.20000000001</v>
          </cell>
          <cell r="F22">
            <v>0</v>
          </cell>
        </row>
        <row r="23">
          <cell r="C23">
            <v>-600973.41000000015</v>
          </cell>
          <cell r="D23">
            <v>20409.965269999993</v>
          </cell>
          <cell r="E23">
            <v>55306.33</v>
          </cell>
          <cell r="F23">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12022 02072022"/>
      <sheetName val="Input"/>
      <sheetName val="Program Descriptions"/>
    </sheetNames>
    <sheetDataSet>
      <sheetData sheetId="0">
        <row r="27">
          <cell r="N27">
            <v>497326.76999999996</v>
          </cell>
          <cell r="O27">
            <v>54405.789999999994</v>
          </cell>
          <cell r="Q27">
            <v>50131.53</v>
          </cell>
          <cell r="R27">
            <v>113507.49000000012</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12022 02072022"/>
      <sheetName val="Input"/>
      <sheetName val="Program Descriptions"/>
    </sheetNames>
    <sheetDataSet>
      <sheetData sheetId="0">
        <row r="27">
          <cell r="N27">
            <v>909926.61</v>
          </cell>
          <cell r="O27">
            <v>155196.72</v>
          </cell>
          <cell r="Q27">
            <v>95877.89</v>
          </cell>
          <cell r="R27">
            <v>92215.810000000012</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32022 04062022"/>
      <sheetName val="Input"/>
      <sheetName val="Program Descriptions"/>
    </sheetNames>
    <sheetDataSet>
      <sheetData sheetId="0">
        <row r="27">
          <cell r="N27">
            <v>649336.06999999995</v>
          </cell>
          <cell r="O27">
            <v>199178.63</v>
          </cell>
          <cell r="Q27">
            <v>269007.03999999998</v>
          </cell>
          <cell r="R27">
            <v>129755.85</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42022 05052022"/>
      <sheetName val="Input"/>
      <sheetName val="Program Descriptions"/>
    </sheetNames>
    <sheetDataSet>
      <sheetData sheetId="0">
        <row r="27">
          <cell r="N27">
            <v>1199677.4600000002</v>
          </cell>
          <cell r="O27">
            <v>187561.25</v>
          </cell>
          <cell r="Q27">
            <v>93623.8</v>
          </cell>
          <cell r="R27">
            <v>36212.950000000004</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TD Calc"/>
    </sheetNames>
    <sheetDataSet>
      <sheetData sheetId="0" refreshError="1"/>
      <sheetData sheetId="1" refreshError="1"/>
      <sheetData sheetId="2">
        <row r="460">
          <cell r="AO460">
            <v>278265.45507243171</v>
          </cell>
          <cell r="AP460">
            <v>352858.89009492623</v>
          </cell>
          <cell r="AQ460">
            <v>464712.96217243222</v>
          </cell>
          <cell r="AR460">
            <v>539967.12909082905</v>
          </cell>
          <cell r="AS460">
            <v>678568.53590171586</v>
          </cell>
          <cell r="AT460">
            <v>977347.28166846302</v>
          </cell>
        </row>
        <row r="461">
          <cell r="AO461">
            <v>32750.453988949906</v>
          </cell>
          <cell r="AP461">
            <v>88828.333352063244</v>
          </cell>
          <cell r="AQ461">
            <v>164322.302754017</v>
          </cell>
          <cell r="AR461">
            <v>219178.57741021249</v>
          </cell>
          <cell r="AS461">
            <v>296071.75173977826</v>
          </cell>
          <cell r="AT461">
            <v>348172.37890362414</v>
          </cell>
        </row>
        <row r="463">
          <cell r="AO463">
            <v>56451.491634870334</v>
          </cell>
          <cell r="AP463">
            <v>153105.92565628741</v>
          </cell>
          <cell r="AQ463">
            <v>282891.59145293589</v>
          </cell>
          <cell r="AR463">
            <v>377873.36356055114</v>
          </cell>
          <cell r="AS463">
            <v>509732.66694543534</v>
          </cell>
          <cell r="AT463">
            <v>598484.85640177992</v>
          </cell>
        </row>
        <row r="464">
          <cell r="AO464">
            <v>27317.280570754479</v>
          </cell>
          <cell r="AP464">
            <v>74080.897958315036</v>
          </cell>
          <cell r="AQ464">
            <v>136969.39310569467</v>
          </cell>
          <cell r="AR464">
            <v>182964.67205191933</v>
          </cell>
          <cell r="AS464">
            <v>246814.31530727143</v>
          </cell>
          <cell r="AT464">
            <v>290274.11998971936</v>
          </cell>
        </row>
        <row r="562">
          <cell r="AO562">
            <v>10657.98</v>
          </cell>
          <cell r="AP562">
            <v>14381.239999999998</v>
          </cell>
          <cell r="AQ562">
            <v>19929.489999999998</v>
          </cell>
          <cell r="AR562">
            <v>23228.95</v>
          </cell>
          <cell r="AS562">
            <v>31746.869999999995</v>
          </cell>
          <cell r="AT562">
            <v>75487.86</v>
          </cell>
        </row>
        <row r="563">
          <cell r="AO563">
            <v>1158.21</v>
          </cell>
          <cell r="AP563">
            <v>3162.9300000000003</v>
          </cell>
          <cell r="AQ563">
            <v>5900.5099999999993</v>
          </cell>
          <cell r="AR563">
            <v>8574.4700000000012</v>
          </cell>
          <cell r="AS563">
            <v>11740.570000000002</v>
          </cell>
          <cell r="AT563">
            <v>21820.940000000002</v>
          </cell>
        </row>
        <row r="565">
          <cell r="AO565">
            <v>1353.03</v>
          </cell>
          <cell r="AP565">
            <v>3879.6200000000003</v>
          </cell>
          <cell r="AQ565">
            <v>7238.12</v>
          </cell>
          <cell r="AR565">
            <v>9580.19</v>
          </cell>
          <cell r="AS565">
            <v>13616.620000000003</v>
          </cell>
          <cell r="AT565">
            <v>19013.809999999998</v>
          </cell>
        </row>
        <row r="566">
          <cell r="AO566">
            <v>302.94000000000005</v>
          </cell>
          <cell r="AP566">
            <v>812.2</v>
          </cell>
          <cell r="AQ566">
            <v>1524.67</v>
          </cell>
          <cell r="AR566">
            <v>1929.8700000000001</v>
          </cell>
          <cell r="AS566">
            <v>2733.03</v>
          </cell>
          <cell r="AT566">
            <v>4050.4199999999996</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TD Calc"/>
    </sheetNames>
    <sheetDataSet>
      <sheetData sheetId="0"/>
      <sheetData sheetId="1">
        <row r="15">
          <cell r="N15">
            <v>0.5</v>
          </cell>
        </row>
      </sheetData>
      <sheetData sheetId="2">
        <row r="7">
          <cell r="DV7">
            <v>0.37052518632511572</v>
          </cell>
        </row>
        <row r="460">
          <cell r="AA460">
            <v>6349760.6565376166</v>
          </cell>
          <cell r="AB460">
            <v>7728990.3146427311</v>
          </cell>
          <cell r="AC460">
            <v>8135684.137450885</v>
          </cell>
          <cell r="AD460">
            <v>7951482.0062780902</v>
          </cell>
          <cell r="AE460">
            <v>7903865.3566582361</v>
          </cell>
          <cell r="AF460">
            <v>7706601.7274972564</v>
          </cell>
        </row>
        <row r="461">
          <cell r="AA461">
            <v>891335.85536668333</v>
          </cell>
          <cell r="AB461">
            <v>1012244.8042890672</v>
          </cell>
          <cell r="AC461">
            <v>1168800.3049956323</v>
          </cell>
          <cell r="AD461">
            <v>1065280.7155326009</v>
          </cell>
          <cell r="AE461">
            <v>1193354.350649605</v>
          </cell>
          <cell r="AF461">
            <v>1161805.7963525148</v>
          </cell>
        </row>
        <row r="463">
          <cell r="AA463">
            <v>1456887.3974201463</v>
          </cell>
          <cell r="AB463">
            <v>1775415.8806198076</v>
          </cell>
          <cell r="AC463">
            <v>2099589.1516675865</v>
          </cell>
          <cell r="AD463">
            <v>1902248.3813698995</v>
          </cell>
          <cell r="AE463">
            <v>2128033.8603458265</v>
          </cell>
          <cell r="AF463">
            <v>2054864.0426272715</v>
          </cell>
        </row>
        <row r="464">
          <cell r="AA464">
            <v>653587.09791913873</v>
          </cell>
          <cell r="AB464">
            <v>819612.48367785662</v>
          </cell>
          <cell r="AC464">
            <v>1037124.8096077902</v>
          </cell>
          <cell r="AD464">
            <v>959766.02599300153</v>
          </cell>
          <cell r="AE464">
            <v>1085472.1999221656</v>
          </cell>
          <cell r="AF464">
            <v>1042098.8133964911</v>
          </cell>
        </row>
        <row r="562">
          <cell r="AA562">
            <v>307142.62000000005</v>
          </cell>
          <cell r="AB562">
            <v>343653.79000000004</v>
          </cell>
          <cell r="AC562">
            <v>260876.84</v>
          </cell>
          <cell r="AD562">
            <v>274207.95</v>
          </cell>
          <cell r="AE562">
            <v>285223.32000000007</v>
          </cell>
          <cell r="AF562">
            <v>277131.38000000006</v>
          </cell>
        </row>
        <row r="563">
          <cell r="AA563">
            <v>40438.380000000005</v>
          </cell>
          <cell r="AB563">
            <v>41510.519999999997</v>
          </cell>
          <cell r="AC563">
            <v>45825.02</v>
          </cell>
          <cell r="AD563">
            <v>42093.1</v>
          </cell>
          <cell r="AE563">
            <v>47590.359999999993</v>
          </cell>
          <cell r="AF563">
            <v>50456.38</v>
          </cell>
        </row>
        <row r="565">
          <cell r="AA565">
            <v>43646.350000000006</v>
          </cell>
          <cell r="AB565">
            <v>50444.33</v>
          </cell>
          <cell r="AC565">
            <v>53002.389999999992</v>
          </cell>
          <cell r="AD565">
            <v>50799.789999999994</v>
          </cell>
          <cell r="AE565">
            <v>57474.19</v>
          </cell>
          <cell r="AF565">
            <v>55048.02</v>
          </cell>
        </row>
        <row r="566">
          <cell r="AA566">
            <v>8143.7100000000009</v>
          </cell>
          <cell r="AB566">
            <v>10549.150000000001</v>
          </cell>
          <cell r="AC566">
            <v>12305.68</v>
          </cell>
          <cell r="AD566">
            <v>11297.18</v>
          </cell>
          <cell r="AE566">
            <v>13003.830000000002</v>
          </cell>
          <cell r="AF566">
            <v>11865.99</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1-PY3 Final EM&amp;V"/>
    </sheetNames>
    <sheetDataSet>
      <sheetData sheetId="0">
        <row r="18">
          <cell r="S18">
            <v>5181939.6500000004</v>
          </cell>
          <cell r="T18">
            <v>5060008.6900000004</v>
          </cell>
          <cell r="W18">
            <v>1943830.0499999998</v>
          </cell>
          <cell r="Y18">
            <v>2196160.9099999997</v>
          </cell>
          <cell r="Z18">
            <v>920017.71000000008</v>
          </cell>
        </row>
      </sheetData>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EO TD Carrying Costs"/>
      <sheetName val="Jnl Import"/>
      <sheetName val="EM&amp;V Inputs"/>
      <sheetName val="kW Actuals (Gross)"/>
    </sheetNames>
    <sheetDataSet>
      <sheetData sheetId="0" refreshError="1"/>
      <sheetData sheetId="1" refreshError="1"/>
      <sheetData sheetId="2">
        <row r="370">
          <cell r="AL370">
            <v>-722286.32999999984</v>
          </cell>
          <cell r="BE370">
            <v>-925665.90999999992</v>
          </cell>
          <cell r="BS370">
            <v>-501622.58999999991</v>
          </cell>
          <cell r="CD370">
            <v>-475790.98</v>
          </cell>
        </row>
        <row r="371">
          <cell r="AL371">
            <v>62654.269999999968</v>
          </cell>
          <cell r="BE371">
            <v>97800.22000000003</v>
          </cell>
          <cell r="BS371">
            <v>68174.790000000008</v>
          </cell>
          <cell r="CD371">
            <v>55453.740000000013</v>
          </cell>
        </row>
        <row r="373">
          <cell r="AL373">
            <v>122990.04999999997</v>
          </cell>
          <cell r="BE373">
            <v>137525.56000000003</v>
          </cell>
          <cell r="BS373">
            <v>97159.740000000034</v>
          </cell>
          <cell r="CD373">
            <v>78391.820000000022</v>
          </cell>
        </row>
        <row r="374">
          <cell r="AL374">
            <v>8441.0300000000061</v>
          </cell>
          <cell r="BE374">
            <v>13480.959999999997</v>
          </cell>
          <cell r="BS374">
            <v>9530.5999999999967</v>
          </cell>
          <cell r="CD374">
            <v>7715.4</v>
          </cell>
        </row>
      </sheetData>
      <sheetData sheetId="3">
        <row r="384">
          <cell r="AL384">
            <v>574414.55000000005</v>
          </cell>
          <cell r="BE384">
            <v>-742448.70000000007</v>
          </cell>
          <cell r="BS384">
            <v>-502875.4</v>
          </cell>
          <cell r="CD384">
            <v>-411835.76000000007</v>
          </cell>
        </row>
        <row r="385">
          <cell r="AL385">
            <v>289519.26000000007</v>
          </cell>
          <cell r="BE385">
            <v>-190303.54000000007</v>
          </cell>
          <cell r="BS385">
            <v>-129086.91000000005</v>
          </cell>
          <cell r="CD385">
            <v>-106679.1</v>
          </cell>
        </row>
        <row r="387">
          <cell r="AL387">
            <v>233118.96000000005</v>
          </cell>
          <cell r="BE387">
            <v>-142627.82999999999</v>
          </cell>
          <cell r="BS387">
            <v>-101888.86000000002</v>
          </cell>
          <cell r="CD387">
            <v>-81685.770000000019</v>
          </cell>
        </row>
        <row r="388">
          <cell r="AL388">
            <v>39682.919999999976</v>
          </cell>
          <cell r="BE388">
            <v>-22699.809999999994</v>
          </cell>
          <cell r="BS388">
            <v>-16566.279999999995</v>
          </cell>
          <cell r="CD388">
            <v>-13153.759999999998</v>
          </cell>
        </row>
      </sheetData>
      <sheetData sheetId="4" refreshError="1"/>
      <sheetData sheetId="5">
        <row r="63">
          <cell r="AL63">
            <v>2229.4899999999998</v>
          </cell>
          <cell r="BE63">
            <v>-48233.87</v>
          </cell>
          <cell r="BK63">
            <v>-23257.07</v>
          </cell>
        </row>
        <row r="64">
          <cell r="AL64">
            <v>9487.8299999999981</v>
          </cell>
          <cell r="BE64">
            <v>16083.199999999999</v>
          </cell>
          <cell r="BK64">
            <v>1530.75</v>
          </cell>
        </row>
        <row r="66">
          <cell r="AL66">
            <v>9593.3099999999977</v>
          </cell>
          <cell r="BE66">
            <v>18434.950000000004</v>
          </cell>
          <cell r="BK66">
            <v>2747.2700000000004</v>
          </cell>
        </row>
        <row r="67">
          <cell r="AL67">
            <v>1337.2200000000003</v>
          </cell>
          <cell r="BE67">
            <v>2282.4499999999998</v>
          </cell>
          <cell r="BK67">
            <v>249.56000000000003</v>
          </cell>
        </row>
      </sheetData>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4 Final EM&amp;V"/>
    </sheetNames>
    <sheetDataSet>
      <sheetData sheetId="0">
        <row r="18">
          <cell r="S18">
            <v>1398635.9100000001</v>
          </cell>
          <cell r="T18">
            <v>1081480.3199999998</v>
          </cell>
          <cell r="W18">
            <v>456620.65</v>
          </cell>
          <cell r="Y18">
            <v>487216.32</v>
          </cell>
          <cell r="Z18">
            <v>137643.35</v>
          </cell>
        </row>
      </sheetData>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Sheet1"/>
      <sheetName val="EO TD Carrying Costs"/>
      <sheetName val="Jnl Import"/>
      <sheetName val="EM&amp;V Inputs"/>
      <sheetName val="kW Actuals (Gross)"/>
    </sheetNames>
    <sheetDataSet>
      <sheetData sheetId="0" refreshError="1"/>
      <sheetData sheetId="1" refreshError="1"/>
      <sheetData sheetId="2">
        <row r="370">
          <cell r="BE370">
            <v>269103.8600000001</v>
          </cell>
          <cell r="BS370">
            <v>357077.41000000003</v>
          </cell>
          <cell r="CD370">
            <v>287595.16000000003</v>
          </cell>
        </row>
        <row r="371">
          <cell r="BE371">
            <v>34433.140000000014</v>
          </cell>
          <cell r="BS371">
            <v>38305.360000000022</v>
          </cell>
          <cell r="CD371">
            <v>31944.280000000013</v>
          </cell>
        </row>
        <row r="373">
          <cell r="BE373">
            <v>12418.56</v>
          </cell>
          <cell r="BS373">
            <v>13981.689999999995</v>
          </cell>
          <cell r="CD373">
            <v>11316.46</v>
          </cell>
        </row>
        <row r="374">
          <cell r="BE374">
            <v>879.93000000000166</v>
          </cell>
          <cell r="BS374">
            <v>660.39000000000124</v>
          </cell>
          <cell r="CD374">
            <v>526.54000000000178</v>
          </cell>
        </row>
      </sheetData>
      <sheetData sheetId="3">
        <row r="384">
          <cell r="BE384">
            <v>6347.9600000000064</v>
          </cell>
          <cell r="BS384">
            <v>-135883.22999999998</v>
          </cell>
          <cell r="CD384">
            <v>-108354.64999999997</v>
          </cell>
        </row>
        <row r="385">
          <cell r="BE385">
            <v>32265.51</v>
          </cell>
          <cell r="BS385">
            <v>36285.759999999995</v>
          </cell>
          <cell r="CD385">
            <v>30292.95</v>
          </cell>
        </row>
        <row r="387">
          <cell r="BE387">
            <v>-350.19999999999027</v>
          </cell>
          <cell r="BS387">
            <v>-3922.2199999999793</v>
          </cell>
          <cell r="CD387">
            <v>-2936.9499999999898</v>
          </cell>
        </row>
        <row r="388">
          <cell r="BE388">
            <v>1230.5099999999979</v>
          </cell>
          <cell r="BS388">
            <v>1213.9799999999987</v>
          </cell>
          <cell r="CD388">
            <v>1032.0599999999977</v>
          </cell>
        </row>
      </sheetData>
      <sheetData sheetId="4" refreshError="1"/>
      <sheetData sheetId="5">
        <row r="63">
          <cell r="BE63">
            <v>5812.1900000000005</v>
          </cell>
          <cell r="BK63">
            <v>3865.7400000000002</v>
          </cell>
        </row>
        <row r="64">
          <cell r="BE64">
            <v>904.36</v>
          </cell>
          <cell r="BK64">
            <v>959.68999999999994</v>
          </cell>
        </row>
        <row r="66">
          <cell r="BE66">
            <v>241.7</v>
          </cell>
          <cell r="BK66">
            <v>168.43</v>
          </cell>
        </row>
        <row r="67">
          <cell r="BE67">
            <v>44.26</v>
          </cell>
          <cell r="BK67">
            <v>29.639999999999997</v>
          </cell>
        </row>
      </sheetData>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ed kWh Sales"/>
    </sheetNames>
    <sheetDataSet>
      <sheetData sheetId="0">
        <row r="25">
          <cell r="C25">
            <v>223399953</v>
          </cell>
          <cell r="D25">
            <v>309715994</v>
          </cell>
          <cell r="E25">
            <v>394206324</v>
          </cell>
        </row>
        <row r="26">
          <cell r="C26">
            <v>89810739</v>
          </cell>
          <cell r="D26">
            <v>92228849</v>
          </cell>
          <cell r="E26">
            <v>97527900</v>
          </cell>
        </row>
        <row r="27">
          <cell r="C27">
            <v>86198903</v>
          </cell>
          <cell r="D27">
            <v>88519765</v>
          </cell>
          <cell r="E27">
            <v>93605710</v>
          </cell>
        </row>
        <row r="28">
          <cell r="C28">
            <v>63430733</v>
          </cell>
          <cell r="D28">
            <v>65138573</v>
          </cell>
          <cell r="E28">
            <v>68881141</v>
          </cell>
        </row>
        <row r="34">
          <cell r="D34">
            <v>1866114187</v>
          </cell>
          <cell r="E34">
            <v>1724771650</v>
          </cell>
        </row>
        <row r="35">
          <cell r="D35">
            <v>590792072</v>
          </cell>
          <cell r="E35">
            <v>561469545</v>
          </cell>
        </row>
        <row r="36">
          <cell r="D36">
            <v>567032726</v>
          </cell>
          <cell r="E36">
            <v>538889435</v>
          </cell>
        </row>
        <row r="37">
          <cell r="D37">
            <v>417259385</v>
          </cell>
          <cell r="E37">
            <v>396549730</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EO TD Carrying Costs"/>
      <sheetName val="Jnl Import"/>
      <sheetName val="EM&amp;V Inputs"/>
      <sheetName val="kW Actuals (Gross)"/>
    </sheetNames>
    <sheetDataSet>
      <sheetData sheetId="0" refreshError="1"/>
      <sheetData sheetId="1" refreshError="1"/>
      <sheetData sheetId="2" refreshError="1"/>
      <sheetData sheetId="3" refreshError="1"/>
      <sheetData sheetId="4" refreshError="1"/>
      <sheetData sheetId="5">
        <row r="55">
          <cell r="BL55">
            <v>-1995.98</v>
          </cell>
          <cell r="BM55">
            <v>-1957.65</v>
          </cell>
          <cell r="BN55">
            <v>-2110.5</v>
          </cell>
          <cell r="BO55">
            <v>-2388.31</v>
          </cell>
          <cell r="BP55">
            <v>-2521.9899999999998</v>
          </cell>
          <cell r="BQ55">
            <v>-2668.34</v>
          </cell>
          <cell r="BR55">
            <v>-2763.82</v>
          </cell>
          <cell r="BS55">
            <v>-2767.77</v>
          </cell>
          <cell r="BT55">
            <v>-3508.49</v>
          </cell>
          <cell r="BU55">
            <v>-3205.54</v>
          </cell>
          <cell r="BV55">
            <v>-2990.38</v>
          </cell>
          <cell r="BW55">
            <v>-417.51</v>
          </cell>
        </row>
        <row r="56">
          <cell r="BL56">
            <v>81.38</v>
          </cell>
          <cell r="BM56">
            <v>63.61</v>
          </cell>
          <cell r="BN56">
            <v>46.46</v>
          </cell>
          <cell r="BO56">
            <v>28.09</v>
          </cell>
          <cell r="BP56">
            <v>9.7100000000000009</v>
          </cell>
          <cell r="BQ56">
            <v>-8.8000000000000007</v>
          </cell>
          <cell r="BR56">
            <v>-29.35</v>
          </cell>
          <cell r="BS56">
            <v>-52.44</v>
          </cell>
          <cell r="BT56">
            <v>-100.89</v>
          </cell>
          <cell r="BU56">
            <v>-130.18</v>
          </cell>
          <cell r="BV56">
            <v>-164.91</v>
          </cell>
          <cell r="BW56">
            <v>-30.7</v>
          </cell>
        </row>
        <row r="58">
          <cell r="BL58">
            <v>189.98</v>
          </cell>
          <cell r="BM58">
            <v>170.11</v>
          </cell>
          <cell r="BN58">
            <v>159.05000000000001</v>
          </cell>
          <cell r="BO58">
            <v>152.5</v>
          </cell>
          <cell r="BP58">
            <v>140</v>
          </cell>
          <cell r="BQ58">
            <v>129.97</v>
          </cell>
          <cell r="BR58">
            <v>115.99</v>
          </cell>
          <cell r="BS58">
            <v>94.55</v>
          </cell>
          <cell r="BT58">
            <v>87.59</v>
          </cell>
          <cell r="BU58">
            <v>44.58</v>
          </cell>
          <cell r="BV58">
            <v>0.92</v>
          </cell>
          <cell r="BW58">
            <v>-6.98</v>
          </cell>
        </row>
        <row r="59">
          <cell r="BL59">
            <v>13.92</v>
          </cell>
          <cell r="BM59">
            <v>11.52</v>
          </cell>
          <cell r="BN59">
            <v>9.73</v>
          </cell>
          <cell r="BO59">
            <v>8.0500000000000007</v>
          </cell>
          <cell r="BP59">
            <v>6.12</v>
          </cell>
          <cell r="BQ59">
            <v>3.98</v>
          </cell>
          <cell r="BR59">
            <v>1.22</v>
          </cell>
          <cell r="BS59">
            <v>-2.16</v>
          </cell>
          <cell r="BT59">
            <v>-7.95</v>
          </cell>
          <cell r="BU59">
            <v>-13</v>
          </cell>
          <cell r="BV59">
            <v>-18.649999999999999</v>
          </cell>
          <cell r="BW59">
            <v>-3.73</v>
          </cell>
        </row>
        <row r="81">
          <cell r="BJ81">
            <v>109.26999999999998</v>
          </cell>
          <cell r="BK81">
            <v>256.23</v>
          </cell>
        </row>
        <row r="82">
          <cell r="BJ82">
            <v>5.519999999999996</v>
          </cell>
          <cell r="BK82">
            <v>12.930000000000007</v>
          </cell>
        </row>
        <row r="84">
          <cell r="BJ84">
            <v>-0.34000000000000341</v>
          </cell>
          <cell r="BK84">
            <v>-0.80999999999997385</v>
          </cell>
        </row>
        <row r="85">
          <cell r="BJ85">
            <v>0.5600000000000005</v>
          </cell>
          <cell r="BK85">
            <v>1.3100000000000005</v>
          </cell>
        </row>
      </sheetData>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Sheet1"/>
      <sheetName val="EO TD Carrying Costs"/>
      <sheetName val="Jnl Import"/>
      <sheetName val="EM&amp;V Inputs"/>
      <sheetName val="kW Actuals (Gross)"/>
    </sheetNames>
    <sheetDataSet>
      <sheetData sheetId="0" refreshError="1"/>
      <sheetData sheetId="1" refreshError="1"/>
      <sheetData sheetId="2" refreshError="1"/>
      <sheetData sheetId="3" refreshError="1"/>
      <sheetData sheetId="4" refreshError="1"/>
      <sheetData sheetId="5">
        <row r="55">
          <cell r="BL55">
            <v>360.96</v>
          </cell>
          <cell r="BM55">
            <v>355.07</v>
          </cell>
          <cell r="BN55">
            <v>374.05</v>
          </cell>
          <cell r="BO55">
            <v>411.83</v>
          </cell>
          <cell r="BP55">
            <v>430.83</v>
          </cell>
          <cell r="BQ55">
            <v>461.07</v>
          </cell>
          <cell r="BR55">
            <v>486.35</v>
          </cell>
          <cell r="BS55">
            <v>499.41</v>
          </cell>
          <cell r="BT55">
            <v>653.13</v>
          </cell>
          <cell r="BU55">
            <v>617.51</v>
          </cell>
          <cell r="BV55">
            <v>598.26</v>
          </cell>
          <cell r="BW55">
            <v>87.21</v>
          </cell>
        </row>
        <row r="56">
          <cell r="BL56">
            <v>91.83</v>
          </cell>
          <cell r="BM56">
            <v>91.85</v>
          </cell>
          <cell r="BN56">
            <v>98.97</v>
          </cell>
          <cell r="BO56">
            <v>111.14</v>
          </cell>
          <cell r="BP56">
            <v>121.3</v>
          </cell>
          <cell r="BQ56">
            <v>134.94</v>
          </cell>
          <cell r="BR56">
            <v>147.91999999999999</v>
          </cell>
          <cell r="BS56">
            <v>157.13999999999999</v>
          </cell>
          <cell r="BT56">
            <v>212.56</v>
          </cell>
          <cell r="BU56">
            <v>209.06</v>
          </cell>
          <cell r="BV56">
            <v>212.1</v>
          </cell>
          <cell r="BW56">
            <v>32.74</v>
          </cell>
        </row>
        <row r="58">
          <cell r="BL58">
            <v>15.81</v>
          </cell>
          <cell r="BM58">
            <v>15.68</v>
          </cell>
          <cell r="BN58">
            <v>16.649999999999999</v>
          </cell>
          <cell r="BO58">
            <v>18.41</v>
          </cell>
          <cell r="BP58">
            <v>19.78</v>
          </cell>
          <cell r="BQ58">
            <v>21.73</v>
          </cell>
          <cell r="BR58">
            <v>23.61</v>
          </cell>
          <cell r="BS58">
            <v>24.91</v>
          </cell>
          <cell r="BT58">
            <v>33.479999999999997</v>
          </cell>
          <cell r="BU58">
            <v>32.67</v>
          </cell>
          <cell r="BV58">
            <v>32.97</v>
          </cell>
          <cell r="BW58">
            <v>5.07</v>
          </cell>
        </row>
        <row r="59">
          <cell r="BL59">
            <v>2.77</v>
          </cell>
          <cell r="BM59">
            <v>2.75</v>
          </cell>
          <cell r="BN59">
            <v>2.94</v>
          </cell>
          <cell r="BO59">
            <v>3.27</v>
          </cell>
          <cell r="BP59">
            <v>3.53</v>
          </cell>
          <cell r="BQ59">
            <v>3.89</v>
          </cell>
          <cell r="BR59">
            <v>4.22</v>
          </cell>
          <cell r="BS59">
            <v>4.46</v>
          </cell>
          <cell r="BT59">
            <v>6.01</v>
          </cell>
          <cell r="BU59">
            <v>5.87</v>
          </cell>
          <cell r="BV59">
            <v>5.92</v>
          </cell>
          <cell r="BW59">
            <v>0.91</v>
          </cell>
        </row>
        <row r="73">
          <cell r="BJ73">
            <v>-19.949999999999989</v>
          </cell>
          <cell r="BK73">
            <v>-46.770000000000039</v>
          </cell>
        </row>
        <row r="74">
          <cell r="BJ74">
            <v>-5.7000000000000028</v>
          </cell>
          <cell r="BK74">
            <v>-13.36</v>
          </cell>
        </row>
        <row r="76">
          <cell r="BJ76">
            <v>-0.89000000000000057</v>
          </cell>
          <cell r="BK76">
            <v>-2.0799999999999983</v>
          </cell>
        </row>
        <row r="77">
          <cell r="BJ77">
            <v>-0.16000000000000014</v>
          </cell>
          <cell r="BK77">
            <v>-0.37999999999999989</v>
          </cell>
        </row>
      </sheetData>
      <sheetData sheetId="6" refreshError="1"/>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1 Final EM&amp;V"/>
      <sheetName val="Tariff Table"/>
      <sheetName val="EMV Results"/>
    </sheetNames>
    <sheetDataSet>
      <sheetData sheetId="0">
        <row r="20">
          <cell r="R20">
            <v>1600473.2590000001</v>
          </cell>
          <cell r="V20">
            <v>310910.24</v>
          </cell>
          <cell r="X20">
            <v>318131.55000000005</v>
          </cell>
          <cell r="Y20">
            <v>264768.76</v>
          </cell>
        </row>
      </sheetData>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refreshError="1"/>
      <sheetData sheetId="1" refreshError="1"/>
      <sheetData sheetId="2" refreshError="1"/>
      <sheetData sheetId="3" refreshError="1"/>
      <sheetData sheetId="4">
        <row r="571">
          <cell r="E571">
            <v>20417.009999999995</v>
          </cell>
          <cell r="F571">
            <v>26427.869999999995</v>
          </cell>
          <cell r="G571">
            <v>25762.399999999994</v>
          </cell>
          <cell r="H571">
            <v>25475.879999999976</v>
          </cell>
          <cell r="I571">
            <v>25719.17</v>
          </cell>
          <cell r="J571">
            <v>41841.229999999981</v>
          </cell>
          <cell r="K571">
            <v>43382.389999999985</v>
          </cell>
          <cell r="L571">
            <v>59447.949999999953</v>
          </cell>
          <cell r="M571">
            <v>63195.650000000081</v>
          </cell>
          <cell r="N571">
            <v>31780.369999999995</v>
          </cell>
          <cell r="O571">
            <v>32268.829999999958</v>
          </cell>
          <cell r="P571">
            <v>35300.74000000002</v>
          </cell>
          <cell r="Q571">
            <v>13388.950000000012</v>
          </cell>
          <cell r="R571">
            <v>12882.320000000007</v>
          </cell>
          <cell r="S571">
            <v>12528.659999999989</v>
          </cell>
          <cell r="T571">
            <v>12194.229999999996</v>
          </cell>
          <cell r="U571">
            <v>13551.040000000008</v>
          </cell>
          <cell r="V571">
            <v>15902.689999999973</v>
          </cell>
          <cell r="W571">
            <v>16082.380000000005</v>
          </cell>
          <cell r="X571">
            <v>16628.290000000008</v>
          </cell>
          <cell r="Y571">
            <v>18457.01999999999</v>
          </cell>
          <cell r="Z571">
            <v>12601.330000000002</v>
          </cell>
          <cell r="AA571">
            <v>12496.970000000001</v>
          </cell>
          <cell r="AB571">
            <v>14872.529999999984</v>
          </cell>
          <cell r="AC571">
            <v>9244.6600000000035</v>
          </cell>
          <cell r="AD571">
            <v>8897.4599999999919</v>
          </cell>
          <cell r="AE571">
            <v>8602.3499999999913</v>
          </cell>
          <cell r="AF571">
            <v>8378.8800000000047</v>
          </cell>
        </row>
        <row r="572">
          <cell r="E572">
            <v>0</v>
          </cell>
          <cell r="F572">
            <v>0</v>
          </cell>
          <cell r="G572">
            <v>39.70999999999998</v>
          </cell>
          <cell r="H572">
            <v>130.26000000000022</v>
          </cell>
          <cell r="I572">
            <v>216.1899999999996</v>
          </cell>
          <cell r="J572">
            <v>411.05999999999949</v>
          </cell>
          <cell r="K572">
            <v>1101.5800000000017</v>
          </cell>
          <cell r="L572">
            <v>1355.6599999999999</v>
          </cell>
          <cell r="M572">
            <v>1039.7599999999984</v>
          </cell>
          <cell r="N572">
            <v>902.48000000000138</v>
          </cell>
          <cell r="O572">
            <v>1030.7699999999968</v>
          </cell>
          <cell r="P572">
            <v>1303.760000000002</v>
          </cell>
          <cell r="Q572">
            <v>1672.4700000000012</v>
          </cell>
          <cell r="R572">
            <v>1521.3499999999985</v>
          </cell>
          <cell r="S572">
            <v>1697</v>
          </cell>
          <cell r="T572">
            <v>1761.9300000000003</v>
          </cell>
          <cell r="U572">
            <v>1875.8300000000017</v>
          </cell>
          <cell r="V572">
            <v>2826.2700000000041</v>
          </cell>
          <cell r="W572">
            <v>4160.1399999999994</v>
          </cell>
          <cell r="X572">
            <v>4064.8399999999965</v>
          </cell>
          <cell r="Y572">
            <v>2726.6600000000108</v>
          </cell>
          <cell r="Z572">
            <v>1853.9300000000039</v>
          </cell>
          <cell r="AA572">
            <v>1763.4200000000019</v>
          </cell>
          <cell r="AB572">
            <v>1604.5900000000001</v>
          </cell>
          <cell r="AC572">
            <v>1684.510000000002</v>
          </cell>
          <cell r="AD572">
            <v>1532.2800000000025</v>
          </cell>
          <cell r="AE572">
            <v>1709.1900000000023</v>
          </cell>
          <cell r="AF572">
            <v>1774.6799999999967</v>
          </cell>
        </row>
        <row r="574">
          <cell r="E574">
            <v>0</v>
          </cell>
          <cell r="F574">
            <v>0</v>
          </cell>
          <cell r="G574">
            <v>21.79000000000002</v>
          </cell>
          <cell r="H574">
            <v>131.46000000000026</v>
          </cell>
          <cell r="I574">
            <v>265.22000000000025</v>
          </cell>
          <cell r="J574">
            <v>318.80000000000018</v>
          </cell>
          <cell r="K574">
            <v>379.60000000000036</v>
          </cell>
          <cell r="L574">
            <v>563.39999999999964</v>
          </cell>
          <cell r="M574">
            <v>690.21999999999935</v>
          </cell>
          <cell r="N574">
            <v>710.29000000000087</v>
          </cell>
          <cell r="O574">
            <v>747.90999999999985</v>
          </cell>
          <cell r="P574">
            <v>815.53999999999905</v>
          </cell>
          <cell r="Q574">
            <v>905.54000000000087</v>
          </cell>
          <cell r="R574">
            <v>866.09000000000196</v>
          </cell>
          <cell r="S574">
            <v>967.59999999999854</v>
          </cell>
          <cell r="T574">
            <v>911.14000000000124</v>
          </cell>
          <cell r="U574">
            <v>1009.9300000000003</v>
          </cell>
          <cell r="V574">
            <v>1135.0700000000033</v>
          </cell>
          <cell r="W574">
            <v>1122.9399999999987</v>
          </cell>
          <cell r="X574">
            <v>1158.5</v>
          </cell>
          <cell r="Y574">
            <v>1091.7099999999991</v>
          </cell>
          <cell r="Z574">
            <v>966.81999999999971</v>
          </cell>
          <cell r="AA574">
            <v>939.02000000000044</v>
          </cell>
          <cell r="AB574">
            <v>900.35999999999876</v>
          </cell>
          <cell r="AC574">
            <v>917.57000000000153</v>
          </cell>
          <cell r="AD574">
            <v>877.59000000000196</v>
          </cell>
          <cell r="AE574">
            <v>980.43000000000029</v>
          </cell>
          <cell r="AF574">
            <v>923.29000000000087</v>
          </cell>
        </row>
        <row r="575">
          <cell r="E575">
            <v>0</v>
          </cell>
          <cell r="F575">
            <v>0</v>
          </cell>
          <cell r="G575">
            <v>0</v>
          </cell>
          <cell r="H575">
            <v>-3.6100000000000136</v>
          </cell>
          <cell r="I575">
            <v>14.779999999999973</v>
          </cell>
          <cell r="J575">
            <v>52.480000000000018</v>
          </cell>
          <cell r="K575">
            <v>63.8900000000001</v>
          </cell>
          <cell r="L575">
            <v>78.479999999999791</v>
          </cell>
          <cell r="M575">
            <v>86.590000000000146</v>
          </cell>
          <cell r="N575">
            <v>95.920000000000982</v>
          </cell>
          <cell r="O575">
            <v>119.86999999999989</v>
          </cell>
          <cell r="P575">
            <v>143.69000000000051</v>
          </cell>
          <cell r="Q575">
            <v>160.54999999999927</v>
          </cell>
          <cell r="R575">
            <v>143.18000000000029</v>
          </cell>
          <cell r="S575">
            <v>160.16000000000076</v>
          </cell>
          <cell r="T575">
            <v>143.22000000000025</v>
          </cell>
          <cell r="U575">
            <v>158.33999999999924</v>
          </cell>
          <cell r="V575">
            <v>182.97000000000116</v>
          </cell>
          <cell r="W575">
            <v>186.25000000000182</v>
          </cell>
          <cell r="X575">
            <v>189.64000000000124</v>
          </cell>
          <cell r="Y575">
            <v>180.03000000000065</v>
          </cell>
          <cell r="Z575">
            <v>150.05999999999949</v>
          </cell>
          <cell r="AA575">
            <v>142.78000000000065</v>
          </cell>
          <cell r="AB575">
            <v>152.88000000000102</v>
          </cell>
          <cell r="AC575">
            <v>173.07999999999993</v>
          </cell>
          <cell r="AD575">
            <v>154.32999999999993</v>
          </cell>
          <cell r="AE575">
            <v>172.57000000000062</v>
          </cell>
          <cell r="AF575">
            <v>154.40000000000055</v>
          </cell>
        </row>
      </sheetData>
      <sheetData sheetId="5">
        <row r="436">
          <cell r="E436">
            <v>0</v>
          </cell>
          <cell r="F436">
            <v>-548.9600000000064</v>
          </cell>
          <cell r="G436">
            <v>-1984.6900000000023</v>
          </cell>
          <cell r="H436">
            <v>-3620.7999999999884</v>
          </cell>
          <cell r="I436">
            <v>-6432.4400000000023</v>
          </cell>
          <cell r="J436">
            <v>-13309.329999999987</v>
          </cell>
          <cell r="K436">
            <v>-19322.069999999978</v>
          </cell>
          <cell r="L436">
            <v>-23382.190000000002</v>
          </cell>
          <cell r="M436">
            <v>-27168.590000000026</v>
          </cell>
          <cell r="N436">
            <v>-20964.75</v>
          </cell>
          <cell r="O436">
            <v>-24073.289999999979</v>
          </cell>
          <cell r="P436">
            <v>-31950.319999999978</v>
          </cell>
          <cell r="Q436">
            <v>-31073.87000000001</v>
          </cell>
          <cell r="R436">
            <v>-29844.37000000001</v>
          </cell>
          <cell r="S436">
            <v>-30065.810000000012</v>
          </cell>
          <cell r="T436">
            <v>-29138.509999999995</v>
          </cell>
          <cell r="U436">
            <v>-32975.600000000006</v>
          </cell>
          <cell r="V436">
            <v>-45276.329999999987</v>
          </cell>
          <cell r="W436">
            <v>-48702.25</v>
          </cell>
          <cell r="X436">
            <v>-48386.34</v>
          </cell>
          <cell r="Y436">
            <v>-47116.179999999993</v>
          </cell>
          <cell r="Z436">
            <v>-30455.539999999994</v>
          </cell>
          <cell r="AA436">
            <v>-30075.509999999995</v>
          </cell>
          <cell r="AB436">
            <v>-34457.949999999983</v>
          </cell>
          <cell r="AC436">
            <v>0</v>
          </cell>
          <cell r="AD436">
            <v>0</v>
          </cell>
          <cell r="AE436">
            <v>0</v>
          </cell>
          <cell r="AF436">
            <v>0</v>
          </cell>
        </row>
        <row r="437">
          <cell r="E437">
            <v>0</v>
          </cell>
          <cell r="F437">
            <v>0</v>
          </cell>
          <cell r="G437">
            <v>-9.9999999999909051E-3</v>
          </cell>
          <cell r="H437">
            <v>-138.95000000000027</v>
          </cell>
          <cell r="I437">
            <v>-301.80999999999949</v>
          </cell>
          <cell r="J437">
            <v>-468.01999999999862</v>
          </cell>
          <cell r="K437">
            <v>-483.04999999999927</v>
          </cell>
          <cell r="L437">
            <v>-504.46999999999753</v>
          </cell>
          <cell r="M437">
            <v>-504.92000000000189</v>
          </cell>
          <cell r="N437">
            <v>-365.14999999999964</v>
          </cell>
          <cell r="O437">
            <v>-350.93000000000029</v>
          </cell>
          <cell r="P437">
            <v>-339.45000000000073</v>
          </cell>
          <cell r="Q437">
            <v>-371.04000000000087</v>
          </cell>
          <cell r="R437">
            <v>-337.18999999999505</v>
          </cell>
          <cell r="S437">
            <v>-375.75</v>
          </cell>
          <cell r="T437">
            <v>-392.68999999999869</v>
          </cell>
          <cell r="U437">
            <v>-415.60000000000218</v>
          </cell>
          <cell r="V437">
            <v>-628.45999999999913</v>
          </cell>
          <cell r="W437">
            <v>-634.21999999999389</v>
          </cell>
          <cell r="X437">
            <v>-647.95999999999185</v>
          </cell>
          <cell r="Y437">
            <v>-609.12000000000262</v>
          </cell>
          <cell r="Z437">
            <v>-413.63999999999942</v>
          </cell>
          <cell r="AA437">
            <v>-394.46000000000276</v>
          </cell>
          <cell r="AB437">
            <v>-358.65999999999985</v>
          </cell>
          <cell r="AC437">
            <v>0</v>
          </cell>
          <cell r="AD437">
            <v>2.0000000004074536E-2</v>
          </cell>
          <cell r="AE437">
            <v>9.9999999983992893E-3</v>
          </cell>
          <cell r="AF437">
            <v>0</v>
          </cell>
        </row>
        <row r="439">
          <cell r="E439">
            <v>0</v>
          </cell>
          <cell r="F439">
            <v>0</v>
          </cell>
          <cell r="G439">
            <v>0</v>
          </cell>
          <cell r="H439">
            <v>-28.470000000000027</v>
          </cell>
          <cell r="I439">
            <v>-97.300000000000182</v>
          </cell>
          <cell r="J439">
            <v>-148.3100000000004</v>
          </cell>
          <cell r="K439">
            <v>-146.75999999999931</v>
          </cell>
          <cell r="L439">
            <v>-151.30999999999949</v>
          </cell>
          <cell r="M439">
            <v>-143.32999999999993</v>
          </cell>
          <cell r="N439">
            <v>-141.61999999999898</v>
          </cell>
          <cell r="O439">
            <v>-160.02000000000044</v>
          </cell>
          <cell r="P439">
            <v>-266.28999999999905</v>
          </cell>
          <cell r="Q439">
            <v>-370.76000000000022</v>
          </cell>
          <cell r="R439">
            <v>-354.30000000000109</v>
          </cell>
          <cell r="S439">
            <v>-395.27000000000044</v>
          </cell>
          <cell r="T439">
            <v>-374.63999999999942</v>
          </cell>
          <cell r="U439">
            <v>-412.68999999999869</v>
          </cell>
          <cell r="V439">
            <v>-464.04000000000087</v>
          </cell>
          <cell r="W439">
            <v>-459.25</v>
          </cell>
          <cell r="X439">
            <v>-473.41999999999825</v>
          </cell>
          <cell r="Y439">
            <v>-448.45000000000073</v>
          </cell>
          <cell r="Z439">
            <v>-397.92999999999665</v>
          </cell>
          <cell r="AA439">
            <v>-387.53999999999724</v>
          </cell>
          <cell r="AB439">
            <v>-371.46999999999753</v>
          </cell>
          <cell r="AC439">
            <v>0</v>
          </cell>
          <cell r="AD439">
            <v>-1.0000000000218279E-2</v>
          </cell>
          <cell r="AE439">
            <v>-1.0000000002037268E-2</v>
          </cell>
          <cell r="AF439">
            <v>0</v>
          </cell>
        </row>
        <row r="440">
          <cell r="E440">
            <v>0</v>
          </cell>
          <cell r="F440">
            <v>0</v>
          </cell>
          <cell r="G440">
            <v>0</v>
          </cell>
          <cell r="H440">
            <v>-23.949999999999989</v>
          </cell>
          <cell r="I440">
            <v>-52.449999999999932</v>
          </cell>
          <cell r="J440">
            <v>-60.920000000000073</v>
          </cell>
          <cell r="K440">
            <v>-63.069999999999936</v>
          </cell>
          <cell r="L440">
            <v>-64.170000000000073</v>
          </cell>
          <cell r="M440">
            <v>-64.789999999999964</v>
          </cell>
          <cell r="N440">
            <v>-202.78999999999996</v>
          </cell>
          <cell r="O440">
            <v>-332.19000000000051</v>
          </cell>
          <cell r="P440">
            <v>-364.09000000000015</v>
          </cell>
          <cell r="Q440">
            <v>-386.06999999999971</v>
          </cell>
          <cell r="R440">
            <v>-343.43000000000029</v>
          </cell>
          <cell r="S440">
            <v>-382.55000000000109</v>
          </cell>
          <cell r="T440">
            <v>-344.73000000000047</v>
          </cell>
          <cell r="U440">
            <v>-377.5</v>
          </cell>
          <cell r="V440">
            <v>-430.94000000000051</v>
          </cell>
          <cell r="W440">
            <v>-438.64000000000124</v>
          </cell>
          <cell r="X440">
            <v>-446.36000000000058</v>
          </cell>
          <cell r="Y440">
            <v>-427.32999999999993</v>
          </cell>
          <cell r="Z440">
            <v>-361.26000000000022</v>
          </cell>
          <cell r="AA440">
            <v>-344.86000000000058</v>
          </cell>
          <cell r="AB440">
            <v>-370.92000000000007</v>
          </cell>
          <cell r="AC440">
            <v>0</v>
          </cell>
          <cell r="AD440">
            <v>-1.0000000000218279E-2</v>
          </cell>
          <cell r="AE440">
            <v>0</v>
          </cell>
          <cell r="AF440">
            <v>-1.0000000000218279E-2</v>
          </cell>
        </row>
      </sheetData>
      <sheetData sheetId="6">
        <row r="55">
          <cell r="C55">
            <v>31.6</v>
          </cell>
          <cell r="D55">
            <v>88.55</v>
          </cell>
          <cell r="E55">
            <v>154.47</v>
          </cell>
          <cell r="F55">
            <v>215.77</v>
          </cell>
          <cell r="G55">
            <v>270.38</v>
          </cell>
          <cell r="H55">
            <v>333.85</v>
          </cell>
          <cell r="I55">
            <v>330.37</v>
          </cell>
          <cell r="J55">
            <v>395.69</v>
          </cell>
          <cell r="K55">
            <v>474.01</v>
          </cell>
          <cell r="L55">
            <v>529.29</v>
          </cell>
          <cell r="M55">
            <v>549.95000000000005</v>
          </cell>
          <cell r="N55">
            <v>745.19</v>
          </cell>
          <cell r="O55">
            <v>724.56</v>
          </cell>
          <cell r="P55">
            <v>546.58000000000004</v>
          </cell>
          <cell r="Q55">
            <v>209.29</v>
          </cell>
          <cell r="R55">
            <v>229.64</v>
          </cell>
          <cell r="S55">
            <v>220.93</v>
          </cell>
          <cell r="T55">
            <v>190.66</v>
          </cell>
          <cell r="U55">
            <v>161.38</v>
          </cell>
          <cell r="V55">
            <v>132.44999999999999</v>
          </cell>
          <cell r="W55">
            <v>97.48</v>
          </cell>
          <cell r="X55">
            <v>72.510000000000005</v>
          </cell>
          <cell r="Y55">
            <v>49.02</v>
          </cell>
          <cell r="Z55">
            <v>16.97</v>
          </cell>
          <cell r="AA55">
            <v>9.5399999999999991</v>
          </cell>
          <cell r="AB55">
            <v>34.32</v>
          </cell>
          <cell r="AC55">
            <v>60.47</v>
          </cell>
          <cell r="AD55">
            <v>13.42</v>
          </cell>
        </row>
        <row r="56">
          <cell r="C56">
            <v>0</v>
          </cell>
          <cell r="D56">
            <v>0</v>
          </cell>
          <cell r="E56">
            <v>0.05</v>
          </cell>
          <cell r="F56">
            <v>0.09</v>
          </cell>
          <cell r="G56">
            <v>-0.03</v>
          </cell>
          <cell r="H56">
            <v>-0.22</v>
          </cell>
          <cell r="I56">
            <v>0.43</v>
          </cell>
          <cell r="J56">
            <v>2.0299999999999998</v>
          </cell>
          <cell r="K56">
            <v>3.53</v>
          </cell>
          <cell r="L56">
            <v>4.71</v>
          </cell>
          <cell r="M56">
            <v>6.03</v>
          </cell>
          <cell r="N56">
            <v>10.36</v>
          </cell>
          <cell r="O56">
            <v>13.62</v>
          </cell>
          <cell r="P56">
            <v>13.93</v>
          </cell>
          <cell r="Q56">
            <v>6.97</v>
          </cell>
          <cell r="R56">
            <v>9.75</v>
          </cell>
          <cell r="S56">
            <v>11.99</v>
          </cell>
          <cell r="T56">
            <v>14.09</v>
          </cell>
          <cell r="U56">
            <v>18.34</v>
          </cell>
          <cell r="V56">
            <v>24.75</v>
          </cell>
          <cell r="W56">
            <v>30.41</v>
          </cell>
          <cell r="X56">
            <v>36.83</v>
          </cell>
          <cell r="Y56">
            <v>43.59</v>
          </cell>
          <cell r="Z56">
            <v>49.85</v>
          </cell>
          <cell r="AA56">
            <v>72.97</v>
          </cell>
          <cell r="AB56">
            <v>78</v>
          </cell>
          <cell r="AC56">
            <v>85.7</v>
          </cell>
          <cell r="AD56">
            <v>14.44</v>
          </cell>
        </row>
        <row r="58">
          <cell r="C58">
            <v>0</v>
          </cell>
          <cell r="D58">
            <v>0</v>
          </cell>
          <cell r="E58">
            <v>0.03</v>
          </cell>
          <cell r="F58">
            <v>0.19</v>
          </cell>
          <cell r="G58">
            <v>0.55000000000000004</v>
          </cell>
          <cell r="H58">
            <v>1</v>
          </cell>
          <cell r="I58">
            <v>1.26</v>
          </cell>
          <cell r="J58">
            <v>1.96</v>
          </cell>
          <cell r="K58">
            <v>3</v>
          </cell>
          <cell r="L58">
            <v>4.2300000000000004</v>
          </cell>
          <cell r="M58">
            <v>5.49</v>
          </cell>
          <cell r="N58">
            <v>8.91</v>
          </cell>
          <cell r="O58">
            <v>10.47</v>
          </cell>
          <cell r="P58">
            <v>9.6999999999999993</v>
          </cell>
          <cell r="Q58">
            <v>4.53</v>
          </cell>
          <cell r="R58">
            <v>5.99</v>
          </cell>
          <cell r="S58">
            <v>7</v>
          </cell>
          <cell r="T58">
            <v>7.72</v>
          </cell>
          <cell r="U58">
            <v>8.92</v>
          </cell>
          <cell r="V58">
            <v>10.66</v>
          </cell>
          <cell r="W58">
            <v>12.33</v>
          </cell>
          <cell r="X58">
            <v>14.77</v>
          </cell>
          <cell r="Y58">
            <v>17.47</v>
          </cell>
          <cell r="Z58">
            <v>20.010000000000002</v>
          </cell>
          <cell r="AA58">
            <v>29.66</v>
          </cell>
          <cell r="AB58">
            <v>32.36</v>
          </cell>
          <cell r="AC58">
            <v>36.29</v>
          </cell>
          <cell r="AD58">
            <v>6.21</v>
          </cell>
        </row>
        <row r="59">
          <cell r="C59">
            <v>0</v>
          </cell>
          <cell r="D59">
            <v>0</v>
          </cell>
          <cell r="E59">
            <v>0</v>
          </cell>
          <cell r="F59">
            <v>-0.04</v>
          </cell>
          <cell r="G59">
            <v>-0.12</v>
          </cell>
          <cell r="H59">
            <v>-0.18</v>
          </cell>
          <cell r="I59">
            <v>-0.16</v>
          </cell>
          <cell r="J59">
            <v>-0.14000000000000001</v>
          </cell>
          <cell r="K59">
            <v>-0.1</v>
          </cell>
          <cell r="L59">
            <v>-0.2</v>
          </cell>
          <cell r="M59">
            <v>-0.54</v>
          </cell>
          <cell r="N59">
            <v>-1.34</v>
          </cell>
          <cell r="O59">
            <v>-1.99</v>
          </cell>
          <cell r="P59">
            <v>-2.11</v>
          </cell>
          <cell r="Q59">
            <v>-1.07</v>
          </cell>
          <cell r="R59">
            <v>-1.51</v>
          </cell>
          <cell r="S59">
            <v>-1.84</v>
          </cell>
          <cell r="T59">
            <v>-2.11</v>
          </cell>
          <cell r="U59">
            <v>-2.52</v>
          </cell>
          <cell r="V59">
            <v>-3.1</v>
          </cell>
          <cell r="W59">
            <v>-3.67</v>
          </cell>
          <cell r="X59">
            <v>-4.4800000000000004</v>
          </cell>
          <cell r="Y59">
            <v>-5.36</v>
          </cell>
          <cell r="Z59">
            <v>-6.23</v>
          </cell>
          <cell r="AA59">
            <v>-8.68</v>
          </cell>
          <cell r="AB59">
            <v>-8.31</v>
          </cell>
          <cell r="AC59">
            <v>-8.18</v>
          </cell>
          <cell r="AD59">
            <v>-1.23</v>
          </cell>
        </row>
      </sheetData>
      <sheetData sheetId="7" refreshError="1"/>
      <sheetData sheetId="8" refreshError="1"/>
      <sheetData sheetId="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A Cycle 2"/>
    </sheetNames>
    <sheetDataSet>
      <sheetData sheetId="0">
        <row r="107">
          <cell r="E107">
            <v>116664.99999999997</v>
          </cell>
          <cell r="K107">
            <v>11757.390000000001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Summary"/>
      <sheetName val="Monthly Program Costs"/>
      <sheetName val="Monthly TD Calc"/>
      <sheetName val="EO Ex Post TD Calc"/>
      <sheetName val="EO NTG TD Calc"/>
      <sheetName val="EMV Results"/>
      <sheetName val="Monthly kWh-kW"/>
      <sheetName val="ICF SOW Amdt 2"/>
      <sheetName val="TRC SOW Amdt 1"/>
      <sheetName val="MO West EO Matrix @Meter"/>
      <sheetName val="MO West EO Table"/>
      <sheetName val="PAYS"/>
      <sheetName val="Mktg Forecast"/>
      <sheetName val="MEEIA Labor Alloc"/>
      <sheetName val="Other Admin"/>
      <sheetName val="EMV Costs"/>
      <sheetName val="Implementer Contract Rates"/>
      <sheetName val="Billed kWh Sales"/>
      <sheetName val="DSIM Revenue"/>
    </sheetNames>
    <sheetDataSet>
      <sheetData sheetId="0"/>
      <sheetData sheetId="1"/>
      <sheetData sheetId="2"/>
      <sheetData sheetId="3">
        <row r="290">
          <cell r="AJ290">
            <v>751468.41999999993</v>
          </cell>
          <cell r="AK290">
            <v>1003682.1499999999</v>
          </cell>
          <cell r="AL290">
            <v>1040063.3700000001</v>
          </cell>
          <cell r="AM290">
            <v>1074523.19</v>
          </cell>
          <cell r="AN290">
            <v>995415.40999999992</v>
          </cell>
          <cell r="AO290">
            <v>1140995.8999999999</v>
          </cell>
          <cell r="AP290">
            <v>1193899.72</v>
          </cell>
          <cell r="AQ290">
            <v>825534.84000000008</v>
          </cell>
          <cell r="AR290">
            <v>11479.710000000001</v>
          </cell>
          <cell r="AS290">
            <v>11479.710000000001</v>
          </cell>
          <cell r="AT290">
            <v>11479.72</v>
          </cell>
          <cell r="AU290">
            <v>11479.710000000001</v>
          </cell>
          <cell r="AV290">
            <v>11479.710000000001</v>
          </cell>
          <cell r="AW290">
            <v>11479.710000000001</v>
          </cell>
        </row>
        <row r="291">
          <cell r="AJ291">
            <v>351326.47000000003</v>
          </cell>
          <cell r="AK291">
            <v>426988.30000000005</v>
          </cell>
          <cell r="AL291">
            <v>439264.29</v>
          </cell>
          <cell r="AM291">
            <v>333397.27</v>
          </cell>
          <cell r="AN291">
            <v>798616.55</v>
          </cell>
          <cell r="AO291">
            <v>235203.18000000005</v>
          </cell>
          <cell r="AP291">
            <v>286113.78000000003</v>
          </cell>
          <cell r="AQ291">
            <v>559685.63</v>
          </cell>
          <cell r="AR291">
            <v>55971.69</v>
          </cell>
          <cell r="AS291">
            <v>10318.93</v>
          </cell>
          <cell r="AT291">
            <v>10318.960000000001</v>
          </cell>
          <cell r="AU291">
            <v>10318.93</v>
          </cell>
          <cell r="AV291">
            <v>10318.960000000001</v>
          </cell>
          <cell r="AW291">
            <v>10318.93</v>
          </cell>
        </row>
        <row r="293">
          <cell r="AJ293">
            <v>340890.97</v>
          </cell>
          <cell r="AK293">
            <v>413503.32000000007</v>
          </cell>
          <cell r="AL293">
            <v>427332.7</v>
          </cell>
          <cell r="AM293">
            <v>324626.25</v>
          </cell>
          <cell r="AN293">
            <v>780645.45</v>
          </cell>
          <cell r="AO293">
            <v>222749.73000000004</v>
          </cell>
          <cell r="AP293">
            <v>271504.14999999997</v>
          </cell>
          <cell r="AQ293">
            <v>548636.22</v>
          </cell>
          <cell r="AR293">
            <v>58381.840000000004</v>
          </cell>
          <cell r="AS293">
            <v>10080.920000000002</v>
          </cell>
          <cell r="AT293">
            <v>10080.930000000002</v>
          </cell>
          <cell r="AU293">
            <v>10080.920000000002</v>
          </cell>
          <cell r="AV293">
            <v>10080.940000000002</v>
          </cell>
          <cell r="AW293">
            <v>10080.910000000002</v>
          </cell>
        </row>
        <row r="294">
          <cell r="AJ294">
            <v>247181.91</v>
          </cell>
          <cell r="AK294">
            <v>300616.83</v>
          </cell>
          <cell r="AL294">
            <v>310062.96999999997</v>
          </cell>
          <cell r="AM294">
            <v>234923.38</v>
          </cell>
          <cell r="AN294">
            <v>567569.69000000006</v>
          </cell>
          <cell r="AO294">
            <v>159646.69</v>
          </cell>
          <cell r="AP294">
            <v>195639.37</v>
          </cell>
          <cell r="AQ294">
            <v>397566.69</v>
          </cell>
          <cell r="AR294">
            <v>40825.589999999997</v>
          </cell>
          <cell r="AS294">
            <v>6660.5699999999988</v>
          </cell>
          <cell r="AT294">
            <v>6660.5999999999985</v>
          </cell>
          <cell r="AU294">
            <v>6660.5699999999988</v>
          </cell>
          <cell r="AV294">
            <v>6660.5999999999985</v>
          </cell>
          <cell r="AW294">
            <v>6660.5699999999988</v>
          </cell>
        </row>
      </sheetData>
      <sheetData sheetId="4">
        <row r="461">
          <cell r="AG461">
            <v>8112578.3167905826</v>
          </cell>
          <cell r="AH461">
            <v>7790074.1706067584</v>
          </cell>
          <cell r="AI461">
            <v>9739356.496711012</v>
          </cell>
          <cell r="AJ461">
            <v>9880168.287500836</v>
          </cell>
          <cell r="AK461">
            <v>8714818.4416701812</v>
          </cell>
          <cell r="AL461">
            <v>9259630.7871854249</v>
          </cell>
          <cell r="AM461">
            <v>9124259.5483456179</v>
          </cell>
          <cell r="AN461">
            <v>3676408.6685137702</v>
          </cell>
          <cell r="AO461">
            <v>2433832.9357157499</v>
          </cell>
          <cell r="AP461">
            <v>2200863.4262837209</v>
          </cell>
          <cell r="AQ461">
            <v>2170641.9575940333</v>
          </cell>
          <cell r="AR461">
            <v>2093414.075003206</v>
          </cell>
          <cell r="AS461">
            <v>2203416.7083957633</v>
          </cell>
          <cell r="AT461">
            <v>2038350.5479416056</v>
          </cell>
        </row>
        <row r="462">
          <cell r="AG462">
            <v>1273127.5529263844</v>
          </cell>
          <cell r="AH462">
            <v>1334344.3196419685</v>
          </cell>
          <cell r="AI462">
            <v>1507585.1040850303</v>
          </cell>
          <cell r="AJ462">
            <v>1631449.0893556217</v>
          </cell>
          <cell r="AK462">
            <v>1693509.3301903661</v>
          </cell>
          <cell r="AL462">
            <v>2001868.5446489798</v>
          </cell>
          <cell r="AM462">
            <v>1980468.4920546559</v>
          </cell>
          <cell r="AN462">
            <v>946233.75973626727</v>
          </cell>
          <cell r="AO462">
            <v>1142341.7429053376</v>
          </cell>
          <cell r="AP462">
            <v>1032751.275355354</v>
          </cell>
          <cell r="AQ462">
            <v>1144128.1717140891</v>
          </cell>
          <cell r="AR462">
            <v>1092302.2338547208</v>
          </cell>
          <cell r="AS462">
            <v>1145323.2560716211</v>
          </cell>
          <cell r="AT462">
            <v>1099010.1338302444</v>
          </cell>
        </row>
        <row r="464">
          <cell r="AG464">
            <v>2229733.5571159394</v>
          </cell>
          <cell r="AH464">
            <v>2247521.3707883605</v>
          </cell>
          <cell r="AI464">
            <v>2417772.9101002486</v>
          </cell>
          <cell r="AJ464">
            <v>2558447.3404555176</v>
          </cell>
          <cell r="AK464">
            <v>2575245.886611111</v>
          </cell>
          <cell r="AL464">
            <v>2941700.8564006556</v>
          </cell>
          <cell r="AM464">
            <v>2868391.8614859306</v>
          </cell>
          <cell r="AN464">
            <v>921263.8011628621</v>
          </cell>
          <cell r="AO464">
            <v>1112698.280041863</v>
          </cell>
          <cell r="AP464">
            <v>1005948.3153568292</v>
          </cell>
          <cell r="AQ464">
            <v>1114419.2666491512</v>
          </cell>
          <cell r="AR464">
            <v>1063976.0897944763</v>
          </cell>
          <cell r="AS464">
            <v>1115585.9969462617</v>
          </cell>
          <cell r="AT464">
            <v>1070473.8428175135</v>
          </cell>
        </row>
        <row r="465">
          <cell r="AG465">
            <v>1142420.4496046198</v>
          </cell>
          <cell r="AH465">
            <v>1176548.3690480036</v>
          </cell>
          <cell r="AI465">
            <v>1288632.7634309509</v>
          </cell>
          <cell r="AJ465">
            <v>1382630.7927089343</v>
          </cell>
          <cell r="AK465">
            <v>1427709.2810338757</v>
          </cell>
          <cell r="AL465">
            <v>1663084.6805698106</v>
          </cell>
          <cell r="AM465">
            <v>1635750.688145316</v>
          </cell>
          <cell r="AN465">
            <v>673904.95789123466</v>
          </cell>
          <cell r="AO465">
            <v>813787.4472843695</v>
          </cell>
          <cell r="AP465">
            <v>735715.37927128759</v>
          </cell>
          <cell r="AQ465">
            <v>815051.8936571338</v>
          </cell>
          <cell r="AR465">
            <v>778148.09751167544</v>
          </cell>
          <cell r="AS465">
            <v>815904.39333515905</v>
          </cell>
          <cell r="AT465">
            <v>782911.24442510167</v>
          </cell>
        </row>
        <row r="563">
          <cell r="AG563">
            <v>312706.19999999995</v>
          </cell>
          <cell r="AH563">
            <v>510244.94999999995</v>
          </cell>
          <cell r="AI563">
            <v>674258.2300000001</v>
          </cell>
          <cell r="AJ563">
            <v>682098.54999999993</v>
          </cell>
          <cell r="AK563">
            <v>570622.24999999988</v>
          </cell>
          <cell r="AL563">
            <v>341256.03</v>
          </cell>
          <cell r="AM563">
            <v>340494.56000000006</v>
          </cell>
          <cell r="AN563">
            <v>145777.60000000001</v>
          </cell>
          <cell r="AO563">
            <v>71122.16</v>
          </cell>
          <cell r="AP563">
            <v>68531.06</v>
          </cell>
          <cell r="AQ563">
            <v>71885.339999999982</v>
          </cell>
          <cell r="AR563">
            <v>69523.16</v>
          </cell>
          <cell r="AS563">
            <v>79850.579999999987</v>
          </cell>
          <cell r="AT563">
            <v>126171.02999999998</v>
          </cell>
        </row>
        <row r="564">
          <cell r="AG564">
            <v>55849.54</v>
          </cell>
          <cell r="AH564">
            <v>92002.270000000019</v>
          </cell>
          <cell r="AI564">
            <v>101725.41999999998</v>
          </cell>
          <cell r="AJ564">
            <v>109994.67</v>
          </cell>
          <cell r="AK564">
            <v>113640.18</v>
          </cell>
          <cell r="AL564">
            <v>84300.05</v>
          </cell>
          <cell r="AM564">
            <v>83969.209999999992</v>
          </cell>
          <cell r="AN564">
            <v>34976.219999999994</v>
          </cell>
          <cell r="AO564">
            <v>41848.200000000004</v>
          </cell>
          <cell r="AP564">
            <v>38057.89</v>
          </cell>
          <cell r="AQ564">
            <v>42478.61</v>
          </cell>
          <cell r="AR564">
            <v>44241.859999999993</v>
          </cell>
          <cell r="AS564">
            <v>46969.090000000004</v>
          </cell>
          <cell r="AT564">
            <v>71105.960000000006</v>
          </cell>
        </row>
        <row r="566">
          <cell r="AG566">
            <v>62989.11</v>
          </cell>
          <cell r="AH566">
            <v>75795.329999999987</v>
          </cell>
          <cell r="AI566">
            <v>78581.97</v>
          </cell>
          <cell r="AJ566">
            <v>84018.160000000018</v>
          </cell>
          <cell r="AK566">
            <v>85276.68</v>
          </cell>
          <cell r="AL566">
            <v>78995.509999999995</v>
          </cell>
          <cell r="AM566">
            <v>79204.84</v>
          </cell>
          <cell r="AN566">
            <v>23882.7</v>
          </cell>
          <cell r="AO566">
            <v>27589.3</v>
          </cell>
          <cell r="AP566">
            <v>26370.359999999997</v>
          </cell>
          <cell r="AQ566">
            <v>29481.19</v>
          </cell>
          <cell r="AR566">
            <v>27878.079999999998</v>
          </cell>
          <cell r="AS566">
            <v>30796.970000000005</v>
          </cell>
          <cell r="AT566">
            <v>34939.650000000009</v>
          </cell>
        </row>
        <row r="567">
          <cell r="AG567">
            <v>13656.099999999999</v>
          </cell>
          <cell r="AH567">
            <v>17868.689999999999</v>
          </cell>
          <cell r="AI567">
            <v>19320.670000000002</v>
          </cell>
          <cell r="AJ567">
            <v>20607.89</v>
          </cell>
          <cell r="AK567">
            <v>21428.44</v>
          </cell>
          <cell r="AL567">
            <v>18411.799999999996</v>
          </cell>
          <cell r="AM567">
            <v>18255.019999999997</v>
          </cell>
          <cell r="AN567">
            <v>7551.7999999999993</v>
          </cell>
          <cell r="AO567">
            <v>9084.07</v>
          </cell>
          <cell r="AP567">
            <v>8097.44</v>
          </cell>
          <cell r="AQ567">
            <v>9061.9000000000015</v>
          </cell>
          <cell r="AR567">
            <v>8165.41</v>
          </cell>
          <cell r="AS567">
            <v>8974.4799999999977</v>
          </cell>
          <cell r="AT567">
            <v>10495.710000000001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lement Proposal Budget"/>
    </sheetNames>
    <sheetDataSet>
      <sheetData sheetId="0">
        <row r="22">
          <cell r="P22">
            <v>8643800.1000000015</v>
          </cell>
          <cell r="Q22">
            <v>2567679.15</v>
          </cell>
          <cell r="S22">
            <v>3534412.94</v>
          </cell>
          <cell r="T22">
            <v>1940963.15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s>
    <sheetDataSet>
      <sheetData sheetId="0"/>
      <sheetData sheetId="1">
        <row r="44">
          <cell r="CY44">
            <v>0.39209287804949344</v>
          </cell>
          <cell r="DA44">
            <v>0.45435908608374953</v>
          </cell>
          <cell r="DB44">
            <v>0.15354803586675725</v>
          </cell>
        </row>
        <row r="285">
          <cell r="BR285">
            <v>3200897.113468044</v>
          </cell>
          <cell r="BS285">
            <v>3799541.9440570329</v>
          </cell>
          <cell r="BT285">
            <v>3808947.2597798044</v>
          </cell>
          <cell r="BU285">
            <v>3429744.2796914764</v>
          </cell>
          <cell r="BV285">
            <v>3430127.620978653</v>
          </cell>
          <cell r="BW285">
            <v>3293328.3913969351</v>
          </cell>
          <cell r="BX285">
            <v>3622617.1364313252</v>
          </cell>
          <cell r="BY285">
            <v>3848808.3791743834</v>
          </cell>
          <cell r="BZ285">
            <v>4524482.8033801541</v>
          </cell>
          <cell r="CA285">
            <v>4254139.1572805867</v>
          </cell>
          <cell r="CB285">
            <v>3438765.3625207683</v>
          </cell>
          <cell r="CC285">
            <v>3350801.0955900047</v>
          </cell>
          <cell r="CD285">
            <v>3200897.113468044</v>
          </cell>
          <cell r="CE285">
            <v>0</v>
          </cell>
        </row>
        <row r="286">
          <cell r="BR286">
            <v>1783272.6144496959</v>
          </cell>
          <cell r="BS286">
            <v>1777961.0361499267</v>
          </cell>
          <cell r="BT286">
            <v>1873468.082475797</v>
          </cell>
          <cell r="BU286">
            <v>1698368.6225122809</v>
          </cell>
          <cell r="BV286">
            <v>1918946.0571799164</v>
          </cell>
          <cell r="BW286">
            <v>1815753.348866856</v>
          </cell>
          <cell r="BX286">
            <v>1929862.7740866141</v>
          </cell>
          <cell r="BY286">
            <v>1927873.9189463556</v>
          </cell>
          <cell r="BZ286">
            <v>1997647.6114853616</v>
          </cell>
          <cell r="CA286">
            <v>2027066.2414548299</v>
          </cell>
          <cell r="CB286">
            <v>1834054.3366449273</v>
          </cell>
          <cell r="CC286">
            <v>1888743.4323475384</v>
          </cell>
          <cell r="CD286">
            <v>1783272.6144496959</v>
          </cell>
          <cell r="CE286">
            <v>0</v>
          </cell>
        </row>
        <row r="288">
          <cell r="BR288">
            <v>2703012.0649789949</v>
          </cell>
          <cell r="BS288">
            <v>2698632.3480119267</v>
          </cell>
          <cell r="BT288">
            <v>2841181.1069288682</v>
          </cell>
          <cell r="BU288">
            <v>2578220.7914223112</v>
          </cell>
          <cell r="BV288">
            <v>2887637.1506296871</v>
          </cell>
          <cell r="BW288">
            <v>2733410.6486690468</v>
          </cell>
          <cell r="BX288">
            <v>2890409.8209900213</v>
          </cell>
          <cell r="BY288">
            <v>2832087.0570221478</v>
          </cell>
          <cell r="BZ288">
            <v>2914197.0369588025</v>
          </cell>
          <cell r="CA288">
            <v>2970935.0270213811</v>
          </cell>
          <cell r="CB288">
            <v>2715680.539241707</v>
          </cell>
          <cell r="CC288">
            <v>2862809.8842250369</v>
          </cell>
          <cell r="CD288">
            <v>2703012.0649789949</v>
          </cell>
          <cell r="CE288">
            <v>0</v>
          </cell>
        </row>
        <row r="289">
          <cell r="BR289">
            <v>964706.0990347442</v>
          </cell>
          <cell r="BS289">
            <v>962745.40439030575</v>
          </cell>
          <cell r="BT289">
            <v>1014350.0561711908</v>
          </cell>
          <cell r="BU289">
            <v>921159.5160290671</v>
          </cell>
          <cell r="BV289">
            <v>1031447.2065557569</v>
          </cell>
          <cell r="BW289">
            <v>975001.98970008059</v>
          </cell>
          <cell r="BX289">
            <v>1031776.4605094917</v>
          </cell>
          <cell r="BY289">
            <v>1010590.2203276039</v>
          </cell>
          <cell r="BZ289">
            <v>1039178.5305886413</v>
          </cell>
          <cell r="CA289">
            <v>1060465.2308712879</v>
          </cell>
          <cell r="CB289">
            <v>967808.71359927149</v>
          </cell>
          <cell r="CC289">
            <v>1022288.2013225708</v>
          </cell>
          <cell r="CD289">
            <v>964706.0990347442</v>
          </cell>
          <cell r="CE289">
            <v>0</v>
          </cell>
        </row>
        <row r="326">
          <cell r="BR326">
            <v>149696.35999999999</v>
          </cell>
          <cell r="BS326">
            <v>164387.18</v>
          </cell>
          <cell r="BT326">
            <v>148508.95000000001</v>
          </cell>
          <cell r="BU326">
            <v>142294.95000000001</v>
          </cell>
          <cell r="BV326">
            <v>149745.65</v>
          </cell>
          <cell r="BW326">
            <v>144221.44</v>
          </cell>
          <cell r="BX326">
            <v>172528.95</v>
          </cell>
          <cell r="BY326">
            <v>302612.56</v>
          </cell>
          <cell r="BZ326">
            <v>360467.8</v>
          </cell>
          <cell r="CA326">
            <v>338929.39</v>
          </cell>
          <cell r="CB326">
            <v>271074.44</v>
          </cell>
          <cell r="CC326">
            <v>153317.57999999999</v>
          </cell>
          <cell r="CD326">
            <v>149696.35999999999</v>
          </cell>
          <cell r="CE326">
            <v>0</v>
          </cell>
        </row>
        <row r="327">
          <cell r="BR327">
            <v>74091.149999999994</v>
          </cell>
          <cell r="BS327">
            <v>67343.210000000006</v>
          </cell>
          <cell r="BT327">
            <v>69815.75</v>
          </cell>
          <cell r="BU327">
            <v>63745.35</v>
          </cell>
          <cell r="BV327">
            <v>72373.05</v>
          </cell>
          <cell r="BW327">
            <v>74630.98</v>
          </cell>
          <cell r="BX327">
            <v>80341.75</v>
          </cell>
          <cell r="BY327">
            <v>126296.86</v>
          </cell>
          <cell r="BZ327">
            <v>128643.41</v>
          </cell>
          <cell r="CA327">
            <v>130888.34</v>
          </cell>
          <cell r="CB327">
            <v>119321.89</v>
          </cell>
          <cell r="CC327">
            <v>77840.95</v>
          </cell>
          <cell r="CD327">
            <v>74091.149999999994</v>
          </cell>
          <cell r="CE327">
            <v>0</v>
          </cell>
        </row>
        <row r="329">
          <cell r="BR329">
            <v>75716.31</v>
          </cell>
          <cell r="BS329">
            <v>72630.33</v>
          </cell>
          <cell r="BT329">
            <v>72562.78</v>
          </cell>
          <cell r="BU329">
            <v>69601.08</v>
          </cell>
          <cell r="BV329">
            <v>78390.83</v>
          </cell>
          <cell r="BW329">
            <v>73632.95</v>
          </cell>
          <cell r="BX329">
            <v>81992.95</v>
          </cell>
          <cell r="BY329">
            <v>95655.97</v>
          </cell>
          <cell r="BZ329">
            <v>95158.56</v>
          </cell>
          <cell r="CA329">
            <v>97995.36</v>
          </cell>
          <cell r="CB329">
            <v>91010.55</v>
          </cell>
          <cell r="CC329">
            <v>77920.800000000003</v>
          </cell>
          <cell r="CD329">
            <v>75716.31</v>
          </cell>
          <cell r="CE329">
            <v>0</v>
          </cell>
        </row>
        <row r="330">
          <cell r="BR330">
            <v>12740.14</v>
          </cell>
          <cell r="BS330">
            <v>13601.93</v>
          </cell>
          <cell r="BT330">
            <v>13800.08</v>
          </cell>
          <cell r="BU330">
            <v>12513.73</v>
          </cell>
          <cell r="BV330">
            <v>13965.76</v>
          </cell>
          <cell r="BW330">
            <v>12679.46</v>
          </cell>
          <cell r="BX330">
            <v>14070.41</v>
          </cell>
          <cell r="BY330">
            <v>17501.97</v>
          </cell>
          <cell r="BZ330">
            <v>17971.36</v>
          </cell>
          <cell r="CA330">
            <v>18227.55</v>
          </cell>
          <cell r="CB330">
            <v>17181.66</v>
          </cell>
          <cell r="CC330">
            <v>13264.22</v>
          </cell>
          <cell r="CD330">
            <v>12740.14</v>
          </cell>
          <cell r="CE330">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y 2020"/>
      <sheetName val="February 2020"/>
      <sheetName val="March 2020"/>
      <sheetName val="April 2020"/>
      <sheetName val="May 2020"/>
      <sheetName val="June 2020"/>
      <sheetName val="July 2020"/>
      <sheetName val="Aug 2020"/>
      <sheetName val="Sept 2020"/>
      <sheetName val="Oct 2020"/>
      <sheetName val="Nov 2020"/>
      <sheetName val="Dec 2020"/>
      <sheetName val="Jan 2021"/>
      <sheetName val="Feb 2021"/>
      <sheetName val="Aug 2021"/>
      <sheetName val="Mar 2021"/>
      <sheetName val="Apr 2021"/>
      <sheetName val="May 2021"/>
      <sheetName val="Jun 2021"/>
      <sheetName val="Jul 2021"/>
      <sheetName val="Sep 2021"/>
      <sheetName val="Oct 2021"/>
      <sheetName val="Nov 2021"/>
      <sheetName val="Dec 2021"/>
      <sheetName val="Jan 2022"/>
      <sheetName val="Feb 2022"/>
      <sheetName val="Mar 2022"/>
      <sheetName val="Apr 2022"/>
      <sheetName val="GMO DSIM Rate Table"/>
      <sheetName val="DSIM Rates - Tracker"/>
      <sheetName val="DSIM Rates - Initial RP Cycle 2"/>
      <sheetName val="DSIM RP2"/>
      <sheetName val="DSIM RP3"/>
      <sheetName val="DSIM RP4"/>
      <sheetName val="DSIM RP5"/>
      <sheetName val="DSIM RP6"/>
      <sheetName val="DSIM RP7"/>
      <sheetName val="DSIM RP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6">
          <cell r="F36">
            <v>274.33</v>
          </cell>
        </row>
        <row r="37">
          <cell r="F37">
            <v>757.26</v>
          </cell>
        </row>
        <row r="38">
          <cell r="F38">
            <v>777.78</v>
          </cell>
        </row>
        <row r="39">
          <cell r="F39">
            <v>226.67000000000002</v>
          </cell>
        </row>
        <row r="44">
          <cell r="F44">
            <v>-6.52</v>
          </cell>
        </row>
        <row r="45">
          <cell r="F45">
            <v>-4236.6504274469753</v>
          </cell>
        </row>
        <row r="46">
          <cell r="F46">
            <v>-4254.3596625006776</v>
          </cell>
        </row>
        <row r="47">
          <cell r="F47">
            <v>-1895.4899100523473</v>
          </cell>
        </row>
        <row r="52">
          <cell r="F52">
            <v>85616.15</v>
          </cell>
        </row>
        <row r="53">
          <cell r="F53">
            <v>44388.840752942648</v>
          </cell>
        </row>
        <row r="54">
          <cell r="F54">
            <v>38523.204471082092</v>
          </cell>
        </row>
        <row r="55">
          <cell r="F55">
            <v>6861.2147759752679</v>
          </cell>
        </row>
        <row r="60">
          <cell r="F60">
            <v>47071.840000000004</v>
          </cell>
        </row>
        <row r="61">
          <cell r="F61">
            <v>80841.891238630778</v>
          </cell>
        </row>
        <row r="62">
          <cell r="F62">
            <v>90802.727325588261</v>
          </cell>
        </row>
        <row r="63">
          <cell r="F63">
            <v>31309.29143578096</v>
          </cell>
        </row>
        <row r="68">
          <cell r="F68">
            <v>566442.19999999995</v>
          </cell>
        </row>
        <row r="69">
          <cell r="F69">
            <v>136512.65</v>
          </cell>
        </row>
        <row r="70">
          <cell r="F70">
            <v>206955.43</v>
          </cell>
        </row>
        <row r="71">
          <cell r="F71">
            <v>154901.47</v>
          </cell>
        </row>
        <row r="75">
          <cell r="F75">
            <v>-49148.74</v>
          </cell>
        </row>
        <row r="76">
          <cell r="F76">
            <v>-16537.91</v>
          </cell>
        </row>
        <row r="77">
          <cell r="F77">
            <v>9605.5300000000007</v>
          </cell>
        </row>
        <row r="78">
          <cell r="F78">
            <v>-31792.2</v>
          </cell>
        </row>
        <row r="82">
          <cell r="F82">
            <v>275715.8</v>
          </cell>
        </row>
        <row r="83">
          <cell r="F83">
            <v>42625.46</v>
          </cell>
        </row>
        <row r="84">
          <cell r="F84">
            <v>37548.879999999997</v>
          </cell>
        </row>
        <row r="85">
          <cell r="F85">
            <v>11602.04</v>
          </cell>
        </row>
        <row r="89">
          <cell r="F89">
            <v>0</v>
          </cell>
        </row>
        <row r="90">
          <cell r="F90">
            <v>0</v>
          </cell>
        </row>
        <row r="91">
          <cell r="F91">
            <v>0</v>
          </cell>
        </row>
        <row r="92">
          <cell r="F92">
            <v>0</v>
          </cell>
        </row>
        <row r="108">
          <cell r="F108">
            <v>213754358.93200004</v>
          </cell>
        </row>
        <row r="109">
          <cell r="F109">
            <v>86970274.872600019</v>
          </cell>
        </row>
        <row r="110">
          <cell r="F110">
            <v>87322967.743900001</v>
          </cell>
        </row>
        <row r="111">
          <cell r="F111">
            <v>61151612.916400023</v>
          </cell>
        </row>
      </sheetData>
      <sheetData sheetId="23">
        <row r="36">
          <cell r="F36">
            <v>12.94</v>
          </cell>
        </row>
        <row r="37">
          <cell r="F37">
            <v>850.28</v>
          </cell>
        </row>
        <row r="38">
          <cell r="F38">
            <v>816.89999999999986</v>
          </cell>
        </row>
        <row r="39">
          <cell r="F39">
            <v>229.45</v>
          </cell>
        </row>
        <row r="44">
          <cell r="F44">
            <v>5.58</v>
          </cell>
        </row>
        <row r="45">
          <cell r="F45">
            <v>-4504.7</v>
          </cell>
        </row>
        <row r="46">
          <cell r="F46">
            <v>-4198.97</v>
          </cell>
        </row>
        <row r="47">
          <cell r="F47">
            <v>-1751.02</v>
          </cell>
        </row>
        <row r="52">
          <cell r="F52">
            <v>106395.70000000001</v>
          </cell>
        </row>
        <row r="53">
          <cell r="F53">
            <v>47967.03</v>
          </cell>
        </row>
        <row r="54">
          <cell r="F54">
            <v>38679.06</v>
          </cell>
        </row>
        <row r="55">
          <cell r="F55">
            <v>6605.16</v>
          </cell>
        </row>
        <row r="60">
          <cell r="F60">
            <v>58516.71</v>
          </cell>
        </row>
        <row r="61">
          <cell r="F61">
            <v>87249.194833706424</v>
          </cell>
        </row>
        <row r="62">
          <cell r="F62">
            <v>91115.765395764742</v>
          </cell>
        </row>
        <row r="63">
          <cell r="F63">
            <v>30417.569770528837</v>
          </cell>
        </row>
        <row r="68">
          <cell r="F68">
            <v>704855.81</v>
          </cell>
        </row>
        <row r="69">
          <cell r="F69">
            <v>147287.71</v>
          </cell>
        </row>
        <row r="70">
          <cell r="F70">
            <v>207632.87</v>
          </cell>
        </row>
        <row r="71">
          <cell r="F71">
            <v>150890.68</v>
          </cell>
        </row>
        <row r="75">
          <cell r="F75">
            <v>-61175.98</v>
          </cell>
        </row>
        <row r="76">
          <cell r="F76">
            <v>-17824.73</v>
          </cell>
        </row>
        <row r="77">
          <cell r="F77">
            <v>9636.9699999999993</v>
          </cell>
        </row>
        <row r="78">
          <cell r="F78">
            <v>-31609.51</v>
          </cell>
        </row>
        <row r="82">
          <cell r="F82">
            <v>343115.26</v>
          </cell>
        </row>
        <row r="83">
          <cell r="F83">
            <v>45968.89</v>
          </cell>
        </row>
        <row r="84">
          <cell r="F84">
            <v>37671.79</v>
          </cell>
        </row>
        <row r="85">
          <cell r="F85">
            <v>11331.71</v>
          </cell>
        </row>
        <row r="89">
          <cell r="F89">
            <v>0</v>
          </cell>
        </row>
        <row r="90">
          <cell r="F90">
            <v>0</v>
          </cell>
        </row>
        <row r="91">
          <cell r="F91">
            <v>0</v>
          </cell>
        </row>
        <row r="92">
          <cell r="F92">
            <v>0</v>
          </cell>
        </row>
        <row r="108">
          <cell r="F108">
            <v>265983469.20469999</v>
          </cell>
        </row>
        <row r="109">
          <cell r="F109">
            <v>93814130.378200024</v>
          </cell>
        </row>
        <row r="110">
          <cell r="F110">
            <v>87608807.915299997</v>
          </cell>
        </row>
        <row r="111">
          <cell r="F111">
            <v>59640585.517399997</v>
          </cell>
        </row>
      </sheetData>
      <sheetData sheetId="24">
        <row r="36">
          <cell r="F36">
            <v>7.71</v>
          </cell>
        </row>
        <row r="37">
          <cell r="F37">
            <v>962.42</v>
          </cell>
        </row>
        <row r="38">
          <cell r="F38">
            <v>876.64999999999986</v>
          </cell>
        </row>
        <row r="39">
          <cell r="F39">
            <v>223.25</v>
          </cell>
        </row>
        <row r="44">
          <cell r="F44">
            <v>1.52</v>
          </cell>
        </row>
        <row r="45">
          <cell r="F45">
            <v>-5245.3799999999992</v>
          </cell>
        </row>
        <row r="46">
          <cell r="F46">
            <v>-4650.71</v>
          </cell>
        </row>
        <row r="47">
          <cell r="F47">
            <v>-1754.64</v>
          </cell>
        </row>
        <row r="52">
          <cell r="F52">
            <v>144468.48000000001</v>
          </cell>
        </row>
        <row r="53">
          <cell r="F53">
            <v>55854.67</v>
          </cell>
        </row>
        <row r="54">
          <cell r="F54">
            <v>42729.64</v>
          </cell>
        </row>
        <row r="55">
          <cell r="F55">
            <v>6613.17</v>
          </cell>
        </row>
        <row r="60">
          <cell r="F60">
            <v>79455.799999999988</v>
          </cell>
        </row>
        <row r="61">
          <cell r="F61">
            <v>101653.31026102316</v>
          </cell>
        </row>
        <row r="62">
          <cell r="F62">
            <v>100625.95165700617</v>
          </cell>
        </row>
        <row r="63">
          <cell r="F63">
            <v>30460.218082249103</v>
          </cell>
        </row>
        <row r="68">
          <cell r="F68">
            <v>957067.21</v>
          </cell>
        </row>
        <row r="69">
          <cell r="F69">
            <v>171630.03</v>
          </cell>
        </row>
        <row r="70">
          <cell r="F70">
            <v>229281.34</v>
          </cell>
        </row>
        <row r="71">
          <cell r="F71">
            <v>151102.34</v>
          </cell>
        </row>
        <row r="75">
          <cell r="F75">
            <v>-83064.800000000003</v>
          </cell>
        </row>
        <row r="76">
          <cell r="F76">
            <v>-20781.18</v>
          </cell>
        </row>
        <row r="77">
          <cell r="F77">
            <v>10639.62</v>
          </cell>
        </row>
        <row r="78">
          <cell r="F78">
            <v>-31653.85</v>
          </cell>
        </row>
        <row r="82">
          <cell r="F82">
            <v>465896.12</v>
          </cell>
        </row>
        <row r="83">
          <cell r="F83">
            <v>53577.760000000002</v>
          </cell>
        </row>
        <row r="84">
          <cell r="F84">
            <v>41592.33</v>
          </cell>
        </row>
        <row r="85">
          <cell r="F85">
            <v>11347.61</v>
          </cell>
        </row>
        <row r="89">
          <cell r="F89">
            <v>0.83</v>
          </cell>
        </row>
        <row r="90">
          <cell r="F90">
            <v>0</v>
          </cell>
        </row>
        <row r="91">
          <cell r="F91">
            <v>0</v>
          </cell>
        </row>
        <row r="92">
          <cell r="F92">
            <v>0</v>
          </cell>
        </row>
        <row r="108">
          <cell r="F108">
            <v>361160747.1372999</v>
          </cell>
        </row>
        <row r="109">
          <cell r="F109">
            <v>109349241.64030001</v>
          </cell>
        </row>
        <row r="110">
          <cell r="F110">
            <v>96747934.608500004</v>
          </cell>
        </row>
        <row r="111">
          <cell r="F111">
            <v>59724245.750200003</v>
          </cell>
        </row>
      </sheetData>
      <sheetData sheetId="25">
        <row r="36">
          <cell r="F36">
            <v>0</v>
          </cell>
        </row>
        <row r="37">
          <cell r="F37">
            <v>992.35</v>
          </cell>
        </row>
        <row r="38">
          <cell r="F38">
            <v>835.33999999999992</v>
          </cell>
        </row>
        <row r="39">
          <cell r="F39">
            <v>186.14999999999998</v>
          </cell>
        </row>
        <row r="44">
          <cell r="F44">
            <v>12000.329999998909</v>
          </cell>
        </row>
        <row r="45">
          <cell r="F45">
            <v>-8253.32</v>
          </cell>
        </row>
        <row r="46">
          <cell r="F46">
            <v>-8896.83</v>
          </cell>
        </row>
        <row r="47">
          <cell r="F47">
            <v>-2912.7400000000002</v>
          </cell>
        </row>
        <row r="52">
          <cell r="F52">
            <v>294039.73000000004</v>
          </cell>
        </row>
        <row r="53">
          <cell r="F53">
            <v>112495.23</v>
          </cell>
        </row>
        <row r="54">
          <cell r="F54">
            <v>90748.24</v>
          </cell>
        </row>
        <row r="55">
          <cell r="F55">
            <v>18215.29</v>
          </cell>
        </row>
        <row r="60">
          <cell r="F60">
            <v>7047.0499999999993</v>
          </cell>
        </row>
        <row r="61">
          <cell r="F61">
            <v>53052.972821225674</v>
          </cell>
        </row>
        <row r="62">
          <cell r="F62">
            <v>51013.413916758152</v>
          </cell>
        </row>
        <row r="63">
          <cell r="F63">
            <v>14294.343262016177</v>
          </cell>
        </row>
        <row r="68">
          <cell r="F68">
            <v>1109509.01</v>
          </cell>
        </row>
        <row r="69">
          <cell r="F69">
            <v>234202.44</v>
          </cell>
        </row>
        <row r="70">
          <cell r="F70">
            <v>304709.11</v>
          </cell>
        </row>
        <row r="71">
          <cell r="F71">
            <v>211221.13</v>
          </cell>
        </row>
        <row r="75">
          <cell r="F75">
            <v>93033.250000001091</v>
          </cell>
        </row>
        <row r="76">
          <cell r="F76">
            <v>-12708.76</v>
          </cell>
        </row>
        <row r="77">
          <cell r="F77">
            <v>46164.6</v>
          </cell>
        </row>
        <row r="78">
          <cell r="F78">
            <v>-40619.01</v>
          </cell>
        </row>
        <row r="82">
          <cell r="F82">
            <v>542474.43999999994</v>
          </cell>
        </row>
        <row r="83">
          <cell r="F83">
            <v>65688.28</v>
          </cell>
        </row>
        <row r="84">
          <cell r="F84">
            <v>61644.47</v>
          </cell>
        </row>
        <row r="85">
          <cell r="F85">
            <v>11792.08</v>
          </cell>
        </row>
        <row r="89">
          <cell r="F89">
            <v>146978.42000000001</v>
          </cell>
        </row>
        <row r="90">
          <cell r="F90">
            <v>27535.16</v>
          </cell>
        </row>
        <row r="91">
          <cell r="F91">
            <v>23516.94</v>
          </cell>
        </row>
        <row r="92">
          <cell r="F92">
            <v>17543.52</v>
          </cell>
        </row>
        <row r="108">
          <cell r="F108">
            <v>350017110.45929998</v>
          </cell>
        </row>
        <row r="109">
          <cell r="F109">
            <v>105988382.94010003</v>
          </cell>
        </row>
        <row r="110">
          <cell r="F110">
            <v>90790463.036300033</v>
          </cell>
        </row>
        <row r="111">
          <cell r="F111">
            <v>58985778.347800009</v>
          </cell>
        </row>
      </sheetData>
      <sheetData sheetId="26">
        <row r="36">
          <cell r="F36">
            <v>0</v>
          </cell>
        </row>
        <row r="37">
          <cell r="F37">
            <v>1809.3</v>
          </cell>
        </row>
        <row r="38">
          <cell r="F38">
            <v>390.95</v>
          </cell>
        </row>
        <row r="39">
          <cell r="F39">
            <v>3440.51</v>
          </cell>
        </row>
        <row r="44">
          <cell r="F44">
            <v>0</v>
          </cell>
        </row>
        <row r="45">
          <cell r="F45">
            <v>-7762.6938368625806</v>
          </cell>
        </row>
        <row r="46">
          <cell r="F46">
            <v>-8420.1795470087272</v>
          </cell>
        </row>
        <row r="47">
          <cell r="F47">
            <v>-2085.5166161286934</v>
          </cell>
        </row>
        <row r="52">
          <cell r="F52">
            <v>263549.32</v>
          </cell>
        </row>
        <row r="53">
          <cell r="F53">
            <v>111781.34937444373</v>
          </cell>
        </row>
        <row r="54">
          <cell r="F54">
            <v>89685.167914993814</v>
          </cell>
        </row>
        <row r="55">
          <cell r="F55">
            <v>19203.772710562465</v>
          </cell>
        </row>
        <row r="60">
          <cell r="F60">
            <v>6268.2099999999991</v>
          </cell>
        </row>
        <row r="61">
          <cell r="F61">
            <v>52864.617190096222</v>
          </cell>
        </row>
        <row r="62">
          <cell r="F62">
            <v>50032.670753940605</v>
          </cell>
        </row>
        <row r="63">
          <cell r="F63">
            <v>14751.622055963177</v>
          </cell>
        </row>
        <row r="68">
          <cell r="F68">
            <v>994957.04</v>
          </cell>
        </row>
        <row r="69">
          <cell r="F69">
            <v>232107.35</v>
          </cell>
        </row>
        <row r="70">
          <cell r="F70">
            <v>301423.15999999997</v>
          </cell>
        </row>
        <row r="71">
          <cell r="F71">
            <v>211274.63</v>
          </cell>
        </row>
        <row r="75">
          <cell r="F75">
            <v>93961.43</v>
          </cell>
        </row>
        <row r="76">
          <cell r="F76">
            <v>-12566.23</v>
          </cell>
        </row>
        <row r="77">
          <cell r="F77">
            <v>45877.72</v>
          </cell>
        </row>
        <row r="78">
          <cell r="F78">
            <v>-39765.360000000001</v>
          </cell>
        </row>
        <row r="82">
          <cell r="F82">
            <v>486501.56</v>
          </cell>
        </row>
        <row r="83">
          <cell r="F83">
            <v>65046.57</v>
          </cell>
        </row>
        <row r="84">
          <cell r="F84">
            <v>61092.1</v>
          </cell>
        </row>
        <row r="85">
          <cell r="F85">
            <v>11734.65</v>
          </cell>
        </row>
        <row r="89">
          <cell r="F89">
            <v>131804.93</v>
          </cell>
        </row>
        <row r="90">
          <cell r="F90">
            <v>27248.28</v>
          </cell>
        </row>
        <row r="91">
          <cell r="F91">
            <v>23402.75</v>
          </cell>
        </row>
        <row r="92">
          <cell r="F92">
            <v>17379.86</v>
          </cell>
        </row>
        <row r="108">
          <cell r="F108">
            <v>313874319.61389995</v>
          </cell>
        </row>
        <row r="109">
          <cell r="F109">
            <v>105045291.18460003</v>
          </cell>
        </row>
        <row r="110">
          <cell r="F110">
            <v>89506757.944700003</v>
          </cell>
        </row>
        <row r="111">
          <cell r="F111">
            <v>59375183.620199993</v>
          </cell>
        </row>
      </sheetData>
      <sheetData sheetId="27">
        <row r="36">
          <cell r="F36">
            <v>0</v>
          </cell>
        </row>
        <row r="37">
          <cell r="F37">
            <v>1242.25</v>
          </cell>
        </row>
        <row r="38">
          <cell r="F38">
            <v>1127.5</v>
          </cell>
        </row>
        <row r="39">
          <cell r="F39">
            <v>3048.48</v>
          </cell>
        </row>
        <row r="44">
          <cell r="F44">
            <v>0</v>
          </cell>
        </row>
        <row r="45">
          <cell r="F45">
            <v>-7209.323883040679</v>
          </cell>
        </row>
        <row r="46">
          <cell r="F46">
            <v>-8365.1700031735618</v>
          </cell>
        </row>
        <row r="47">
          <cell r="F47">
            <v>-2341.6361137857575</v>
          </cell>
        </row>
        <row r="52">
          <cell r="F52">
            <v>206608.09</v>
          </cell>
        </row>
        <row r="53">
          <cell r="F53">
            <v>98866.305128184031</v>
          </cell>
        </row>
        <row r="54">
          <cell r="F54">
            <v>85828.581706760844</v>
          </cell>
        </row>
        <row r="55">
          <cell r="F55">
            <v>18962.663165055117</v>
          </cell>
        </row>
        <row r="60">
          <cell r="F60">
            <v>4912.13</v>
          </cell>
        </row>
        <row r="61">
          <cell r="F61">
            <v>46580.305834289473</v>
          </cell>
        </row>
        <row r="62">
          <cell r="F62">
            <v>47993.200743265523</v>
          </cell>
        </row>
        <row r="63">
          <cell r="F63">
            <v>15204.433422445007</v>
          </cell>
        </row>
        <row r="68">
          <cell r="F68">
            <v>779698.73</v>
          </cell>
        </row>
        <row r="69">
          <cell r="F69">
            <v>205788.79</v>
          </cell>
        </row>
        <row r="70">
          <cell r="F70">
            <v>287861.84999999998</v>
          </cell>
        </row>
        <row r="71">
          <cell r="F71">
            <v>214077.22</v>
          </cell>
        </row>
        <row r="75">
          <cell r="F75">
            <v>73780.599999999991</v>
          </cell>
        </row>
        <row r="76">
          <cell r="F76">
            <v>-11176.5</v>
          </cell>
        </row>
        <row r="77">
          <cell r="F77">
            <v>43693.64</v>
          </cell>
        </row>
        <row r="78">
          <cell r="F78">
            <v>-40222.9</v>
          </cell>
        </row>
        <row r="82">
          <cell r="F82">
            <v>381241.66</v>
          </cell>
        </row>
        <row r="83">
          <cell r="F83">
            <v>57734.5</v>
          </cell>
        </row>
        <row r="84">
          <cell r="F84">
            <v>58257.95</v>
          </cell>
        </row>
        <row r="85">
          <cell r="F85">
            <v>11920.61</v>
          </cell>
        </row>
        <row r="89">
          <cell r="F89">
            <v>103308.88</v>
          </cell>
        </row>
        <row r="90">
          <cell r="F90">
            <v>24208.25</v>
          </cell>
        </row>
        <row r="91">
          <cell r="F91">
            <v>22275.23</v>
          </cell>
        </row>
        <row r="92">
          <cell r="F92">
            <v>17439.43</v>
          </cell>
        </row>
        <row r="108">
          <cell r="F108">
            <v>245959273.72460008</v>
          </cell>
        </row>
        <row r="109">
          <cell r="F109">
            <v>93123921.764600009</v>
          </cell>
        </row>
        <row r="110">
          <cell r="F110">
            <v>85672749.556400001</v>
          </cell>
        </row>
        <row r="111">
          <cell r="F111">
            <v>60392930.060800016</v>
          </cell>
        </row>
      </sheetData>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 2021"/>
      <sheetName val="Dec 2021"/>
      <sheetName val="Jan 2022"/>
      <sheetName val="Feb 2022"/>
      <sheetName val="Mar 2022"/>
      <sheetName val="Apr 2022"/>
    </sheetNames>
    <sheetDataSet>
      <sheetData sheetId="0">
        <row r="42">
          <cell r="E42">
            <v>1.1167499999999999E-3</v>
          </cell>
        </row>
      </sheetData>
      <sheetData sheetId="1">
        <row r="43">
          <cell r="E43">
            <v>1.1281900000000001E-3</v>
          </cell>
        </row>
      </sheetData>
      <sheetData sheetId="2">
        <row r="43">
          <cell r="E43">
            <v>1.1297799999999999E-3</v>
          </cell>
        </row>
      </sheetData>
      <sheetData sheetId="3">
        <row r="43">
          <cell r="E43">
            <v>1.1744100000000001E-3</v>
          </cell>
        </row>
      </sheetData>
      <sheetData sheetId="4">
        <row r="43">
          <cell r="E43">
            <v>1.3724799999999999E-3</v>
          </cell>
        </row>
      </sheetData>
      <sheetData sheetId="5">
        <row r="42">
          <cell r="E42">
            <v>1.53951E-3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112021 12072021"/>
      <sheetName val="Input"/>
      <sheetName val="Program Descriptions"/>
    </sheetNames>
    <sheetDataSet>
      <sheetData sheetId="0">
        <row r="27">
          <cell r="N27">
            <v>887510.06</v>
          </cell>
          <cell r="O27">
            <v>169752.38</v>
          </cell>
          <cell r="Q27">
            <v>455133.24</v>
          </cell>
          <cell r="R27">
            <v>75396.359999999986</v>
          </cell>
        </row>
      </sheetData>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122021 01102022"/>
      <sheetName val="Input"/>
      <sheetName val="Program Descriptions"/>
    </sheetNames>
    <sheetDataSet>
      <sheetData sheetId="0">
        <row r="27">
          <cell r="N27">
            <v>596467.26</v>
          </cell>
          <cell r="O27">
            <v>413980.70999999996</v>
          </cell>
          <cell r="Q27">
            <v>885612.59</v>
          </cell>
          <cell r="R27">
            <v>651938.96000000008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0"/>
  <sheetViews>
    <sheetView zoomScale="96" zoomScaleNormal="96" workbookViewId="0">
      <pane xSplit="2" ySplit="3" topLeftCell="C4" activePane="bottomRight" state="frozen"/>
      <selection activeCell="J8" sqref="J8"/>
      <selection pane="topRight" activeCell="J8" sqref="J8"/>
      <selection pane="bottomLeft" activeCell="J8" sqref="J8"/>
      <selection pane="bottomRight" activeCell="O3" sqref="O3:U7"/>
    </sheetView>
  </sheetViews>
  <sheetFormatPr defaultRowHeight="15" outlineLevelCol="1" x14ac:dyDescent="0.25"/>
  <cols>
    <col min="2" max="2" width="25.140625" customWidth="1"/>
    <col min="3" max="4" width="16.7109375" bestFit="1" customWidth="1"/>
    <col min="5" max="5" width="15.42578125" bestFit="1" customWidth="1"/>
    <col min="6" max="6" width="14.28515625" bestFit="1" customWidth="1"/>
    <col min="7" max="7" width="19.140625" bestFit="1" customWidth="1"/>
    <col min="8" max="8" width="14.28515625" bestFit="1" customWidth="1"/>
    <col min="9" max="9" width="3.5703125" customWidth="1"/>
    <col min="10" max="10" width="13.7109375" bestFit="1" customWidth="1"/>
    <col min="11" max="11" width="13" bestFit="1" customWidth="1"/>
    <col min="12" max="12" width="13.7109375" bestFit="1" customWidth="1"/>
    <col min="13" max="13" width="14.28515625" bestFit="1" customWidth="1"/>
    <col min="14" max="14" width="11.7109375" bestFit="1" customWidth="1"/>
    <col min="15" max="15" width="37.140625" customWidth="1" outlineLevel="1"/>
    <col min="16" max="16" width="19.28515625" customWidth="1" outlineLevel="1"/>
    <col min="17" max="17" width="16" style="46" customWidth="1" outlineLevel="1"/>
    <col min="18" max="18" width="9.140625" customWidth="1" outlineLevel="1"/>
    <col min="19" max="20" width="16.7109375" bestFit="1" customWidth="1" outlineLevel="1"/>
    <col min="21" max="21" width="16.7109375" style="46" bestFit="1" customWidth="1" outlineLevel="1"/>
    <col min="22" max="22" width="16.7109375" bestFit="1" customWidth="1" outlineLevel="1"/>
    <col min="23" max="23" width="9.140625" customWidth="1" outlineLevel="1"/>
    <col min="24" max="26" width="16.7109375" bestFit="1" customWidth="1" outlineLevel="1"/>
    <col min="27" max="27" width="16" bestFit="1" customWidth="1" outlineLevel="1"/>
    <col min="28" max="28" width="12" bestFit="1" customWidth="1"/>
  </cols>
  <sheetData>
    <row r="1" spans="1:28" x14ac:dyDescent="0.25">
      <c r="A1" s="3" t="str">
        <f>+'PPC Cycle 3'!A1</f>
        <v>Evergy Missouri West, Inc. - DSIM Rider Update Filed 06/01/2022</v>
      </c>
    </row>
    <row r="2" spans="1:28" ht="15.75" thickBot="1" x14ac:dyDescent="0.3">
      <c r="H2" s="46"/>
      <c r="I2" s="46"/>
      <c r="J2" s="48"/>
      <c r="K2" s="48"/>
    </row>
    <row r="3" spans="1:28" ht="27.75" thickBot="1" x14ac:dyDescent="0.3">
      <c r="B3" s="87" t="s">
        <v>7</v>
      </c>
      <c r="C3" s="130" t="s">
        <v>19</v>
      </c>
      <c r="D3" s="130" t="s">
        <v>20</v>
      </c>
      <c r="E3" s="130" t="s">
        <v>57</v>
      </c>
      <c r="F3" s="130" t="s">
        <v>21</v>
      </c>
      <c r="G3" s="130" t="s">
        <v>38</v>
      </c>
      <c r="H3" s="89" t="s">
        <v>28</v>
      </c>
      <c r="I3" s="39"/>
      <c r="J3" s="88" t="s">
        <v>13</v>
      </c>
      <c r="K3" s="89" t="s">
        <v>56</v>
      </c>
      <c r="L3" s="89" t="s">
        <v>72</v>
      </c>
      <c r="M3" s="89" t="s">
        <v>73</v>
      </c>
    </row>
    <row r="4" spans="1:28" ht="15.75" thickBot="1" x14ac:dyDescent="0.3">
      <c r="B4" s="90" t="s">
        <v>24</v>
      </c>
      <c r="C4" s="128">
        <f t="shared" ref="C4:F7" si="0">C12+C20</f>
        <v>10068963.812320001</v>
      </c>
      <c r="D4" s="129">
        <f t="shared" si="0"/>
        <v>3693727.5123100011</v>
      </c>
      <c r="E4" s="129">
        <f t="shared" si="0"/>
        <v>698901.97858000011</v>
      </c>
      <c r="F4" s="129">
        <f t="shared" si="0"/>
        <v>-128422.38999999997</v>
      </c>
      <c r="G4" s="132">
        <f>+'PPC Cycle 3'!B5</f>
        <v>3590885837</v>
      </c>
      <c r="H4" s="286">
        <f>ROUND(SUM(C4:F4)/G4,5)</f>
        <v>3.9899999999999996E-3</v>
      </c>
      <c r="I4" s="287"/>
      <c r="J4" s="303">
        <f>ROUND((C12+C20)/G4,5)+0.00001</f>
        <v>2.81E-3</v>
      </c>
      <c r="K4" s="134">
        <f>ROUND((D12+D20)/G4,5)</f>
        <v>1.0300000000000001E-3</v>
      </c>
      <c r="L4" s="134">
        <f>ROUND((E12+E20)/G4,5)</f>
        <v>1.9000000000000001E-4</v>
      </c>
      <c r="M4" s="134">
        <f>ROUND((F12+F20)/G4,5)</f>
        <v>-4.0000000000000003E-5</v>
      </c>
      <c r="N4" s="260">
        <f>+H4-SUM(J4:M4)</f>
        <v>0</v>
      </c>
      <c r="O4" s="269"/>
      <c r="P4" s="269"/>
      <c r="Q4" s="269"/>
      <c r="R4" s="269"/>
      <c r="S4" s="269"/>
    </row>
    <row r="5" spans="1:28" ht="15.75" thickBot="1" x14ac:dyDescent="0.3">
      <c r="B5" s="90" t="s">
        <v>107</v>
      </c>
      <c r="C5" s="128">
        <f t="shared" si="0"/>
        <v>4196005.51</v>
      </c>
      <c r="D5" s="129">
        <f t="shared" si="0"/>
        <v>1253366.71744</v>
      </c>
      <c r="E5" s="129">
        <f t="shared" si="0"/>
        <v>506866.69312000001</v>
      </c>
      <c r="F5" s="129">
        <f t="shared" si="0"/>
        <v>0</v>
      </c>
      <c r="G5" s="132">
        <f>+'PPC Cycle 3'!B6</f>
        <v>1152261617</v>
      </c>
      <c r="H5" s="286">
        <f>ROUND(SUM(C5:F5)/G5,5)</f>
        <v>5.1700000000000001E-3</v>
      </c>
      <c r="I5" s="287"/>
      <c r="J5" s="256">
        <f>ROUND((C13+C21)/G5,5)</f>
        <v>3.64E-3</v>
      </c>
      <c r="K5" s="295">
        <f>ROUND((D13+D21)/G5,5)</f>
        <v>1.09E-3</v>
      </c>
      <c r="L5" s="134">
        <f>ROUND((E13+E21)/G5,5)</f>
        <v>4.4000000000000002E-4</v>
      </c>
      <c r="M5" s="134">
        <f>ROUND((F13+F21)/G5,5)</f>
        <v>0</v>
      </c>
      <c r="N5" s="260">
        <f t="shared" ref="N5:N7" si="1">+H5-SUM(J5:M5)</f>
        <v>0</v>
      </c>
      <c r="O5" s="269"/>
      <c r="P5" s="269"/>
      <c r="Q5" s="269"/>
      <c r="R5" s="269"/>
      <c r="S5" s="269"/>
    </row>
    <row r="6" spans="1:28" s="46" customFormat="1" ht="15.75" thickBot="1" x14ac:dyDescent="0.3">
      <c r="B6" s="90" t="s">
        <v>108</v>
      </c>
      <c r="C6" s="128">
        <f t="shared" si="0"/>
        <v>4975089.26</v>
      </c>
      <c r="D6" s="129">
        <f t="shared" si="0"/>
        <v>1144983.4329599999</v>
      </c>
      <c r="E6" s="129">
        <f t="shared" si="0"/>
        <v>552616.00172000006</v>
      </c>
      <c r="F6" s="129">
        <f t="shared" si="0"/>
        <v>0</v>
      </c>
      <c r="G6" s="132">
        <f>+'PPC Cycle 3'!B7</f>
        <v>1105922161</v>
      </c>
      <c r="H6" s="286">
        <f>ROUND(SUM(C6:F6)/G6,5)</f>
        <v>6.0299999999999998E-3</v>
      </c>
      <c r="I6" s="287"/>
      <c r="J6" s="304">
        <f>ROUND((C14+C22)/G6,5)-0.00001</f>
        <v>4.4900000000000001E-3</v>
      </c>
      <c r="K6" s="295">
        <f>ROUND((D14+D22)/G6,5)</f>
        <v>1.0399999999999999E-3</v>
      </c>
      <c r="L6" s="134">
        <f>ROUND((E14+E22)/G6,5)</f>
        <v>5.0000000000000001E-4</v>
      </c>
      <c r="M6" s="134">
        <f>ROUND((F14+F22)/G6,5)</f>
        <v>0</v>
      </c>
      <c r="N6" s="260">
        <f t="shared" si="1"/>
        <v>0</v>
      </c>
      <c r="O6" s="269"/>
      <c r="P6" s="269"/>
      <c r="Q6" s="269"/>
      <c r="R6" s="269"/>
      <c r="S6" s="269"/>
    </row>
    <row r="7" spans="1:28" s="46" customFormat="1" ht="15.75" thickBot="1" x14ac:dyDescent="0.3">
      <c r="B7" s="90" t="s">
        <v>109</v>
      </c>
      <c r="C7" s="128">
        <f t="shared" si="0"/>
        <v>2490466.0200000005</v>
      </c>
      <c r="D7" s="129">
        <f t="shared" si="0"/>
        <v>241656.90059999999</v>
      </c>
      <c r="E7" s="129">
        <f t="shared" si="0"/>
        <v>255459.33590000001</v>
      </c>
      <c r="F7" s="129">
        <f t="shared" si="0"/>
        <v>0</v>
      </c>
      <c r="G7" s="132">
        <f>+'PPC Cycle 3'!B8</f>
        <v>813809115</v>
      </c>
      <c r="H7" s="286">
        <f>ROUND(SUM(C7:F7)/G7,5)</f>
        <v>3.6700000000000001E-3</v>
      </c>
      <c r="I7" s="287"/>
      <c r="J7" s="256">
        <f>ROUND((C15+C23)/G7,5)</f>
        <v>3.0599999999999998E-3</v>
      </c>
      <c r="K7" s="134">
        <f>ROUND((D15+D23)/G7,5)</f>
        <v>2.9999999999999997E-4</v>
      </c>
      <c r="L7" s="134">
        <f>ROUND((E15+E23)/G7,5)</f>
        <v>3.1E-4</v>
      </c>
      <c r="M7" s="134">
        <f>ROUND((F15+F23)/G7,5)</f>
        <v>0</v>
      </c>
      <c r="N7" s="260">
        <f t="shared" si="1"/>
        <v>0</v>
      </c>
      <c r="O7" s="269"/>
      <c r="P7" s="269"/>
      <c r="Q7" s="269"/>
      <c r="R7" s="269"/>
      <c r="S7" s="269"/>
    </row>
    <row r="8" spans="1:28" x14ac:dyDescent="0.25">
      <c r="C8" s="127"/>
      <c r="D8" s="127"/>
      <c r="E8" s="127"/>
      <c r="F8" s="127"/>
      <c r="G8" s="126"/>
      <c r="H8" s="288"/>
      <c r="I8" s="288"/>
      <c r="J8" s="288"/>
    </row>
    <row r="9" spans="1:28" x14ac:dyDescent="0.25">
      <c r="C9" s="127"/>
      <c r="D9" s="127"/>
      <c r="E9" s="127"/>
      <c r="F9" s="127"/>
      <c r="G9" s="126"/>
      <c r="H9" s="46"/>
      <c r="I9" s="46"/>
      <c r="J9" s="17"/>
      <c r="K9" s="17"/>
      <c r="L9" s="46"/>
      <c r="M9" s="46"/>
    </row>
    <row r="10" spans="1:28" ht="15.75" thickBot="1" x14ac:dyDescent="0.3">
      <c r="C10" s="127"/>
      <c r="D10" s="127"/>
      <c r="E10" s="127"/>
      <c r="F10" s="127"/>
      <c r="G10" s="126"/>
      <c r="H10" s="46"/>
      <c r="I10" s="46"/>
      <c r="J10" s="17"/>
      <c r="K10" s="17"/>
      <c r="L10" s="46"/>
      <c r="M10" s="46"/>
    </row>
    <row r="11" spans="1:28" ht="15.75" thickBot="1" x14ac:dyDescent="0.3">
      <c r="B11" s="87" t="s">
        <v>7</v>
      </c>
      <c r="C11" s="131" t="s">
        <v>6</v>
      </c>
      <c r="D11" s="131" t="s">
        <v>16</v>
      </c>
      <c r="E11" s="131" t="s">
        <v>58</v>
      </c>
      <c r="F11" s="131" t="s">
        <v>17</v>
      </c>
      <c r="G11" s="126"/>
      <c r="H11" s="46"/>
      <c r="I11" s="46"/>
      <c r="J11" s="17"/>
      <c r="K11" s="17"/>
      <c r="L11" s="46"/>
      <c r="M11" s="46"/>
      <c r="O11" s="131" t="s">
        <v>74</v>
      </c>
      <c r="P11" s="131" t="s">
        <v>75</v>
      </c>
      <c r="Q11" s="131" t="s">
        <v>82</v>
      </c>
      <c r="R11" s="46"/>
      <c r="S11" s="131" t="s">
        <v>76</v>
      </c>
      <c r="T11" s="131" t="s">
        <v>77</v>
      </c>
      <c r="U11" s="131" t="s">
        <v>103</v>
      </c>
      <c r="V11" s="131" t="s">
        <v>93</v>
      </c>
      <c r="X11" s="131" t="s">
        <v>114</v>
      </c>
      <c r="Y11" s="131" t="s">
        <v>115</v>
      </c>
      <c r="Z11" s="131" t="s">
        <v>116</v>
      </c>
      <c r="AA11" s="131" t="s">
        <v>117</v>
      </c>
    </row>
    <row r="12" spans="1:28" ht="15.75" thickBot="1" x14ac:dyDescent="0.3">
      <c r="B12" s="90" t="s">
        <v>24</v>
      </c>
      <c r="C12" s="129">
        <f>+'PPC Cycle 3'!C5</f>
        <v>10661210.75</v>
      </c>
      <c r="D12" s="129">
        <f>'PTD Cycle 2'!C6+'PTD Cycle 3'!C6</f>
        <v>4690508.51</v>
      </c>
      <c r="E12" s="129">
        <f>+'EO Cycle 2'!G7+'EO Cycle 3'!G7</f>
        <v>339560.63000000012</v>
      </c>
      <c r="F12" s="128">
        <f>+'OA Cycle 2'!D8</f>
        <v>-128422.38999999997</v>
      </c>
      <c r="G12" s="126"/>
      <c r="H12" s="46"/>
      <c r="I12" s="46"/>
      <c r="J12" s="46"/>
      <c r="K12" s="46"/>
      <c r="L12" s="46"/>
      <c r="M12" s="46"/>
      <c r="O12" s="182">
        <v>0</v>
      </c>
      <c r="P12" s="182">
        <v>0</v>
      </c>
      <c r="Q12" s="224">
        <v>0</v>
      </c>
      <c r="R12" s="157"/>
      <c r="S12" s="156">
        <v>0</v>
      </c>
      <c r="T12" s="156">
        <f>ROUND(+'PTD Cycle 2'!C6/'tariff tables'!G4,5)</f>
        <v>3.5E-4</v>
      </c>
      <c r="U12" s="156">
        <f>ROUND('EO Cycle 2'!G7/'tariff tables'!G4,5)</f>
        <v>-1.7000000000000001E-4</v>
      </c>
      <c r="V12" s="156">
        <f>ROUND('OA Cycle 2'!D8/'tariff tables'!G4,5)</f>
        <v>-4.0000000000000003E-5</v>
      </c>
      <c r="X12" s="189">
        <f>ROUND('PPC Cycle 3'!C5/'tariff tables'!$G4,5)</f>
        <v>2.97E-3</v>
      </c>
      <c r="Y12" s="302">
        <f>ROUND('PTD Cycle 3'!C6/'tariff tables'!G4,5)+0.00001</f>
        <v>9.6000000000000002E-4</v>
      </c>
      <c r="Z12" s="302">
        <f>ROUND('EO Cycle 3'!G7/'tariff tables'!G4,5)-0.00001</f>
        <v>2.5999999999999998E-4</v>
      </c>
      <c r="AA12" s="189">
        <f>ROUND(0/'tariff tables'!G4,5)</f>
        <v>0</v>
      </c>
      <c r="AB12" s="157">
        <f>SUM(O12:AA12,O20:AA20)</f>
        <v>3.9899999999999996E-3</v>
      </c>
    </row>
    <row r="13" spans="1:28" ht="15.75" thickBot="1" x14ac:dyDescent="0.3">
      <c r="B13" s="90" t="s">
        <v>107</v>
      </c>
      <c r="C13" s="129">
        <f>+'PPC Cycle 3'!C6</f>
        <v>4043686.68</v>
      </c>
      <c r="D13" s="129">
        <f>'PTD Cycle 2'!C10+'PTD Cycle 3'!C7</f>
        <v>1396450.73</v>
      </c>
      <c r="E13" s="129">
        <f>+'EO Cycle 2'!G11+'EO Cycle 3'!G11</f>
        <v>341565.78</v>
      </c>
      <c r="F13" s="128">
        <f>+'OA Cycle 2'!B13</f>
        <v>0</v>
      </c>
      <c r="G13" s="126"/>
      <c r="H13" s="46"/>
      <c r="I13" s="46"/>
      <c r="J13" s="46"/>
      <c r="K13" s="46"/>
      <c r="L13" s="46"/>
      <c r="M13" s="46"/>
      <c r="O13" s="182">
        <v>0</v>
      </c>
      <c r="P13" s="182">
        <v>0</v>
      </c>
      <c r="Q13" s="224">
        <v>0</v>
      </c>
      <c r="R13" s="157"/>
      <c r="S13" s="156">
        <v>0</v>
      </c>
      <c r="T13" s="182">
        <f>ROUND(+'PTD Cycle 2'!C10/'tariff tables'!G5,5)</f>
        <v>4.6000000000000001E-4</v>
      </c>
      <c r="U13" s="224">
        <f>ROUND('EO Cycle 2'!G11/'tariff tables'!G5,5)</f>
        <v>1.2E-4</v>
      </c>
      <c r="V13" s="182">
        <f>ROUND('OA Cycle 2'!B13/'tariff tables'!G5,5)</f>
        <v>0</v>
      </c>
      <c r="X13" s="189">
        <f>ROUND('PPC Cycle 3'!C6/'tariff tables'!$G5,5)</f>
        <v>3.5100000000000001E-3</v>
      </c>
      <c r="Y13" s="189">
        <f>ROUND('PTD Cycle 3'!C7/'tariff tables'!G5,5)</f>
        <v>7.5000000000000002E-4</v>
      </c>
      <c r="Z13" s="302">
        <f>ROUND('EO Cycle 3'!G11/'tariff tables'!G5,5)+0.00001</f>
        <v>1.8000000000000001E-4</v>
      </c>
      <c r="AA13" s="189">
        <f>ROUND(0/'tariff tables'!G5,5)</f>
        <v>0</v>
      </c>
      <c r="AB13" s="157">
        <f>SUM(O13:AA13,O21:AA21)</f>
        <v>5.1699999999999992E-3</v>
      </c>
    </row>
    <row r="14" spans="1:28" s="46" customFormat="1" ht="15.75" thickBot="1" x14ac:dyDescent="0.3">
      <c r="B14" s="90" t="s">
        <v>108</v>
      </c>
      <c r="C14" s="129">
        <f>+'PPC Cycle 3'!C7</f>
        <v>4451487.43</v>
      </c>
      <c r="D14" s="129">
        <f>'PTD Cycle 2'!C11+'PTD Cycle 3'!C8</f>
        <v>1099498.3799999999</v>
      </c>
      <c r="E14" s="129">
        <f>+'EO Cycle 2'!G12+'EO Cycle 3'!G12</f>
        <v>349239.31</v>
      </c>
      <c r="F14" s="128">
        <f>+'OA Cycle 2'!B14</f>
        <v>0</v>
      </c>
      <c r="G14" s="126"/>
      <c r="O14" s="182">
        <v>0</v>
      </c>
      <c r="P14" s="182">
        <v>0</v>
      </c>
      <c r="Q14" s="240">
        <v>0</v>
      </c>
      <c r="R14" s="241"/>
      <c r="S14" s="189">
        <v>0</v>
      </c>
      <c r="T14" s="242">
        <f>ROUND(+'PTD Cycle 2'!C11/'tariff tables'!G6,5)</f>
        <v>4.0000000000000002E-4</v>
      </c>
      <c r="U14" s="240">
        <f>ROUND('EO Cycle 2'!G12/'tariff tables'!G6,5)</f>
        <v>1.3999999999999999E-4</v>
      </c>
      <c r="V14" s="182">
        <f>ROUND('OA Cycle 2'!B14/'tariff tables'!G6,5)</f>
        <v>0</v>
      </c>
      <c r="X14" s="302">
        <f>ROUND('PPC Cycle 3'!C7/'tariff tables'!$G6,5)-0.00001</f>
        <v>4.0200000000000001E-3</v>
      </c>
      <c r="Y14" s="189">
        <f>ROUND('PTD Cycle 3'!C8/'tariff tables'!G6,5)</f>
        <v>5.9999999999999995E-4</v>
      </c>
      <c r="Z14" s="189">
        <f>ROUND('EO Cycle 3'!G12/'tariff tables'!G6,5)</f>
        <v>1.7000000000000001E-4</v>
      </c>
      <c r="AA14" s="189">
        <f>ROUND(0/'tariff tables'!G6,5)</f>
        <v>0</v>
      </c>
      <c r="AB14" s="157">
        <f>SUM(O14:AA14,O22:AA22)</f>
        <v>6.0299999999999998E-3</v>
      </c>
    </row>
    <row r="15" spans="1:28" s="46" customFormat="1" ht="15.75" thickBot="1" x14ac:dyDescent="0.3">
      <c r="B15" s="90" t="s">
        <v>109</v>
      </c>
      <c r="C15" s="129">
        <f>+'PPC Cycle 3'!C8</f>
        <v>2910018.87</v>
      </c>
      <c r="D15" s="129">
        <f>'PTD Cycle 2'!C12+'PTD Cycle 3'!C9</f>
        <v>250192.69</v>
      </c>
      <c r="E15" s="129">
        <f>+'EO Cycle 2'!G13+'EO Cycle 3'!G13</f>
        <v>188328.56</v>
      </c>
      <c r="F15" s="128">
        <f>+'OA Cycle 2'!B15</f>
        <v>0</v>
      </c>
      <c r="G15" s="126"/>
      <c r="O15" s="182">
        <v>0</v>
      </c>
      <c r="P15" s="182">
        <v>0</v>
      </c>
      <c r="Q15" s="240">
        <v>0</v>
      </c>
      <c r="R15" s="241"/>
      <c r="S15" s="189">
        <v>0</v>
      </c>
      <c r="T15" s="242">
        <f>ROUND(+'PTD Cycle 2'!C12/'tariff tables'!G7,5)</f>
        <v>1E-4</v>
      </c>
      <c r="U15" s="240">
        <f>ROUND('EO Cycle 2'!G13/'tariff tables'!G7,5)</f>
        <v>4.0000000000000003E-5</v>
      </c>
      <c r="V15" s="182">
        <f>ROUND('OA Cycle 2'!B15/'tariff tables'!G7,5)</f>
        <v>0</v>
      </c>
      <c r="X15" s="189">
        <f>ROUND('PPC Cycle 3'!C8/'tariff tables'!$G7,5)</f>
        <v>3.5799999999999998E-3</v>
      </c>
      <c r="Y15" s="189">
        <f>ROUND('PTD Cycle 3'!C9/'tariff tables'!G7,5)</f>
        <v>2.1000000000000001E-4</v>
      </c>
      <c r="Z15" s="302">
        <f>ROUND('EO Cycle 3'!G13/'tariff tables'!G7,5)-0.00001</f>
        <v>1.8000000000000001E-4</v>
      </c>
      <c r="AA15" s="189">
        <f>ROUND(0/'tariff tables'!G7,5)</f>
        <v>0</v>
      </c>
      <c r="AB15" s="157">
        <f>SUM(O15:AA15,O23:AA23)</f>
        <v>3.6699999999999992E-3</v>
      </c>
    </row>
    <row r="16" spans="1:28" x14ac:dyDescent="0.25">
      <c r="C16" s="127"/>
      <c r="D16" s="127"/>
      <c r="E16" s="127"/>
      <c r="F16" s="127"/>
      <c r="G16" s="126"/>
      <c r="J16" s="17"/>
      <c r="K16" s="17"/>
      <c r="O16" s="183"/>
      <c r="P16" s="183"/>
      <c r="Q16" s="243"/>
      <c r="R16" s="241"/>
      <c r="S16" s="241"/>
      <c r="T16" s="241"/>
      <c r="U16" s="241"/>
      <c r="V16" s="157"/>
      <c r="X16" s="241"/>
      <c r="Y16" s="241"/>
      <c r="Z16" s="241"/>
      <c r="AA16" s="241"/>
    </row>
    <row r="17" spans="2:27" x14ac:dyDescent="0.25">
      <c r="C17" s="127"/>
      <c r="D17" s="127"/>
      <c r="E17" s="127"/>
      <c r="F17" s="127"/>
      <c r="G17" s="126"/>
      <c r="J17" s="17"/>
      <c r="K17" s="17"/>
      <c r="O17" s="183"/>
      <c r="P17" s="183"/>
      <c r="Q17" s="243"/>
      <c r="R17" s="241"/>
      <c r="S17" s="241"/>
      <c r="T17" s="241"/>
      <c r="U17" s="241"/>
      <c r="V17" s="157"/>
      <c r="X17" s="241"/>
      <c r="Y17" s="241"/>
      <c r="Z17" s="241"/>
      <c r="AA17" s="241"/>
    </row>
    <row r="18" spans="2:27" ht="15.75" thickBot="1" x14ac:dyDescent="0.3">
      <c r="C18" s="127"/>
      <c r="D18" s="127"/>
      <c r="E18" s="127"/>
      <c r="F18" s="127"/>
      <c r="G18" s="126"/>
      <c r="J18" s="17"/>
      <c r="K18" s="17"/>
      <c r="O18" s="183"/>
      <c r="P18" s="183"/>
      <c r="Q18" s="243"/>
      <c r="R18" s="241"/>
      <c r="S18" s="241"/>
      <c r="T18" s="241"/>
      <c r="U18" s="241"/>
      <c r="V18" s="241"/>
      <c r="W18" s="288"/>
      <c r="X18" s="241"/>
      <c r="Y18" s="241"/>
      <c r="Z18" s="241"/>
      <c r="AA18" s="241"/>
    </row>
    <row r="19" spans="2:27" ht="15.75" thickBot="1" x14ac:dyDescent="0.3">
      <c r="B19" s="87" t="s">
        <v>7</v>
      </c>
      <c r="C19" s="131" t="s">
        <v>4</v>
      </c>
      <c r="D19" s="131" t="s">
        <v>9</v>
      </c>
      <c r="E19" s="131" t="s">
        <v>59</v>
      </c>
      <c r="F19" s="131" t="s">
        <v>18</v>
      </c>
      <c r="G19" s="126"/>
      <c r="O19" s="184" t="s">
        <v>78</v>
      </c>
      <c r="P19" s="184" t="s">
        <v>79</v>
      </c>
      <c r="Q19" s="244" t="s">
        <v>83</v>
      </c>
      <c r="R19" s="241"/>
      <c r="S19" s="245" t="s">
        <v>80</v>
      </c>
      <c r="T19" s="245" t="s">
        <v>81</v>
      </c>
      <c r="U19" s="244" t="s">
        <v>106</v>
      </c>
      <c r="V19" s="245" t="s">
        <v>94</v>
      </c>
      <c r="W19" s="288"/>
      <c r="X19" s="245" t="s">
        <v>118</v>
      </c>
      <c r="Y19" s="245" t="s">
        <v>119</v>
      </c>
      <c r="Z19" s="244" t="s">
        <v>120</v>
      </c>
      <c r="AA19" s="245" t="s">
        <v>121</v>
      </c>
    </row>
    <row r="20" spans="2:27" ht="15.75" thickBot="1" x14ac:dyDescent="0.3">
      <c r="B20" s="90" t="s">
        <v>24</v>
      </c>
      <c r="C20" s="129">
        <f>+'PCR Cycle 3'!K4+'PCR Cycle 2'!J4</f>
        <v>-592246.93767999916</v>
      </c>
      <c r="D20" s="129">
        <f>'TDR Cycle 3'!K4+'TDR Cycle 2'!K4</f>
        <v>-996780.99768999894</v>
      </c>
      <c r="E20" s="129">
        <f>+'EOR Cycle 2'!I4+'EOR Cycle 3'!I4</f>
        <v>359341.34857999999</v>
      </c>
      <c r="F20" s="128">
        <f>+'OAR Cycle 2'!I4</f>
        <v>0</v>
      </c>
      <c r="G20" s="126"/>
      <c r="O20" s="182">
        <v>0</v>
      </c>
      <c r="P20" s="182">
        <v>0</v>
      </c>
      <c r="Q20" s="242">
        <v>0</v>
      </c>
      <c r="R20" s="241"/>
      <c r="S20" s="189">
        <f>ROUND(+'PCR Cycle 2'!J4/'tariff tables'!G4,5)</f>
        <v>0</v>
      </c>
      <c r="T20" s="189">
        <f>ROUND(+'TDR Cycle 2'!K4/'tariff tables'!G4,5)</f>
        <v>6.0000000000000002E-5</v>
      </c>
      <c r="U20" s="189">
        <f>ROUND('EOR Cycle 2'!I4/'tariff tables'!G4,5)</f>
        <v>1.2E-4</v>
      </c>
      <c r="V20" s="189">
        <f>ROUND('OAR Cycle 2'!I4/'tariff tables'!G4,5)</f>
        <v>0</v>
      </c>
      <c r="W20" s="288"/>
      <c r="X20" s="242">
        <f>ROUND('PCR Cycle 3'!K4/'tariff tables'!G4,5)</f>
        <v>-1.6000000000000001E-4</v>
      </c>
      <c r="Y20" s="189">
        <f>ROUND('TDR Cycle 3'!K4/'tariff tables'!G4,5)</f>
        <v>-3.4000000000000002E-4</v>
      </c>
      <c r="Z20" s="189">
        <f>ROUND('EOR Cycle 3'!I4/'tariff tables'!G4,5)</f>
        <v>-2.0000000000000002E-5</v>
      </c>
      <c r="AA20" s="189">
        <f>ROUND(0/'tariff tables'!G4,5)</f>
        <v>0</v>
      </c>
    </row>
    <row r="21" spans="2:27" ht="15.75" thickBot="1" x14ac:dyDescent="0.3">
      <c r="B21" s="90" t="s">
        <v>107</v>
      </c>
      <c r="C21" s="129">
        <f>'PCR Cycle 3'!K5+'PCR Cycle 2'!J8</f>
        <v>152318.82999999984</v>
      </c>
      <c r="D21" s="129">
        <f>'TDR Cycle 3'!K5+'TDR Cycle 2'!K8</f>
        <v>-143084.01255999994</v>
      </c>
      <c r="E21" s="129">
        <f>+'EOR Cycle 2'!I8+'EOR Cycle 3'!I5</f>
        <v>165300.91311999998</v>
      </c>
      <c r="F21" s="128">
        <f>+'OAR Cycle 2'!I8</f>
        <v>0</v>
      </c>
      <c r="G21" s="126"/>
      <c r="O21" s="182">
        <v>0</v>
      </c>
      <c r="P21" s="182">
        <v>0</v>
      </c>
      <c r="Q21" s="242">
        <v>0</v>
      </c>
      <c r="R21" s="241"/>
      <c r="S21" s="242">
        <f>ROUND(+'PCR Cycle 2'!J8/'tariff tables'!G5,5)</f>
        <v>-5.0000000000000002E-5</v>
      </c>
      <c r="T21" s="242">
        <f>ROUND(+'TDR Cycle 2'!K8/'tariff tables'!G5,5)</f>
        <v>1.1E-4</v>
      </c>
      <c r="U21" s="242">
        <f>ROUND('EOR Cycle 2'!I8/'tariff tables'!G5,5)</f>
        <v>1.4999999999999999E-4</v>
      </c>
      <c r="V21" s="189">
        <f>ROUND('OAR Cycle 2'!I8/'tariff tables'!G5,5)</f>
        <v>0</v>
      </c>
      <c r="W21" s="288"/>
      <c r="X21" s="242">
        <f>ROUND('PCR Cycle 3'!K5/'tariff tables'!G5,5)</f>
        <v>1.8000000000000001E-4</v>
      </c>
      <c r="Y21" s="189">
        <f>ROUND('TDR Cycle 3'!K5/'tariff tables'!G5,5)</f>
        <v>-2.3000000000000001E-4</v>
      </c>
      <c r="Z21" s="189">
        <f>ROUND('EOR Cycle 3'!I5/'tariff tables'!G5,5)</f>
        <v>-1.0000000000000001E-5</v>
      </c>
      <c r="AA21" s="189">
        <f>ROUND(0/'tariff tables'!G5,5)</f>
        <v>0</v>
      </c>
    </row>
    <row r="22" spans="2:27" s="46" customFormat="1" ht="15.75" thickBot="1" x14ac:dyDescent="0.3">
      <c r="B22" s="90" t="s">
        <v>108</v>
      </c>
      <c r="C22" s="129">
        <f>'PCR Cycle 3'!K6+'PCR Cycle 2'!J9</f>
        <v>523601.83000000025</v>
      </c>
      <c r="D22" s="129">
        <f>'TDR Cycle 3'!K6+'TDR Cycle 2'!K9</f>
        <v>45485.052960000001</v>
      </c>
      <c r="E22" s="129">
        <f>+'EOR Cycle 2'!I9+'EOR Cycle 3'!I6</f>
        <v>203376.69172000003</v>
      </c>
      <c r="F22" s="128">
        <f>+'OAR Cycle 2'!I9</f>
        <v>0</v>
      </c>
      <c r="G22" s="126"/>
      <c r="O22" s="182">
        <v>0</v>
      </c>
      <c r="P22" s="182">
        <v>0</v>
      </c>
      <c r="Q22" s="242">
        <v>0</v>
      </c>
      <c r="R22" s="241"/>
      <c r="S22" s="242">
        <f>ROUND(+'PCR Cycle 2'!J9/'tariff tables'!G6,5)</f>
        <v>-6.0000000000000002E-5</v>
      </c>
      <c r="T22" s="242">
        <f>ROUND(+'TDR Cycle 2'!K9/'tariff tables'!G6,5)</f>
        <v>1.2999999999999999E-4</v>
      </c>
      <c r="U22" s="242">
        <f>ROUND('EOR Cycle 2'!I9/'tariff tables'!G6,5)</f>
        <v>1.9000000000000001E-4</v>
      </c>
      <c r="V22" s="189">
        <f>ROUND('OAR Cycle 2'!I9/'tariff tables'!G6,5)</f>
        <v>0</v>
      </c>
      <c r="W22" s="288"/>
      <c r="X22" s="242">
        <f>ROUND('PCR Cycle 3'!K6/'tariff tables'!G6,5)</f>
        <v>5.2999999999999998E-4</v>
      </c>
      <c r="Y22" s="189">
        <f>ROUND('TDR Cycle 3'!K6/'tariff tables'!G6,5)</f>
        <v>-9.0000000000000006E-5</v>
      </c>
      <c r="Z22" s="189">
        <f>ROUND('EOR Cycle 3'!I6/'tariff tables'!G6,5)</f>
        <v>0</v>
      </c>
      <c r="AA22" s="189">
        <f>ROUND(0/'tariff tables'!G6,5)</f>
        <v>0</v>
      </c>
    </row>
    <row r="23" spans="2:27" s="46" customFormat="1" ht="15.75" thickBot="1" x14ac:dyDescent="0.3">
      <c r="B23" s="90" t="s">
        <v>109</v>
      </c>
      <c r="C23" s="129">
        <f>'PCR Cycle 3'!K7+'PCR Cycle 2'!J10</f>
        <v>-419552.84999999969</v>
      </c>
      <c r="D23" s="129">
        <f>'TDR Cycle 3'!K7+'TDR Cycle 2'!K10</f>
        <v>-8535.7893999999942</v>
      </c>
      <c r="E23" s="129">
        <f>+'EOR Cycle 2'!I10+'EOR Cycle 3'!I7</f>
        <v>67130.775900000008</v>
      </c>
      <c r="F23" s="128">
        <f>+'OAR Cycle 2'!I10</f>
        <v>0</v>
      </c>
      <c r="G23" s="126"/>
      <c r="O23" s="182">
        <v>0</v>
      </c>
      <c r="P23" s="182">
        <v>0</v>
      </c>
      <c r="Q23" s="242">
        <v>0</v>
      </c>
      <c r="R23" s="241"/>
      <c r="S23" s="242">
        <f>ROUND(+'PCR Cycle 2'!J10/'tariff tables'!G7,5)</f>
        <v>-3.0000000000000001E-5</v>
      </c>
      <c r="T23" s="242">
        <f>ROUND(+'TDR Cycle 2'!K10/'tariff tables'!G7,5)</f>
        <v>6.0000000000000002E-5</v>
      </c>
      <c r="U23" s="242">
        <f>ROUND('EOR Cycle 2'!I10/'tariff tables'!G7,5)</f>
        <v>9.0000000000000006E-5</v>
      </c>
      <c r="V23" s="189">
        <f>ROUND('OAR Cycle 2'!I10/'tariff tables'!G7,5)</f>
        <v>0</v>
      </c>
      <c r="W23" s="288"/>
      <c r="X23" s="242">
        <f>ROUND('PCR Cycle 3'!K7/'tariff tables'!G7,5)</f>
        <v>-4.8999999999999998E-4</v>
      </c>
      <c r="Y23" s="189">
        <f>ROUND('TDR Cycle 3'!K7/'tariff tables'!G7,5)</f>
        <v>-6.9999999999999994E-5</v>
      </c>
      <c r="Z23" s="189">
        <f>ROUND('EOR Cycle 3'!I7/'tariff tables'!G7,5)</f>
        <v>0</v>
      </c>
      <c r="AA23" s="189">
        <f>ROUND(0/'tariff tables'!G7,5)</f>
        <v>0</v>
      </c>
    </row>
    <row r="24" spans="2:27" x14ac:dyDescent="0.25">
      <c r="O24" s="46"/>
      <c r="P24" s="46"/>
      <c r="R24" s="46"/>
      <c r="S24" s="288"/>
      <c r="T24" s="288"/>
      <c r="U24" s="288"/>
      <c r="V24" s="288"/>
      <c r="W24" s="288"/>
      <c r="X24" s="288"/>
      <c r="Y24" s="288"/>
      <c r="Z24" s="288"/>
    </row>
    <row r="25" spans="2:27" x14ac:dyDescent="0.25">
      <c r="B25" s="93" t="s">
        <v>39</v>
      </c>
      <c r="R25" t="s">
        <v>151</v>
      </c>
      <c r="S25" s="289">
        <f t="shared" ref="S25:U28" si="2">+J4-O12-O20-S12-S20-X12-X20</f>
        <v>0</v>
      </c>
      <c r="T25" s="289">
        <f t="shared" si="2"/>
        <v>0</v>
      </c>
      <c r="U25" s="289">
        <f t="shared" si="2"/>
        <v>5.7598240413292423E-20</v>
      </c>
      <c r="V25" s="288"/>
      <c r="W25" s="288"/>
      <c r="X25" s="288"/>
      <c r="Y25" s="288"/>
      <c r="Z25" s="288"/>
    </row>
    <row r="26" spans="2:27" x14ac:dyDescent="0.25">
      <c r="B26" s="94" t="s">
        <v>40</v>
      </c>
      <c r="R26" t="s">
        <v>152</v>
      </c>
      <c r="S26" s="289">
        <f t="shared" si="2"/>
        <v>0</v>
      </c>
      <c r="T26" s="289">
        <f t="shared" si="2"/>
        <v>0</v>
      </c>
      <c r="U26" s="289">
        <f t="shared" si="2"/>
        <v>2.8799120206646212E-20</v>
      </c>
      <c r="V26" s="288"/>
      <c r="W26" s="288"/>
      <c r="X26" s="288"/>
      <c r="Y26" s="288"/>
      <c r="Z26" s="288"/>
    </row>
    <row r="27" spans="2:27" x14ac:dyDescent="0.25">
      <c r="B27" s="94" t="s">
        <v>43</v>
      </c>
      <c r="R27" t="s">
        <v>153</v>
      </c>
      <c r="S27" s="155">
        <f t="shared" si="2"/>
        <v>0</v>
      </c>
      <c r="T27" s="155">
        <f t="shared" si="2"/>
        <v>0</v>
      </c>
      <c r="U27" s="155">
        <f t="shared" si="2"/>
        <v>0</v>
      </c>
    </row>
    <row r="28" spans="2:27" x14ac:dyDescent="0.25">
      <c r="B28" s="94" t="s">
        <v>142</v>
      </c>
      <c r="R28" t="s">
        <v>154</v>
      </c>
      <c r="S28" s="155">
        <f t="shared" si="2"/>
        <v>0</v>
      </c>
      <c r="T28" s="155">
        <f t="shared" si="2"/>
        <v>0</v>
      </c>
      <c r="U28" s="155">
        <f t="shared" si="2"/>
        <v>-2.7105054312137611E-20</v>
      </c>
    </row>
    <row r="29" spans="2:27" x14ac:dyDescent="0.25">
      <c r="B29" s="94" t="s">
        <v>41</v>
      </c>
      <c r="R29" s="46"/>
      <c r="S29" s="46"/>
      <c r="T29" s="46"/>
    </row>
    <row r="30" spans="2:27" x14ac:dyDescent="0.25">
      <c r="B30" s="94" t="s">
        <v>147</v>
      </c>
      <c r="O30" s="261"/>
      <c r="P30" s="261"/>
      <c r="Q30" s="261"/>
      <c r="R30" s="150"/>
      <c r="S30" s="150"/>
      <c r="T30" s="46"/>
    </row>
    <row r="31" spans="2:27" x14ac:dyDescent="0.25">
      <c r="B31" s="94" t="s">
        <v>141</v>
      </c>
      <c r="O31" s="150"/>
      <c r="P31" s="150"/>
      <c r="Q31" s="262"/>
      <c r="R31" s="150"/>
      <c r="S31" s="150"/>
      <c r="T31" s="46"/>
    </row>
    <row r="32" spans="2:27" x14ac:dyDescent="0.25">
      <c r="B32" s="94" t="s">
        <v>48</v>
      </c>
      <c r="O32" s="263"/>
      <c r="P32" s="150"/>
      <c r="Q32" s="262"/>
      <c r="R32" s="150"/>
      <c r="S32" s="150"/>
      <c r="T32" s="46"/>
    </row>
    <row r="33" spans="2:20" x14ac:dyDescent="0.25">
      <c r="B33" s="94" t="s">
        <v>146</v>
      </c>
      <c r="O33" s="264"/>
      <c r="P33" s="265"/>
      <c r="Q33" s="262"/>
      <c r="R33" s="262"/>
      <c r="S33" s="150"/>
      <c r="T33" s="46"/>
    </row>
    <row r="34" spans="2:20" x14ac:dyDescent="0.25">
      <c r="B34" s="94" t="s">
        <v>143</v>
      </c>
      <c r="O34" s="264"/>
      <c r="P34" s="265"/>
      <c r="Q34" s="262"/>
      <c r="R34" s="262"/>
      <c r="S34" s="150"/>
      <c r="T34" s="46"/>
    </row>
    <row r="35" spans="2:20" x14ac:dyDescent="0.25">
      <c r="B35" s="94" t="s">
        <v>144</v>
      </c>
      <c r="O35" s="264"/>
      <c r="P35" s="265"/>
      <c r="Q35" s="262"/>
      <c r="R35" s="262"/>
      <c r="S35" s="150"/>
      <c r="T35" s="46"/>
    </row>
    <row r="36" spans="2:20" x14ac:dyDescent="0.25">
      <c r="B36" s="94" t="s">
        <v>148</v>
      </c>
      <c r="O36" s="264"/>
      <c r="P36" s="265"/>
      <c r="Q36" s="262"/>
      <c r="R36" s="262"/>
      <c r="S36" s="150"/>
      <c r="T36" s="46"/>
    </row>
    <row r="37" spans="2:20" x14ac:dyDescent="0.25">
      <c r="B37" s="94" t="s">
        <v>42</v>
      </c>
      <c r="O37" s="264"/>
      <c r="P37" s="265"/>
      <c r="Q37" s="262"/>
      <c r="R37" s="262"/>
      <c r="S37" s="150"/>
      <c r="T37" s="46"/>
    </row>
    <row r="38" spans="2:20" x14ac:dyDescent="0.25">
      <c r="B38" s="94" t="s">
        <v>145</v>
      </c>
      <c r="O38" s="264"/>
      <c r="P38" s="265"/>
      <c r="Q38" s="262"/>
      <c r="R38" s="262"/>
      <c r="S38" s="150"/>
      <c r="T38" s="46"/>
    </row>
    <row r="39" spans="2:20" x14ac:dyDescent="0.25">
      <c r="B39" s="94" t="s">
        <v>149</v>
      </c>
      <c r="O39" s="266"/>
      <c r="P39" s="265"/>
      <c r="Q39" s="262"/>
      <c r="R39" s="262"/>
      <c r="S39" s="150"/>
      <c r="T39" s="46"/>
    </row>
    <row r="40" spans="2:20" x14ac:dyDescent="0.25">
      <c r="B40" s="94" t="s">
        <v>150</v>
      </c>
      <c r="O40" s="150"/>
      <c r="P40" s="267"/>
      <c r="Q40" s="262"/>
      <c r="R40" s="262"/>
      <c r="S40" s="150"/>
      <c r="T40" s="46"/>
    </row>
    <row r="41" spans="2:20" x14ac:dyDescent="0.25">
      <c r="O41" s="263"/>
      <c r="P41" s="150"/>
      <c r="Q41" s="262"/>
      <c r="R41" s="262"/>
      <c r="S41" s="150"/>
      <c r="T41" s="46"/>
    </row>
    <row r="42" spans="2:20" x14ac:dyDescent="0.25">
      <c r="O42" s="264"/>
      <c r="P42" s="265"/>
      <c r="Q42" s="262"/>
      <c r="R42" s="262"/>
      <c r="S42" s="150"/>
      <c r="T42" s="46"/>
    </row>
    <row r="43" spans="2:20" x14ac:dyDescent="0.25">
      <c r="O43" s="264"/>
      <c r="P43" s="265"/>
      <c r="Q43" s="262"/>
      <c r="R43" s="262"/>
      <c r="S43" s="150"/>
      <c r="T43" s="46"/>
    </row>
    <row r="44" spans="2:20" x14ac:dyDescent="0.25">
      <c r="O44" s="264"/>
      <c r="P44" s="265"/>
      <c r="Q44" s="262"/>
      <c r="R44" s="262"/>
      <c r="S44" s="150"/>
      <c r="T44" s="46"/>
    </row>
    <row r="45" spans="2:20" x14ac:dyDescent="0.25">
      <c r="O45" s="264"/>
      <c r="P45" s="265"/>
      <c r="Q45" s="262"/>
      <c r="R45" s="262"/>
      <c r="S45" s="150"/>
      <c r="T45" s="46"/>
    </row>
    <row r="46" spans="2:20" x14ac:dyDescent="0.25">
      <c r="O46" s="264"/>
      <c r="P46" s="265"/>
      <c r="Q46" s="262"/>
      <c r="R46" s="262"/>
      <c r="S46" s="150"/>
      <c r="T46" s="46"/>
    </row>
    <row r="47" spans="2:20" x14ac:dyDescent="0.25">
      <c r="O47" s="264"/>
      <c r="P47" s="265"/>
      <c r="Q47" s="262"/>
      <c r="R47" s="262"/>
      <c r="S47" s="150"/>
      <c r="T47" s="46"/>
    </row>
    <row r="48" spans="2:20" x14ac:dyDescent="0.25">
      <c r="O48" s="266"/>
      <c r="P48" s="265"/>
      <c r="Q48" s="262"/>
      <c r="R48" s="262"/>
      <c r="S48" s="150"/>
    </row>
    <row r="49" spans="15:19" x14ac:dyDescent="0.25">
      <c r="O49" s="150"/>
      <c r="P49" s="267"/>
      <c r="Q49" s="262"/>
      <c r="R49" s="262"/>
      <c r="S49" s="150"/>
    </row>
    <row r="50" spans="15:19" x14ac:dyDescent="0.25">
      <c r="O50" s="150"/>
      <c r="P50" s="150"/>
      <c r="Q50" s="262"/>
      <c r="R50" s="262"/>
      <c r="S50" s="150"/>
    </row>
  </sheetData>
  <pageMargins left="0.2" right="0.2" top="0.75" bottom="0.25" header="0.3" footer="0.3"/>
  <pageSetup scale="43" orientation="landscape" r:id="rId1"/>
  <headerFooter>
    <oddHeader>&amp;C&amp;F &amp;A&amp;R&amp;"Arial"&amp;10&amp;K000000CONFIDENTIAL</oddHeader>
    <oddFooter>&amp;R&amp;1#&amp;"Calibri"&amp;10&amp;KA80000Internal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I66"/>
  <sheetViews>
    <sheetView zoomScaleNormal="100" workbookViewId="0">
      <pane xSplit="1" ySplit="2" topLeftCell="I3" activePane="bottomRight" state="frozen"/>
      <selection activeCell="K4" sqref="K4"/>
      <selection pane="topRight" activeCell="K4" sqref="K4"/>
      <selection pane="bottomLeft" activeCell="K4" sqref="K4"/>
      <selection pane="bottomRight" activeCell="P1" sqref="P1:P1048576"/>
    </sheetView>
  </sheetViews>
  <sheetFormatPr defaultColWidth="9.140625" defaultRowHeight="15" outlineLevelCol="1" x14ac:dyDescent="0.25"/>
  <cols>
    <col min="1" max="1" width="61.7109375" style="46" customWidth="1"/>
    <col min="2" max="2" width="12.140625" style="46" customWidth="1"/>
    <col min="3" max="3" width="12.42578125" style="46" customWidth="1"/>
    <col min="4" max="4" width="12.42578125" style="46" hidden="1" customWidth="1" outlineLevel="1"/>
    <col min="5" max="5" width="15.42578125" style="46" customWidth="1" collapsed="1"/>
    <col min="6" max="6" width="15.85546875" style="46" customWidth="1"/>
    <col min="7" max="7" width="12.28515625" style="46" customWidth="1"/>
    <col min="8" max="9" width="13.28515625" style="46" customWidth="1"/>
    <col min="10" max="10" width="12.28515625" style="46" bestFit="1" customWidth="1"/>
    <col min="11" max="11" width="11.5703125" style="46" bestFit="1" customWidth="1"/>
    <col min="12" max="12" width="12.85546875" style="46" customWidth="1"/>
    <col min="13" max="13" width="12.28515625" style="46" bestFit="1" customWidth="1"/>
    <col min="14" max="14" width="15" style="46" bestFit="1" customWidth="1"/>
    <col min="15" max="15" width="16" style="46" bestFit="1" customWidth="1"/>
    <col min="16" max="16" width="15.28515625" style="46" bestFit="1" customWidth="1"/>
    <col min="17" max="17" width="17.42578125" style="46" bestFit="1" customWidth="1"/>
    <col min="18" max="18" width="16.28515625" style="46" bestFit="1" customWidth="1"/>
    <col min="19" max="19" width="15.28515625" style="46" bestFit="1" customWidth="1"/>
    <col min="20" max="20" width="12.42578125" style="46" customWidth="1"/>
    <col min="21" max="22" width="14.28515625" style="46" bestFit="1" customWidth="1"/>
    <col min="23" max="16384" width="9.140625" style="46"/>
  </cols>
  <sheetData>
    <row r="1" spans="1:35" x14ac:dyDescent="0.25">
      <c r="A1" s="3" t="str">
        <f>+'PPC Cycle 3'!A1</f>
        <v>Evergy Missouri West, Inc. - DSIM Rider Update Filed 06/01/2022</v>
      </c>
      <c r="B1" s="3"/>
      <c r="C1" s="3"/>
      <c r="D1" s="3"/>
    </row>
    <row r="2" spans="1:35" x14ac:dyDescent="0.25">
      <c r="E2" s="3" t="s">
        <v>139</v>
      </c>
    </row>
    <row r="3" spans="1:35" ht="30" x14ac:dyDescent="0.25">
      <c r="E3" s="48" t="s">
        <v>46</v>
      </c>
      <c r="F3" s="70" t="s">
        <v>71</v>
      </c>
      <c r="G3" s="70" t="s">
        <v>54</v>
      </c>
      <c r="H3" s="48" t="s">
        <v>3</v>
      </c>
      <c r="I3" s="70" t="s">
        <v>55</v>
      </c>
      <c r="J3" s="48" t="s">
        <v>10</v>
      </c>
      <c r="K3" s="48" t="s">
        <v>9</v>
      </c>
      <c r="S3" s="48"/>
    </row>
    <row r="4" spans="1:35" x14ac:dyDescent="0.25">
      <c r="A4" s="20" t="s">
        <v>24</v>
      </c>
      <c r="B4" s="20"/>
      <c r="C4" s="20"/>
      <c r="D4" s="20"/>
      <c r="E4" s="22">
        <f>SUM(C15:M15)</f>
        <v>2742192.6592299994</v>
      </c>
      <c r="F4" s="137">
        <f>N21</f>
        <v>48123160.050030246</v>
      </c>
      <c r="G4" s="22">
        <f>SUM(C27:L27)</f>
        <v>1947081.4300000002</v>
      </c>
      <c r="H4" s="22">
        <f>G4-E4</f>
        <v>-795111.22922999924</v>
      </c>
      <c r="I4" s="22">
        <f>+B41</f>
        <v>-421307.16081999993</v>
      </c>
      <c r="J4" s="22">
        <f>SUM(C48:L48)</f>
        <v>-3324.85</v>
      </c>
      <c r="K4" s="25">
        <f>SUM(H4:J4)</f>
        <v>-1219743.2400499992</v>
      </c>
      <c r="L4" s="47">
        <f>+K4-M41</f>
        <v>0</v>
      </c>
    </row>
    <row r="5" spans="1:35" x14ac:dyDescent="0.25">
      <c r="A5" s="20" t="s">
        <v>107</v>
      </c>
      <c r="B5" s="20"/>
      <c r="C5" s="20"/>
      <c r="D5" s="20"/>
      <c r="E5" s="22">
        <f>SUM(C16:M16)</f>
        <v>367674.99369999999</v>
      </c>
      <c r="F5" s="137">
        <f>N22</f>
        <v>7124175.8410045691</v>
      </c>
      <c r="G5" s="22">
        <f>SUM(C28:L28)</f>
        <v>331041.98</v>
      </c>
      <c r="H5" s="22">
        <f t="shared" ref="H5:H6" si="0">G5-E5</f>
        <v>-36633.01370000001</v>
      </c>
      <c r="I5" s="22">
        <f>+B42</f>
        <v>-228488.18885999994</v>
      </c>
      <c r="J5" s="22">
        <f>SUM(C49:L49)</f>
        <v>-1842.1200000000001</v>
      </c>
      <c r="K5" s="25">
        <f t="shared" ref="K5:K6" si="1">SUM(H5:J5)</f>
        <v>-266963.32255999994</v>
      </c>
      <c r="L5" s="47">
        <f t="shared" ref="L5:L6" si="2">+K5-M42</f>
        <v>0</v>
      </c>
    </row>
    <row r="6" spans="1:35" x14ac:dyDescent="0.25">
      <c r="A6" s="20" t="s">
        <v>108</v>
      </c>
      <c r="B6" s="20"/>
      <c r="C6" s="20"/>
      <c r="D6" s="20"/>
      <c r="E6" s="22">
        <f>SUM(C17:M17)</f>
        <v>361148.13523000001</v>
      </c>
      <c r="F6" s="137">
        <f>N23</f>
        <v>12765338.248370601</v>
      </c>
      <c r="G6" s="22">
        <f>SUM(C29:L29)</f>
        <v>357736.5</v>
      </c>
      <c r="H6" s="22">
        <f t="shared" si="0"/>
        <v>-3411.6352300000144</v>
      </c>
      <c r="I6" s="22">
        <f>+B43</f>
        <v>-94267.821809999979</v>
      </c>
      <c r="J6" s="22">
        <f>SUM(C50:L50)</f>
        <v>-387.41999999999996</v>
      </c>
      <c r="K6" s="25">
        <f t="shared" si="1"/>
        <v>-98066.877039999992</v>
      </c>
      <c r="L6" s="47">
        <f t="shared" si="2"/>
        <v>0</v>
      </c>
    </row>
    <row r="7" spans="1:35" ht="15.75" thickBot="1" x14ac:dyDescent="0.3">
      <c r="A7" s="20" t="s">
        <v>109</v>
      </c>
      <c r="B7" s="20"/>
      <c r="C7" s="20"/>
      <c r="D7" s="20"/>
      <c r="E7" s="22">
        <f>SUM(C18:M18)</f>
        <v>72080.274669999999</v>
      </c>
      <c r="F7" s="137">
        <f>N24</f>
        <v>6315569.6397953965</v>
      </c>
      <c r="G7" s="22">
        <f>SUM(C30:L30)</f>
        <v>78282.899999999994</v>
      </c>
      <c r="H7" s="22">
        <f>G7-E7</f>
        <v>6202.6253299999953</v>
      </c>
      <c r="I7" s="22">
        <f>+B44</f>
        <v>-62846.624729999996</v>
      </c>
      <c r="J7" s="22">
        <f>SUM(C51:L51)</f>
        <v>-404.34000000000003</v>
      </c>
      <c r="K7" s="25">
        <f>SUM(H7:J7)</f>
        <v>-57048.339399999997</v>
      </c>
      <c r="L7" s="47">
        <f>+K7-M44</f>
        <v>0</v>
      </c>
    </row>
    <row r="8" spans="1:35" ht="16.5" thickTop="1" thickBot="1" x14ac:dyDescent="0.3">
      <c r="E8" s="27">
        <f t="shared" ref="E8:K8" si="3">SUM(E4:E7)</f>
        <v>3543096.0628299997</v>
      </c>
      <c r="F8" s="138">
        <f t="shared" si="3"/>
        <v>74328243.779200807</v>
      </c>
      <c r="G8" s="27">
        <f t="shared" si="3"/>
        <v>2714142.81</v>
      </c>
      <c r="H8" s="27">
        <f t="shared" si="3"/>
        <v>-828953.25282999931</v>
      </c>
      <c r="I8" s="27">
        <f t="shared" si="3"/>
        <v>-806909.7962199999</v>
      </c>
      <c r="J8" s="27">
        <f t="shared" si="3"/>
        <v>-5958.7300000000005</v>
      </c>
      <c r="K8" s="27">
        <f t="shared" si="3"/>
        <v>-1641821.7790499991</v>
      </c>
      <c r="T8" s="5"/>
    </row>
    <row r="9" spans="1:35" ht="16.5" thickTop="1" thickBot="1" x14ac:dyDescent="0.3">
      <c r="V9" s="4"/>
      <c r="W9" s="5"/>
    </row>
    <row r="10" spans="1:35" ht="120.75" thickBot="1" x14ac:dyDescent="0.3">
      <c r="B10" s="118" t="str">
        <f>+'PCR Cycle 2'!B13</f>
        <v>Cumulative Over/Under Carryover From 12/01/2021 Filing</v>
      </c>
      <c r="C10" s="152" t="str">
        <f>+'PCR Cycle 2'!C13</f>
        <v>Reverse November 2021 - April 2022  Forecast From 12/01/2021 Filing</v>
      </c>
      <c r="D10" s="212"/>
      <c r="E10" s="322" t="s">
        <v>33</v>
      </c>
      <c r="F10" s="311"/>
      <c r="G10" s="312"/>
      <c r="H10" s="319" t="s">
        <v>33</v>
      </c>
      <c r="I10" s="320"/>
      <c r="J10" s="321"/>
      <c r="K10" s="307" t="s">
        <v>8</v>
      </c>
      <c r="L10" s="308"/>
      <c r="M10" s="309"/>
    </row>
    <row r="11" spans="1:35" x14ac:dyDescent="0.25">
      <c r="A11" s="46" t="s">
        <v>63</v>
      </c>
      <c r="C11" s="105"/>
      <c r="D11" s="213"/>
      <c r="E11" s="19">
        <f>+'PCR Cycle 2'!D14</f>
        <v>44530</v>
      </c>
      <c r="F11" s="19">
        <f t="shared" ref="F11:M11" si="4">EOMONTH(E11,1)</f>
        <v>44561</v>
      </c>
      <c r="G11" s="19">
        <f t="shared" si="4"/>
        <v>44592</v>
      </c>
      <c r="H11" s="14">
        <f t="shared" si="4"/>
        <v>44620</v>
      </c>
      <c r="I11" s="19">
        <f t="shared" si="4"/>
        <v>44651</v>
      </c>
      <c r="J11" s="15">
        <f t="shared" si="4"/>
        <v>44681</v>
      </c>
      <c r="K11" s="19">
        <f t="shared" si="4"/>
        <v>44712</v>
      </c>
      <c r="L11" s="19">
        <f t="shared" si="4"/>
        <v>44742</v>
      </c>
      <c r="M11" s="15">
        <f t="shared" si="4"/>
        <v>44773</v>
      </c>
      <c r="Z11" s="1"/>
      <c r="AA11" s="1"/>
      <c r="AB11" s="1"/>
      <c r="AC11" s="1"/>
      <c r="AD11" s="1"/>
      <c r="AE11" s="1"/>
      <c r="AF11" s="1"/>
      <c r="AG11" s="1"/>
      <c r="AH11" s="1"/>
      <c r="AI11" s="1"/>
    </row>
    <row r="12" spans="1:35" x14ac:dyDescent="0.25">
      <c r="A12" s="46" t="s">
        <v>5</v>
      </c>
      <c r="C12" s="193">
        <v>-820699.64999999991</v>
      </c>
      <c r="D12" s="196"/>
      <c r="E12" s="109">
        <f t="shared" ref="E12:L12" si="5">SUM(E27:E30)</f>
        <v>399371.06</v>
      </c>
      <c r="F12" s="109">
        <f t="shared" si="5"/>
        <v>446157.79000000004</v>
      </c>
      <c r="G12" s="110">
        <f t="shared" si="5"/>
        <v>372009.93</v>
      </c>
      <c r="H12" s="16">
        <f t="shared" si="5"/>
        <v>378398.01999999996</v>
      </c>
      <c r="I12" s="55">
        <f t="shared" si="5"/>
        <v>403291.7</v>
      </c>
      <c r="J12" s="165">
        <f t="shared" si="5"/>
        <v>394501.77</v>
      </c>
      <c r="K12" s="158">
        <f t="shared" si="5"/>
        <v>445200.94999999995</v>
      </c>
      <c r="L12" s="78">
        <f t="shared" si="5"/>
        <v>695911.23999999987</v>
      </c>
      <c r="M12" s="79"/>
    </row>
    <row r="13" spans="1:35" x14ac:dyDescent="0.25">
      <c r="C13" s="99"/>
      <c r="D13" s="197"/>
      <c r="E13" s="17"/>
      <c r="F13" s="17"/>
      <c r="G13" s="17"/>
      <c r="H13" s="10"/>
      <c r="I13" s="17"/>
      <c r="J13" s="11"/>
      <c r="K13" s="31"/>
      <c r="L13" s="31"/>
      <c r="M13" s="29"/>
    </row>
    <row r="14" spans="1:35" x14ac:dyDescent="0.25">
      <c r="A14" s="46" t="s">
        <v>62</v>
      </c>
      <c r="C14" s="99"/>
      <c r="D14" s="197"/>
      <c r="E14" s="18"/>
      <c r="F14" s="18"/>
      <c r="G14" s="18"/>
      <c r="H14" s="91"/>
      <c r="I14" s="18"/>
      <c r="J14" s="166"/>
      <c r="K14" s="31"/>
      <c r="L14" s="31"/>
      <c r="M14" s="29"/>
      <c r="N14" s="3" t="s">
        <v>68</v>
      </c>
      <c r="O14" s="39"/>
    </row>
    <row r="15" spans="1:35" x14ac:dyDescent="0.25">
      <c r="A15" s="46" t="s">
        <v>24</v>
      </c>
      <c r="C15" s="193">
        <v>-1190101.7008199999</v>
      </c>
      <c r="D15" s="196">
        <v>0</v>
      </c>
      <c r="E15" s="135">
        <f>ROUND('[6]Nov 2021'!$F82,2)</f>
        <v>275715.8</v>
      </c>
      <c r="F15" s="135">
        <f>ROUND('[6]Dec 2021'!$F82,2)</f>
        <v>343115.26</v>
      </c>
      <c r="G15" s="135">
        <f>ROUND('[6]Jan 2022'!$F82,2)</f>
        <v>465896.12</v>
      </c>
      <c r="H15" s="16">
        <f>ROUND('[6]Feb 2022'!$F82,2)</f>
        <v>542474.43999999994</v>
      </c>
      <c r="I15" s="121">
        <f>ROUND('[6]Mar 2022'!$F82,2)</f>
        <v>486501.56</v>
      </c>
      <c r="J15" s="170">
        <f>ROUND('[6]Apr 2022'!$F82,2)</f>
        <v>381241.66</v>
      </c>
      <c r="K15" s="123">
        <f>'PCR Cycle 2'!J26*'TDR Cycle 3'!$N15</f>
        <v>346269.92715</v>
      </c>
      <c r="L15" s="41">
        <f>'PCR Cycle 2'!K26*'TDR Cycle 3'!$N15</f>
        <v>480059.79069999995</v>
      </c>
      <c r="M15" s="61">
        <f>'PCR Cycle 2'!L26*'TDR Cycle 3'!$N15</f>
        <v>611019.80220000003</v>
      </c>
      <c r="N15" s="72">
        <v>1.5499999999999999E-3</v>
      </c>
      <c r="O15" s="4"/>
    </row>
    <row r="16" spans="1:35" x14ac:dyDescent="0.25">
      <c r="A16" s="46" t="s">
        <v>107</v>
      </c>
      <c r="C16" s="193">
        <v>-136298.30885999999</v>
      </c>
      <c r="D16" s="196">
        <v>0</v>
      </c>
      <c r="E16" s="135">
        <f>ROUND('[6]Nov 2021'!$F83,2)</f>
        <v>42625.46</v>
      </c>
      <c r="F16" s="135">
        <f>ROUND('[6]Dec 2021'!$F83,2)</f>
        <v>45968.89</v>
      </c>
      <c r="G16" s="135">
        <f>ROUND('[6]Jan 2022'!$F83,2)</f>
        <v>53577.760000000002</v>
      </c>
      <c r="H16" s="16">
        <f>ROUND('[6]Feb 2022'!$F83,2)</f>
        <v>65688.28</v>
      </c>
      <c r="I16" s="121">
        <f>ROUND('[6]Mar 2022'!$F83,2)</f>
        <v>65046.57</v>
      </c>
      <c r="J16" s="170">
        <f>ROUND('[6]Apr 2022'!$F83,2)</f>
        <v>57734.5</v>
      </c>
      <c r="K16" s="123">
        <f>'PCR Cycle 2'!J27*'TDR Cycle 3'!$N16</f>
        <v>55682.658179999999</v>
      </c>
      <c r="L16" s="41">
        <f>'PCR Cycle 2'!K27*'TDR Cycle 3'!$N16</f>
        <v>57181.886380000004</v>
      </c>
      <c r="M16" s="61">
        <f>'PCR Cycle 2'!L27*'TDR Cycle 3'!$N16</f>
        <v>60467.298000000003</v>
      </c>
      <c r="N16" s="72">
        <v>6.2E-4</v>
      </c>
      <c r="O16" s="4"/>
    </row>
    <row r="17" spans="1:15" x14ac:dyDescent="0.25">
      <c r="A17" s="46" t="s">
        <v>108</v>
      </c>
      <c r="C17" s="193">
        <v>-119119.96180999999</v>
      </c>
      <c r="D17" s="196">
        <v>0</v>
      </c>
      <c r="E17" s="135">
        <f>ROUND('[6]Nov 2021'!$F84,2)</f>
        <v>37548.879999999997</v>
      </c>
      <c r="F17" s="135">
        <f>ROUND('[6]Dec 2021'!$F84,2)</f>
        <v>37671.79</v>
      </c>
      <c r="G17" s="135">
        <f>ROUND('[6]Jan 2022'!$F84,2)</f>
        <v>41592.33</v>
      </c>
      <c r="H17" s="16">
        <f>ROUND('[6]Feb 2022'!$F84,2)</f>
        <v>61644.47</v>
      </c>
      <c r="I17" s="121">
        <f>ROUND('[6]Mar 2022'!$F84,2)</f>
        <v>61092.1</v>
      </c>
      <c r="J17" s="170">
        <f>ROUND('[6]Apr 2022'!$F84,2)</f>
        <v>58257.95</v>
      </c>
      <c r="K17" s="123">
        <f>'PCR Cycle 2'!J28*'TDR Cycle 3'!$N17</f>
        <v>58615.254040000007</v>
      </c>
      <c r="L17" s="41">
        <f>'PCR Cycle 2'!K28*'TDR Cycle 3'!$N17</f>
        <v>60193.440200000005</v>
      </c>
      <c r="M17" s="61">
        <f>'PCR Cycle 2'!L28*'TDR Cycle 3'!$N17</f>
        <v>63651.882800000007</v>
      </c>
      <c r="N17" s="72">
        <v>6.8000000000000005E-4</v>
      </c>
      <c r="O17" s="4"/>
    </row>
    <row r="18" spans="1:15" x14ac:dyDescent="0.25">
      <c r="A18" s="46" t="s">
        <v>109</v>
      </c>
      <c r="C18" s="193">
        <v>-37138.514730000003</v>
      </c>
      <c r="D18" s="196">
        <v>0</v>
      </c>
      <c r="E18" s="135">
        <f>ROUND('[6]Nov 2021'!$F85,2)</f>
        <v>11602.04</v>
      </c>
      <c r="F18" s="135">
        <f>ROUND('[6]Dec 2021'!$F85,2)</f>
        <v>11331.71</v>
      </c>
      <c r="G18" s="135">
        <f>ROUND('[6]Jan 2022'!$F85,2)</f>
        <v>11347.61</v>
      </c>
      <c r="H18" s="16">
        <f>ROUND('[6]Feb 2022'!$F85,2)</f>
        <v>11792.08</v>
      </c>
      <c r="I18" s="121">
        <f>ROUND('[6]Mar 2022'!$F85,2)</f>
        <v>11734.65</v>
      </c>
      <c r="J18" s="170">
        <f>ROUND('[6]Apr 2022'!$F85,2)</f>
        <v>11920.61</v>
      </c>
      <c r="K18" s="123">
        <f>'PCR Cycle 2'!J29*'TDR Cycle 3'!$N18</f>
        <v>12686.146599999998</v>
      </c>
      <c r="L18" s="41">
        <f>'PCR Cycle 2'!K29*'TDR Cycle 3'!$N18</f>
        <v>13027.714599999999</v>
      </c>
      <c r="M18" s="61">
        <f>'PCR Cycle 2'!L29*'TDR Cycle 3'!$N18</f>
        <v>13776.2282</v>
      </c>
      <c r="N18" s="72">
        <v>1.9999999999999998E-4</v>
      </c>
      <c r="O18" s="4"/>
    </row>
    <row r="19" spans="1:15" x14ac:dyDescent="0.25">
      <c r="C19" s="67"/>
      <c r="D19" s="198"/>
      <c r="E19" s="68"/>
      <c r="F19" s="68"/>
      <c r="G19" s="68"/>
      <c r="H19" s="67"/>
      <c r="I19" s="68"/>
      <c r="J19" s="168"/>
      <c r="K19" s="56"/>
      <c r="L19" s="56"/>
      <c r="M19" s="13"/>
      <c r="O19" s="4"/>
    </row>
    <row r="20" spans="1:15" x14ac:dyDescent="0.25">
      <c r="A20" s="39" t="s">
        <v>66</v>
      </c>
      <c r="B20" s="39"/>
      <c r="C20" s="67"/>
      <c r="D20" s="198"/>
      <c r="E20" s="56"/>
      <c r="F20" s="56"/>
      <c r="G20" s="56"/>
      <c r="H20" s="12"/>
      <c r="I20" s="56"/>
      <c r="J20" s="169"/>
      <c r="K20" s="56"/>
      <c r="L20" s="56"/>
      <c r="M20" s="13"/>
      <c r="N20" s="7"/>
    </row>
    <row r="21" spans="1:15" x14ac:dyDescent="0.25">
      <c r="A21" s="46" t="s">
        <v>24</v>
      </c>
      <c r="C21" s="194">
        <v>-13555876.636431914</v>
      </c>
      <c r="D21" s="199"/>
      <c r="E21" s="111">
        <f>+'[15]Monthly TD Calc'!AA460</f>
        <v>6349760.6565376166</v>
      </c>
      <c r="F21" s="111">
        <f>+'[15]Monthly TD Calc'!AB460</f>
        <v>7728990.3146427311</v>
      </c>
      <c r="G21" s="125">
        <f>+'[15]Monthly TD Calc'!AC460</f>
        <v>8135684.137450885</v>
      </c>
      <c r="H21" s="74">
        <f>+'[15]Monthly TD Calc'!AD460</f>
        <v>7951482.0062780902</v>
      </c>
      <c r="I21" s="75">
        <f>+'[15]Monthly TD Calc'!AE460</f>
        <v>7903865.3566582361</v>
      </c>
      <c r="J21" s="170">
        <f>+'[15]Monthly TD Calc'!AF460</f>
        <v>7706601.7274972564</v>
      </c>
      <c r="K21" s="159">
        <f>+'[3]Monthly TD Calc'!AG461</f>
        <v>8112578.3167905826</v>
      </c>
      <c r="L21" s="143">
        <f>+'[3]Monthly TD Calc'!AH461</f>
        <v>7790074.1706067584</v>
      </c>
      <c r="M21" s="80"/>
      <c r="N21" s="59">
        <f>SUM(C21:L21)</f>
        <v>48123160.050030246</v>
      </c>
    </row>
    <row r="22" spans="1:15" x14ac:dyDescent="0.25">
      <c r="A22" s="46" t="s">
        <v>107</v>
      </c>
      <c r="C22" s="194">
        <v>-1976117.8587498874</v>
      </c>
      <c r="D22" s="199"/>
      <c r="E22" s="111">
        <f>+'[15]Monthly TD Calc'!AA461</f>
        <v>891335.85536668333</v>
      </c>
      <c r="F22" s="111">
        <f>+'[15]Monthly TD Calc'!AB461</f>
        <v>1012244.8042890672</v>
      </c>
      <c r="G22" s="125">
        <f>+'[15]Monthly TD Calc'!AC461</f>
        <v>1168800.3049956323</v>
      </c>
      <c r="H22" s="74">
        <f>+'[15]Monthly TD Calc'!AD461</f>
        <v>1065280.7155326009</v>
      </c>
      <c r="I22" s="75">
        <f>+'[15]Monthly TD Calc'!AE461</f>
        <v>1193354.350649605</v>
      </c>
      <c r="J22" s="170">
        <f>+'[15]Monthly TD Calc'!AF461</f>
        <v>1161805.7963525148</v>
      </c>
      <c r="K22" s="159">
        <f>+'[3]Monthly TD Calc'!AG462</f>
        <v>1273127.5529263844</v>
      </c>
      <c r="L22" s="143">
        <f>+'[3]Monthly TD Calc'!AH462</f>
        <v>1334344.3196419685</v>
      </c>
      <c r="M22" s="80"/>
      <c r="N22" s="59">
        <f t="shared" ref="N22:N24" si="6">SUM(C22:L22)</f>
        <v>7124175.8410045691</v>
      </c>
    </row>
    <row r="23" spans="1:15" x14ac:dyDescent="0.25">
      <c r="A23" s="46" t="s">
        <v>108</v>
      </c>
      <c r="C23" s="194">
        <v>-3128955.393584236</v>
      </c>
      <c r="D23" s="199"/>
      <c r="E23" s="111">
        <f>+'[15]Monthly TD Calc'!AA463</f>
        <v>1456887.3974201463</v>
      </c>
      <c r="F23" s="111">
        <f>+'[15]Monthly TD Calc'!AB463</f>
        <v>1775415.8806198076</v>
      </c>
      <c r="G23" s="125">
        <f>+'[15]Monthly TD Calc'!AC463</f>
        <v>2099589.1516675865</v>
      </c>
      <c r="H23" s="74">
        <f>+'[15]Monthly TD Calc'!AD463</f>
        <v>1902248.3813698995</v>
      </c>
      <c r="I23" s="75">
        <f>+'[15]Monthly TD Calc'!AE463</f>
        <v>2128033.8603458265</v>
      </c>
      <c r="J23" s="170">
        <f>+'[15]Monthly TD Calc'!AF463</f>
        <v>2054864.0426272715</v>
      </c>
      <c r="K23" s="159">
        <f>+'[3]Monthly TD Calc'!AG464</f>
        <v>2229733.5571159394</v>
      </c>
      <c r="L23" s="143">
        <f>+'[3]Monthly TD Calc'!AH464</f>
        <v>2247521.3707883605</v>
      </c>
      <c r="M23" s="80"/>
      <c r="N23" s="59">
        <f t="shared" si="6"/>
        <v>12765338.248370601</v>
      </c>
    </row>
    <row r="24" spans="1:15" x14ac:dyDescent="0.25">
      <c r="A24" s="46" t="s">
        <v>109</v>
      </c>
      <c r="C24" s="194">
        <v>-1601060.6093736701</v>
      </c>
      <c r="D24" s="199"/>
      <c r="E24" s="111">
        <f>+'[15]Monthly TD Calc'!AA464</f>
        <v>653587.09791913873</v>
      </c>
      <c r="F24" s="111">
        <f>+'[15]Monthly TD Calc'!AB464</f>
        <v>819612.48367785662</v>
      </c>
      <c r="G24" s="125">
        <f>+'[15]Monthly TD Calc'!AC464</f>
        <v>1037124.8096077902</v>
      </c>
      <c r="H24" s="74">
        <f>+'[15]Monthly TD Calc'!AD464</f>
        <v>959766.02599300153</v>
      </c>
      <c r="I24" s="75">
        <f>+'[15]Monthly TD Calc'!AE464</f>
        <v>1085472.1999221656</v>
      </c>
      <c r="J24" s="170">
        <f>+'[15]Monthly TD Calc'!AF464</f>
        <v>1042098.8133964911</v>
      </c>
      <c r="K24" s="159">
        <f>+'[3]Monthly TD Calc'!AG465</f>
        <v>1142420.4496046198</v>
      </c>
      <c r="L24" s="143">
        <f>+'[3]Monthly TD Calc'!AH465</f>
        <v>1176548.3690480036</v>
      </c>
      <c r="M24" s="80"/>
      <c r="N24" s="59">
        <f t="shared" si="6"/>
        <v>6315569.6397953965</v>
      </c>
    </row>
    <row r="25" spans="1:15" x14ac:dyDescent="0.25">
      <c r="C25" s="67"/>
      <c r="D25" s="198"/>
      <c r="E25" s="68"/>
      <c r="F25" s="68"/>
      <c r="G25" s="68"/>
      <c r="H25" s="67"/>
      <c r="I25" s="68"/>
      <c r="J25" s="168"/>
      <c r="K25" s="56"/>
      <c r="L25" s="56"/>
      <c r="M25" s="13"/>
    </row>
    <row r="26" spans="1:15" x14ac:dyDescent="0.25">
      <c r="A26" s="46" t="s">
        <v>69</v>
      </c>
      <c r="C26" s="36"/>
      <c r="D26" s="200"/>
      <c r="E26" s="37"/>
      <c r="F26" s="37"/>
      <c r="G26" s="37"/>
      <c r="H26" s="36"/>
      <c r="I26" s="37"/>
      <c r="J26" s="171"/>
      <c r="K26" s="52"/>
      <c r="L26" s="52"/>
      <c r="M26" s="38"/>
    </row>
    <row r="27" spans="1:15" x14ac:dyDescent="0.25">
      <c r="A27" s="46" t="s">
        <v>24</v>
      </c>
      <c r="C27" s="193">
        <v>-624105.62</v>
      </c>
      <c r="D27" s="196"/>
      <c r="E27" s="109">
        <f>ROUND('[15]Monthly TD Calc'!AA562,2)</f>
        <v>307142.62</v>
      </c>
      <c r="F27" s="109">
        <f>ROUND('[15]Monthly TD Calc'!AB562,2)</f>
        <v>343653.79</v>
      </c>
      <c r="G27" s="110">
        <f>ROUND('[15]Monthly TD Calc'!AC562,2)</f>
        <v>260876.84</v>
      </c>
      <c r="H27" s="16">
        <f>ROUND('[15]Monthly TD Calc'!AD562,2)</f>
        <v>274207.95</v>
      </c>
      <c r="I27" s="55">
        <f>ROUND('[15]Monthly TD Calc'!AE562,2)</f>
        <v>285223.32</v>
      </c>
      <c r="J27" s="254">
        <f>ROUND('[15]Monthly TD Calc'!AF562,2)</f>
        <v>277131.38</v>
      </c>
      <c r="K27" s="160">
        <f>ROUND('[3]Monthly TD Calc'!AG563,2)</f>
        <v>312706.2</v>
      </c>
      <c r="L27" s="142">
        <f>ROUND('[3]Monthly TD Calc'!AH563,2)</f>
        <v>510244.95</v>
      </c>
      <c r="M27" s="79"/>
    </row>
    <row r="28" spans="1:15" x14ac:dyDescent="0.25">
      <c r="A28" s="46" t="s">
        <v>107</v>
      </c>
      <c r="C28" s="193">
        <v>-84723.59</v>
      </c>
      <c r="D28" s="196"/>
      <c r="E28" s="109">
        <f>ROUND('[15]Monthly TD Calc'!AA563,2)</f>
        <v>40438.379999999997</v>
      </c>
      <c r="F28" s="109">
        <f>ROUND('[15]Monthly TD Calc'!AB563,2)</f>
        <v>41510.519999999997</v>
      </c>
      <c r="G28" s="110">
        <f>ROUND('[15]Monthly TD Calc'!AC563,2)</f>
        <v>45825.02</v>
      </c>
      <c r="H28" s="16">
        <f>ROUND('[15]Monthly TD Calc'!AD563,2)</f>
        <v>42093.1</v>
      </c>
      <c r="I28" s="55">
        <f>ROUND('[15]Monthly TD Calc'!AE563,2)</f>
        <v>47590.36</v>
      </c>
      <c r="J28" s="254">
        <f>ROUND('[15]Monthly TD Calc'!AF563,2)</f>
        <v>50456.38</v>
      </c>
      <c r="K28" s="160">
        <f>ROUND('[3]Monthly TD Calc'!AG564,2)</f>
        <v>55849.54</v>
      </c>
      <c r="L28" s="142">
        <f>ROUND('[3]Monthly TD Calc'!AH564,2)</f>
        <v>92002.27</v>
      </c>
      <c r="M28" s="79"/>
    </row>
    <row r="29" spans="1:15" x14ac:dyDescent="0.25">
      <c r="A29" s="46" t="s">
        <v>108</v>
      </c>
      <c r="C29" s="193">
        <v>-91463.01</v>
      </c>
      <c r="D29" s="196"/>
      <c r="E29" s="109">
        <f>ROUND('[15]Monthly TD Calc'!AA565,2)</f>
        <v>43646.35</v>
      </c>
      <c r="F29" s="109">
        <f>ROUND('[15]Monthly TD Calc'!AB565,2)</f>
        <v>50444.33</v>
      </c>
      <c r="G29" s="110">
        <f>ROUND('[15]Monthly TD Calc'!AC565,2)</f>
        <v>53002.39</v>
      </c>
      <c r="H29" s="16">
        <f>ROUND('[15]Monthly TD Calc'!AD565,2)</f>
        <v>50799.79</v>
      </c>
      <c r="I29" s="55">
        <f>ROUND('[15]Monthly TD Calc'!AE565,2)</f>
        <v>57474.19</v>
      </c>
      <c r="J29" s="254">
        <f>ROUND('[15]Monthly TD Calc'!AF565,2)</f>
        <v>55048.02</v>
      </c>
      <c r="K29" s="160">
        <f>ROUND('[3]Monthly TD Calc'!AG566,2)</f>
        <v>62989.11</v>
      </c>
      <c r="L29" s="142">
        <f>ROUND('[3]Monthly TD Calc'!AH566,2)</f>
        <v>75795.33</v>
      </c>
      <c r="M29" s="79"/>
    </row>
    <row r="30" spans="1:15" x14ac:dyDescent="0.25">
      <c r="A30" s="46" t="s">
        <v>109</v>
      </c>
      <c r="C30" s="193">
        <v>-20407.43</v>
      </c>
      <c r="D30" s="196"/>
      <c r="E30" s="109">
        <f>ROUND('[15]Monthly TD Calc'!AA566,2)</f>
        <v>8143.71</v>
      </c>
      <c r="F30" s="109">
        <f>ROUND('[15]Monthly TD Calc'!AB566,2)</f>
        <v>10549.15</v>
      </c>
      <c r="G30" s="110">
        <f>ROUND('[15]Monthly TD Calc'!AC566,2)</f>
        <v>12305.68</v>
      </c>
      <c r="H30" s="16">
        <f>ROUND('[15]Monthly TD Calc'!AD566,2)</f>
        <v>11297.18</v>
      </c>
      <c r="I30" s="55">
        <f>ROUND('[15]Monthly TD Calc'!AE566,2)</f>
        <v>13003.83</v>
      </c>
      <c r="J30" s="254">
        <f>ROUND('[15]Monthly TD Calc'!AF566,2)</f>
        <v>11865.99</v>
      </c>
      <c r="K30" s="160">
        <f>ROUND('[3]Monthly TD Calc'!AG567,2)</f>
        <v>13656.1</v>
      </c>
      <c r="L30" s="142">
        <f>ROUND('[3]Monthly TD Calc'!AH567,2)</f>
        <v>17868.689999999999</v>
      </c>
      <c r="M30" s="79"/>
      <c r="O30" s="47"/>
    </row>
    <row r="31" spans="1:15" x14ac:dyDescent="0.25">
      <c r="C31" s="99"/>
      <c r="D31" s="197"/>
      <c r="E31" s="18"/>
      <c r="F31" s="18"/>
      <c r="G31" s="18"/>
      <c r="H31" s="91"/>
      <c r="I31" s="18"/>
      <c r="J31" s="166"/>
      <c r="K31" s="56"/>
      <c r="L31" s="56"/>
      <c r="M31" s="13"/>
    </row>
    <row r="32" spans="1:15" ht="15.75" thickBot="1" x14ac:dyDescent="0.3">
      <c r="A32" s="3" t="s">
        <v>15</v>
      </c>
      <c r="B32" s="3"/>
      <c r="C32" s="195">
        <v>350.75</v>
      </c>
      <c r="D32" s="201">
        <v>0.14999999999999947</v>
      </c>
      <c r="E32" s="135">
        <v>-143.68</v>
      </c>
      <c r="F32" s="135">
        <v>-122.78999999999999</v>
      </c>
      <c r="G32" s="136">
        <v>-231.73999999999998</v>
      </c>
      <c r="H32" s="26">
        <v>-536.89</v>
      </c>
      <c r="I32" s="122">
        <v>-987.95</v>
      </c>
      <c r="J32" s="172">
        <v>-1368.1299999999999</v>
      </c>
      <c r="K32" s="161">
        <v>-1484.1300000000003</v>
      </c>
      <c r="L32" s="144">
        <v>-1451.57</v>
      </c>
      <c r="M32" s="82"/>
    </row>
    <row r="33" spans="1:13" x14ac:dyDescent="0.25">
      <c r="C33" s="64"/>
      <c r="D33" s="204"/>
      <c r="E33" s="66"/>
      <c r="F33" s="66"/>
      <c r="G33" s="33"/>
      <c r="H33" s="64"/>
      <c r="I33" s="33"/>
      <c r="J33" s="173"/>
      <c r="K33" s="34"/>
      <c r="L33" s="34"/>
      <c r="M33" s="60"/>
    </row>
    <row r="34" spans="1:13" x14ac:dyDescent="0.25">
      <c r="A34" s="46" t="s">
        <v>52</v>
      </c>
      <c r="C34" s="65"/>
      <c r="D34" s="205"/>
      <c r="E34" s="35"/>
      <c r="F34" s="35"/>
      <c r="G34" s="35"/>
      <c r="H34" s="65"/>
      <c r="I34" s="35"/>
      <c r="J34" s="174"/>
      <c r="K34" s="34"/>
      <c r="L34" s="34"/>
      <c r="M34" s="60"/>
    </row>
    <row r="35" spans="1:13" x14ac:dyDescent="0.25">
      <c r="A35" s="46" t="s">
        <v>24</v>
      </c>
      <c r="C35" s="202">
        <f t="shared" ref="C35:M35" si="7">C27-C15</f>
        <v>565996.08081999992</v>
      </c>
      <c r="D35" s="206">
        <f t="shared" si="7"/>
        <v>0</v>
      </c>
      <c r="E35" s="41">
        <f t="shared" si="7"/>
        <v>31426.820000000007</v>
      </c>
      <c r="F35" s="41">
        <f t="shared" si="7"/>
        <v>538.52999999996973</v>
      </c>
      <c r="G35" s="108">
        <f t="shared" si="7"/>
        <v>-205019.28</v>
      </c>
      <c r="H35" s="40">
        <f t="shared" si="7"/>
        <v>-268266.48999999993</v>
      </c>
      <c r="I35" s="41">
        <f t="shared" si="7"/>
        <v>-201278.24</v>
      </c>
      <c r="J35" s="61">
        <f t="shared" si="7"/>
        <v>-104110.27999999997</v>
      </c>
      <c r="K35" s="123">
        <f t="shared" si="7"/>
        <v>-33563.727149999992</v>
      </c>
      <c r="L35" s="41">
        <f t="shared" si="7"/>
        <v>30185.159300000058</v>
      </c>
      <c r="M35" s="61">
        <f t="shared" si="7"/>
        <v>-611019.80220000003</v>
      </c>
    </row>
    <row r="36" spans="1:13" x14ac:dyDescent="0.25">
      <c r="A36" s="46" t="s">
        <v>107</v>
      </c>
      <c r="C36" s="202">
        <f t="shared" ref="C36:M36" si="8">C28-C16</f>
        <v>51574.718859999994</v>
      </c>
      <c r="D36" s="206">
        <f t="shared" si="8"/>
        <v>0</v>
      </c>
      <c r="E36" s="41">
        <f t="shared" si="8"/>
        <v>-2187.0800000000017</v>
      </c>
      <c r="F36" s="41">
        <f t="shared" si="8"/>
        <v>-4458.3700000000026</v>
      </c>
      <c r="G36" s="108">
        <f t="shared" si="8"/>
        <v>-7752.7400000000052</v>
      </c>
      <c r="H36" s="40">
        <f t="shared" si="8"/>
        <v>-23595.18</v>
      </c>
      <c r="I36" s="41">
        <f t="shared" si="8"/>
        <v>-17456.21</v>
      </c>
      <c r="J36" s="61">
        <f t="shared" si="8"/>
        <v>-7278.1200000000026</v>
      </c>
      <c r="K36" s="123">
        <f t="shared" si="8"/>
        <v>166.88182000000234</v>
      </c>
      <c r="L36" s="41">
        <f t="shared" si="8"/>
        <v>34820.383620000001</v>
      </c>
      <c r="M36" s="61">
        <f t="shared" si="8"/>
        <v>-60467.298000000003</v>
      </c>
    </row>
    <row r="37" spans="1:13" x14ac:dyDescent="0.25">
      <c r="A37" s="46" t="s">
        <v>108</v>
      </c>
      <c r="C37" s="202">
        <f t="shared" ref="C37:M37" si="9">C29-C17</f>
        <v>27656.951809999999</v>
      </c>
      <c r="D37" s="206">
        <f t="shared" si="9"/>
        <v>0</v>
      </c>
      <c r="E37" s="41">
        <f t="shared" si="9"/>
        <v>6097.4700000000012</v>
      </c>
      <c r="F37" s="41">
        <f t="shared" si="9"/>
        <v>12772.54</v>
      </c>
      <c r="G37" s="108">
        <f t="shared" si="9"/>
        <v>11410.059999999998</v>
      </c>
      <c r="H37" s="40">
        <f t="shared" si="9"/>
        <v>-10844.68</v>
      </c>
      <c r="I37" s="41">
        <f t="shared" si="9"/>
        <v>-3617.9099999999962</v>
      </c>
      <c r="J37" s="61">
        <f t="shared" si="9"/>
        <v>-3209.9300000000003</v>
      </c>
      <c r="K37" s="123">
        <f t="shared" si="9"/>
        <v>4373.8559599999935</v>
      </c>
      <c r="L37" s="41">
        <f t="shared" si="9"/>
        <v>15601.889799999997</v>
      </c>
      <c r="M37" s="61">
        <f t="shared" si="9"/>
        <v>-63651.882800000007</v>
      </c>
    </row>
    <row r="38" spans="1:13" x14ac:dyDescent="0.25">
      <c r="A38" s="46" t="s">
        <v>109</v>
      </c>
      <c r="C38" s="202">
        <f t="shared" ref="C38:M38" si="10">C30-C18</f>
        <v>16731.084730000002</v>
      </c>
      <c r="D38" s="206">
        <f t="shared" si="10"/>
        <v>0</v>
      </c>
      <c r="E38" s="41">
        <f t="shared" si="10"/>
        <v>-3458.3300000000008</v>
      </c>
      <c r="F38" s="41">
        <f t="shared" si="10"/>
        <v>-782.55999999999949</v>
      </c>
      <c r="G38" s="108">
        <f t="shared" si="10"/>
        <v>958.06999999999971</v>
      </c>
      <c r="H38" s="40">
        <f t="shared" si="10"/>
        <v>-494.89999999999964</v>
      </c>
      <c r="I38" s="41">
        <f t="shared" si="10"/>
        <v>1269.1800000000003</v>
      </c>
      <c r="J38" s="61">
        <f t="shared" si="10"/>
        <v>-54.6200000000008</v>
      </c>
      <c r="K38" s="123">
        <f t="shared" si="10"/>
        <v>969.95340000000215</v>
      </c>
      <c r="L38" s="41">
        <f t="shared" si="10"/>
        <v>4840.9753999999994</v>
      </c>
      <c r="M38" s="61">
        <f t="shared" si="10"/>
        <v>-13776.2282</v>
      </c>
    </row>
    <row r="39" spans="1:13" x14ac:dyDescent="0.25">
      <c r="C39" s="99"/>
      <c r="D39" s="197"/>
      <c r="E39" s="17"/>
      <c r="F39" s="17"/>
      <c r="G39" s="17"/>
      <c r="H39" s="10"/>
      <c r="I39" s="17"/>
      <c r="J39" s="11"/>
      <c r="K39" s="17"/>
      <c r="L39" s="17"/>
      <c r="M39" s="11"/>
    </row>
    <row r="40" spans="1:13" ht="15.75" thickBot="1" x14ac:dyDescent="0.3">
      <c r="A40" s="46" t="s">
        <v>53</v>
      </c>
      <c r="C40" s="99"/>
      <c r="D40" s="197"/>
      <c r="E40" s="17"/>
      <c r="F40" s="17"/>
      <c r="G40" s="17"/>
      <c r="H40" s="10"/>
      <c r="I40" s="17"/>
      <c r="J40" s="11"/>
      <c r="K40" s="17"/>
      <c r="L40" s="17"/>
      <c r="M40" s="11"/>
    </row>
    <row r="41" spans="1:13" x14ac:dyDescent="0.25">
      <c r="A41" s="46" t="s">
        <v>24</v>
      </c>
      <c r="B41" s="116">
        <v>-421307.16081999993</v>
      </c>
      <c r="C41" s="202">
        <f t="shared" ref="C41:M41" si="11">+B41+C35+B48</f>
        <v>144688.91999999998</v>
      </c>
      <c r="D41" s="206">
        <f t="shared" si="11"/>
        <v>144399.67999999999</v>
      </c>
      <c r="E41" s="41">
        <f t="shared" si="11"/>
        <v>175826.5</v>
      </c>
      <c r="F41" s="41">
        <f t="shared" si="11"/>
        <v>176543.83999999997</v>
      </c>
      <c r="G41" s="108">
        <f t="shared" si="11"/>
        <v>-28276.570000000032</v>
      </c>
      <c r="H41" s="40">
        <f t="shared" si="11"/>
        <v>-296459.18999999994</v>
      </c>
      <c r="I41" s="41">
        <f t="shared" si="11"/>
        <v>-497928.06999999995</v>
      </c>
      <c r="J41" s="61">
        <f t="shared" si="11"/>
        <v>-602583.61999999988</v>
      </c>
      <c r="K41" s="123">
        <f t="shared" si="11"/>
        <v>-636994.88714999985</v>
      </c>
      <c r="L41" s="41">
        <f t="shared" si="11"/>
        <v>-607764.54784999974</v>
      </c>
      <c r="M41" s="61">
        <f t="shared" si="11"/>
        <v>-1219743.2400499997</v>
      </c>
    </row>
    <row r="42" spans="1:13" x14ac:dyDescent="0.25">
      <c r="A42" s="46" t="s">
        <v>107</v>
      </c>
      <c r="B42" s="246">
        <v>-228488.18885999994</v>
      </c>
      <c r="C42" s="202">
        <f t="shared" ref="C42:M42" si="12">+B42+C36+B49</f>
        <v>-176913.46999999994</v>
      </c>
      <c r="D42" s="206">
        <f t="shared" si="12"/>
        <v>-176515.55999999994</v>
      </c>
      <c r="E42" s="41">
        <f t="shared" si="12"/>
        <v>-178702.63999999996</v>
      </c>
      <c r="F42" s="41">
        <f t="shared" si="12"/>
        <v>-183359.34999999995</v>
      </c>
      <c r="G42" s="108">
        <f t="shared" si="12"/>
        <v>-191316.43999999997</v>
      </c>
      <c r="H42" s="40">
        <f t="shared" si="12"/>
        <v>-215123.38999999996</v>
      </c>
      <c r="I42" s="41">
        <f t="shared" si="12"/>
        <v>-232818.38999999996</v>
      </c>
      <c r="J42" s="61">
        <f t="shared" si="12"/>
        <v>-240404.06999999995</v>
      </c>
      <c r="K42" s="123">
        <f t="shared" si="12"/>
        <v>-240601.68817999994</v>
      </c>
      <c r="L42" s="41">
        <f t="shared" si="12"/>
        <v>-206151.84455999994</v>
      </c>
      <c r="M42" s="61">
        <f t="shared" si="12"/>
        <v>-266963.32255999994</v>
      </c>
    </row>
    <row r="43" spans="1:13" x14ac:dyDescent="0.25">
      <c r="A43" s="46" t="s">
        <v>108</v>
      </c>
      <c r="B43" s="246">
        <v>-94267.821809999979</v>
      </c>
      <c r="C43" s="202">
        <f t="shared" ref="C43:M43" si="13">+B43+C37+B50</f>
        <v>-66610.869999999981</v>
      </c>
      <c r="D43" s="206">
        <f t="shared" si="13"/>
        <v>-66476.569999999978</v>
      </c>
      <c r="E43" s="41">
        <f t="shared" si="13"/>
        <v>-60379.099999999977</v>
      </c>
      <c r="F43" s="41">
        <f t="shared" si="13"/>
        <v>-47677.389999999978</v>
      </c>
      <c r="G43" s="108">
        <f t="shared" si="13"/>
        <v>-36328.319999999978</v>
      </c>
      <c r="H43" s="40">
        <f t="shared" si="13"/>
        <v>-47220.489999999976</v>
      </c>
      <c r="I43" s="41">
        <f t="shared" si="13"/>
        <v>-50887.489999999969</v>
      </c>
      <c r="J43" s="61">
        <f t="shared" si="13"/>
        <v>-54164.77999999997</v>
      </c>
      <c r="K43" s="123">
        <f t="shared" si="13"/>
        <v>-49871.844039999974</v>
      </c>
      <c r="L43" s="41">
        <f t="shared" si="13"/>
        <v>-34350.104239999979</v>
      </c>
      <c r="M43" s="61">
        <f t="shared" si="13"/>
        <v>-98066.877039999978</v>
      </c>
    </row>
    <row r="44" spans="1:13" ht="15.75" thickBot="1" x14ac:dyDescent="0.3">
      <c r="A44" s="46" t="s">
        <v>109</v>
      </c>
      <c r="B44" s="117">
        <v>-62846.624729999996</v>
      </c>
      <c r="C44" s="202">
        <f t="shared" ref="C44:M44" si="14">+B44+C38+B51</f>
        <v>-46115.539999999994</v>
      </c>
      <c r="D44" s="206">
        <f t="shared" si="14"/>
        <v>-46007.759999999995</v>
      </c>
      <c r="E44" s="41">
        <f t="shared" si="14"/>
        <v>-49466.09</v>
      </c>
      <c r="F44" s="41">
        <f t="shared" si="14"/>
        <v>-50301.959999999992</v>
      </c>
      <c r="G44" s="108">
        <f t="shared" si="14"/>
        <v>-49400.19999999999</v>
      </c>
      <c r="H44" s="40">
        <f t="shared" si="14"/>
        <v>-49951.44999999999</v>
      </c>
      <c r="I44" s="41">
        <f t="shared" si="14"/>
        <v>-48740.639999999992</v>
      </c>
      <c r="J44" s="61">
        <f t="shared" si="14"/>
        <v>-48863.029999999992</v>
      </c>
      <c r="K44" s="123">
        <f t="shared" si="14"/>
        <v>-47968.256599999986</v>
      </c>
      <c r="L44" s="41">
        <f t="shared" si="14"/>
        <v>-43201.87119999998</v>
      </c>
      <c r="M44" s="61">
        <f t="shared" si="14"/>
        <v>-57048.339399999975</v>
      </c>
    </row>
    <row r="45" spans="1:13" x14ac:dyDescent="0.25">
      <c r="C45" s="99"/>
      <c r="D45" s="197"/>
      <c r="E45" s="17"/>
      <c r="F45" s="17"/>
      <c r="G45" s="17"/>
      <c r="H45" s="10"/>
      <c r="I45" s="17"/>
      <c r="J45" s="11"/>
      <c r="K45" s="17"/>
      <c r="L45" s="17"/>
      <c r="M45" s="11"/>
    </row>
    <row r="46" spans="1:13" x14ac:dyDescent="0.25">
      <c r="A46" s="39" t="s">
        <v>123</v>
      </c>
      <c r="B46" s="39"/>
      <c r="C46" s="104"/>
      <c r="D46" s="207"/>
      <c r="E46" s="83">
        <f>+'PCR Cycle 2'!D47</f>
        <v>1.1167499999999999E-3</v>
      </c>
      <c r="F46" s="83">
        <f>+'PCR Cycle 2'!E47</f>
        <v>1.1281900000000001E-3</v>
      </c>
      <c r="G46" s="83">
        <f>+'PCR Cycle 2'!F47</f>
        <v>1.1297799999999999E-3</v>
      </c>
      <c r="H46" s="84">
        <f>+'PCR Cycle 2'!G47</f>
        <v>1.1744100000000001E-3</v>
      </c>
      <c r="I46" s="83">
        <f>+'PCR Cycle 2'!H47</f>
        <v>1.3724799999999999E-3</v>
      </c>
      <c r="J46" s="92">
        <f>+'PCR Cycle 2'!I47</f>
        <v>1.53951E-3</v>
      </c>
      <c r="K46" s="83">
        <f>+'PCR Cycle 2'!J47</f>
        <v>1.53951E-3</v>
      </c>
      <c r="L46" s="83">
        <f>+'PCR Cycle 2'!K47</f>
        <v>1.53951E-3</v>
      </c>
      <c r="M46" s="85"/>
    </row>
    <row r="47" spans="1:13" x14ac:dyDescent="0.25">
      <c r="A47" s="39" t="s">
        <v>37</v>
      </c>
      <c r="B47" s="39"/>
      <c r="C47" s="106"/>
      <c r="D47" s="208"/>
      <c r="E47" s="83"/>
      <c r="F47" s="83"/>
      <c r="G47" s="83"/>
      <c r="H47" s="84"/>
      <c r="I47" s="83"/>
      <c r="J47" s="85"/>
      <c r="K47" s="83"/>
      <c r="L47" s="83"/>
      <c r="M47" s="85"/>
    </row>
    <row r="48" spans="1:13" x14ac:dyDescent="0.25">
      <c r="A48" s="46" t="s">
        <v>24</v>
      </c>
      <c r="C48" s="202">
        <v>-289.24</v>
      </c>
      <c r="D48" s="206"/>
      <c r="E48" s="41">
        <f t="shared" ref="E48:M48" si="15">ROUND((D41+D48+E35/2)*E$46,2)</f>
        <v>178.81</v>
      </c>
      <c r="F48" s="41">
        <f t="shared" si="15"/>
        <v>198.87</v>
      </c>
      <c r="G48" s="108">
        <f t="shared" si="15"/>
        <v>83.87</v>
      </c>
      <c r="H48" s="40">
        <f t="shared" si="15"/>
        <v>-190.64</v>
      </c>
      <c r="I48" s="123">
        <f t="shared" si="15"/>
        <v>-545.27</v>
      </c>
      <c r="J48" s="61">
        <f t="shared" si="15"/>
        <v>-847.54</v>
      </c>
      <c r="K48" s="162">
        <f t="shared" si="15"/>
        <v>-954.82</v>
      </c>
      <c r="L48" s="108">
        <f t="shared" si="15"/>
        <v>-958.89</v>
      </c>
      <c r="M48" s="61">
        <f t="shared" si="15"/>
        <v>0</v>
      </c>
    </row>
    <row r="49" spans="1:13" x14ac:dyDescent="0.25">
      <c r="A49" s="46" t="s">
        <v>107</v>
      </c>
      <c r="C49" s="202">
        <v>397.91</v>
      </c>
      <c r="D49" s="206"/>
      <c r="E49" s="41">
        <f t="shared" ref="E49:L49" si="16">ROUND((D42+D49+E36/2)*E$46,2)</f>
        <v>-198.34</v>
      </c>
      <c r="F49" s="41">
        <f t="shared" si="16"/>
        <v>-204.35</v>
      </c>
      <c r="G49" s="108">
        <f t="shared" si="16"/>
        <v>-211.77</v>
      </c>
      <c r="H49" s="40">
        <f t="shared" si="16"/>
        <v>-238.79</v>
      </c>
      <c r="I49" s="123">
        <f t="shared" si="16"/>
        <v>-307.56</v>
      </c>
      <c r="J49" s="61">
        <f t="shared" si="16"/>
        <v>-364.5</v>
      </c>
      <c r="K49" s="162">
        <f t="shared" si="16"/>
        <v>-370.54</v>
      </c>
      <c r="L49" s="108">
        <f t="shared" si="16"/>
        <v>-344.18</v>
      </c>
      <c r="M49" s="61"/>
    </row>
    <row r="50" spans="1:13" x14ac:dyDescent="0.25">
      <c r="A50" s="46" t="s">
        <v>108</v>
      </c>
      <c r="C50" s="202">
        <v>134.30000000000001</v>
      </c>
      <c r="D50" s="206"/>
      <c r="E50" s="41">
        <f t="shared" ref="E50:L50" si="17">ROUND((D43+D50+E37/2)*E$46,2)</f>
        <v>-70.83</v>
      </c>
      <c r="F50" s="41">
        <f t="shared" si="17"/>
        <v>-60.99</v>
      </c>
      <c r="G50" s="108">
        <f t="shared" si="17"/>
        <v>-47.49</v>
      </c>
      <c r="H50" s="40">
        <f t="shared" si="17"/>
        <v>-49.09</v>
      </c>
      <c r="I50" s="123">
        <f t="shared" si="17"/>
        <v>-67.36</v>
      </c>
      <c r="J50" s="61">
        <f t="shared" si="17"/>
        <v>-80.92</v>
      </c>
      <c r="K50" s="162">
        <f t="shared" si="17"/>
        <v>-80.150000000000006</v>
      </c>
      <c r="L50" s="108">
        <f t="shared" si="17"/>
        <v>-64.89</v>
      </c>
      <c r="M50" s="61"/>
    </row>
    <row r="51" spans="1:13" ht="15.75" thickBot="1" x14ac:dyDescent="0.3">
      <c r="A51" s="46" t="s">
        <v>109</v>
      </c>
      <c r="C51" s="202">
        <v>107.78</v>
      </c>
      <c r="D51" s="206"/>
      <c r="E51" s="41">
        <f t="shared" ref="E51:L51" si="18">ROUND((D44+D51+E38/2)*E$46,2)</f>
        <v>-53.31</v>
      </c>
      <c r="F51" s="41">
        <f t="shared" si="18"/>
        <v>-56.31</v>
      </c>
      <c r="G51" s="108">
        <f t="shared" si="18"/>
        <v>-56.35</v>
      </c>
      <c r="H51" s="40">
        <f t="shared" si="18"/>
        <v>-58.37</v>
      </c>
      <c r="I51" s="123">
        <f t="shared" si="18"/>
        <v>-67.77</v>
      </c>
      <c r="J51" s="61">
        <f t="shared" si="18"/>
        <v>-75.180000000000007</v>
      </c>
      <c r="K51" s="162">
        <f t="shared" si="18"/>
        <v>-74.59</v>
      </c>
      <c r="L51" s="108">
        <f t="shared" si="18"/>
        <v>-70.239999999999995</v>
      </c>
      <c r="M51" s="61">
        <f>ROUND((L44+L51+M38/2)*M$46,2)</f>
        <v>0</v>
      </c>
    </row>
    <row r="52" spans="1:13" ht="16.5" thickTop="1" thickBot="1" x14ac:dyDescent="0.3">
      <c r="A52" s="54" t="s">
        <v>22</v>
      </c>
      <c r="B52" s="54"/>
      <c r="C52" s="203">
        <v>0</v>
      </c>
      <c r="D52" s="209"/>
      <c r="E52" s="42">
        <f t="shared" ref="E52:M52" si="19">SUM(E48:E51)+SUM(E41:E44)-E55</f>
        <v>0</v>
      </c>
      <c r="F52" s="42">
        <f t="shared" si="19"/>
        <v>0</v>
      </c>
      <c r="G52" s="50">
        <f t="shared" si="19"/>
        <v>0</v>
      </c>
      <c r="H52" s="51">
        <f t="shared" si="19"/>
        <v>0</v>
      </c>
      <c r="I52" s="42">
        <f t="shared" si="19"/>
        <v>0</v>
      </c>
      <c r="J52" s="62">
        <f t="shared" si="19"/>
        <v>0</v>
      </c>
      <c r="K52" s="163">
        <f t="shared" si="19"/>
        <v>0</v>
      </c>
      <c r="L52" s="50">
        <f t="shared" si="19"/>
        <v>0</v>
      </c>
      <c r="M52" s="62">
        <f t="shared" si="19"/>
        <v>0</v>
      </c>
    </row>
    <row r="53" spans="1:13" ht="16.5" thickTop="1" thickBot="1" x14ac:dyDescent="0.3">
      <c r="A53" s="54" t="s">
        <v>23</v>
      </c>
      <c r="B53" s="54"/>
      <c r="C53" s="203">
        <v>0</v>
      </c>
      <c r="D53" s="209"/>
      <c r="E53" s="42">
        <f t="shared" ref="E53:M53" si="20">SUM(E48:E51)-E32</f>
        <v>9.9999999999909051E-3</v>
      </c>
      <c r="F53" s="42">
        <f t="shared" si="20"/>
        <v>9.9999999999909051E-3</v>
      </c>
      <c r="G53" s="50">
        <f t="shared" si="20"/>
        <v>0</v>
      </c>
      <c r="H53" s="51">
        <f t="shared" si="20"/>
        <v>0</v>
      </c>
      <c r="I53" s="42">
        <f t="shared" si="20"/>
        <v>-9.9999999998772182E-3</v>
      </c>
      <c r="J53" s="62">
        <f t="shared" si="20"/>
        <v>-1.0000000000218279E-2</v>
      </c>
      <c r="K53" s="164">
        <f>SUM(K48:K51)-K32</f>
        <v>4.0300000000002001</v>
      </c>
      <c r="L53" s="42">
        <f t="shared" si="20"/>
        <v>13.369999999999891</v>
      </c>
      <c r="M53" s="42">
        <f t="shared" si="20"/>
        <v>0</v>
      </c>
    </row>
    <row r="54" spans="1:13" ht="16.5" thickTop="1" thickBot="1" x14ac:dyDescent="0.3">
      <c r="C54" s="99"/>
      <c r="D54" s="197"/>
      <c r="E54" s="17"/>
      <c r="F54" s="17"/>
      <c r="G54" s="17"/>
      <c r="H54" s="10"/>
      <c r="I54" s="17"/>
      <c r="J54" s="11"/>
      <c r="K54" s="17"/>
      <c r="L54" s="17"/>
      <c r="M54" s="11"/>
    </row>
    <row r="55" spans="1:13" ht="15.75" thickBot="1" x14ac:dyDescent="0.3">
      <c r="A55" s="46" t="s">
        <v>36</v>
      </c>
      <c r="B55" s="119">
        <f>SUM(B41:B44)</f>
        <v>-806909.7962199999</v>
      </c>
      <c r="C55" s="202">
        <f t="shared" ref="C55:M55" si="21">(C12-SUM(C15:C18))+SUM(C48:C51)+B55</f>
        <v>-144600.20999999996</v>
      </c>
      <c r="D55" s="206">
        <f t="shared" si="21"/>
        <v>-144600.20999999996</v>
      </c>
      <c r="E55" s="41">
        <f t="shared" si="21"/>
        <v>-112864.99999999996</v>
      </c>
      <c r="F55" s="41">
        <f t="shared" si="21"/>
        <v>-104917.63999999994</v>
      </c>
      <c r="G55" s="108">
        <f t="shared" si="21"/>
        <v>-305553.2699999999</v>
      </c>
      <c r="H55" s="40">
        <f t="shared" si="21"/>
        <v>-609291.40999999992</v>
      </c>
      <c r="I55" s="41">
        <f t="shared" si="21"/>
        <v>-831362.54999999993</v>
      </c>
      <c r="J55" s="61">
        <f t="shared" si="21"/>
        <v>-947383.6399999999</v>
      </c>
      <c r="K55" s="162">
        <f t="shared" si="21"/>
        <v>-976916.77596999996</v>
      </c>
      <c r="L55" s="108">
        <f t="shared" si="21"/>
        <v>-892906.56784999988</v>
      </c>
      <c r="M55" s="61">
        <f t="shared" si="21"/>
        <v>-1641821.77905</v>
      </c>
    </row>
    <row r="56" spans="1:13" x14ac:dyDescent="0.25">
      <c r="A56" s="46" t="s">
        <v>12</v>
      </c>
      <c r="C56" s="120"/>
      <c r="D56" s="210"/>
      <c r="E56" s="17"/>
      <c r="F56" s="17"/>
      <c r="G56" s="17"/>
      <c r="H56" s="10"/>
      <c r="I56" s="17"/>
      <c r="J56" s="11"/>
      <c r="K56" s="17"/>
      <c r="L56" s="17"/>
      <c r="M56" s="11"/>
    </row>
    <row r="57" spans="1:13" ht="15.75" thickBot="1" x14ac:dyDescent="0.3">
      <c r="A57" s="37"/>
      <c r="B57" s="37"/>
      <c r="C57" s="147"/>
      <c r="D57" s="211"/>
      <c r="E57" s="44"/>
      <c r="F57" s="44"/>
      <c r="G57" s="44"/>
      <c r="H57" s="43"/>
      <c r="I57" s="44"/>
      <c r="J57" s="45"/>
      <c r="K57" s="44"/>
      <c r="L57" s="44"/>
      <c r="M57" s="45"/>
    </row>
    <row r="59" spans="1:13" x14ac:dyDescent="0.25">
      <c r="A59" s="69" t="s">
        <v>11</v>
      </c>
      <c r="B59" s="69"/>
      <c r="C59" s="69"/>
      <c r="D59" s="69"/>
    </row>
    <row r="60" spans="1:13" ht="34.5" customHeight="1" x14ac:dyDescent="0.25">
      <c r="A60" s="310" t="s">
        <v>210</v>
      </c>
      <c r="B60" s="310"/>
      <c r="C60" s="310"/>
      <c r="D60" s="310"/>
      <c r="E60" s="310"/>
      <c r="F60" s="310"/>
      <c r="G60" s="310"/>
      <c r="H60" s="310"/>
      <c r="I60" s="310"/>
      <c r="J60" s="310"/>
      <c r="K60" s="255"/>
      <c r="L60" s="235"/>
      <c r="M60" s="235"/>
    </row>
    <row r="61" spans="1:13" ht="42.75" customHeight="1" x14ac:dyDescent="0.25">
      <c r="A61" s="310" t="s">
        <v>209</v>
      </c>
      <c r="B61" s="310"/>
      <c r="C61" s="310"/>
      <c r="D61" s="310"/>
      <c r="E61" s="310"/>
      <c r="F61" s="310"/>
      <c r="G61" s="310"/>
      <c r="H61" s="310"/>
      <c r="I61" s="310"/>
      <c r="J61" s="310"/>
      <c r="K61" s="310"/>
      <c r="L61" s="235"/>
      <c r="M61" s="235"/>
    </row>
    <row r="62" spans="1:13" ht="33.75" customHeight="1" x14ac:dyDescent="0.25">
      <c r="A62" s="310" t="s">
        <v>211</v>
      </c>
      <c r="B62" s="310"/>
      <c r="C62" s="310"/>
      <c r="D62" s="310"/>
      <c r="E62" s="310"/>
      <c r="F62" s="310"/>
      <c r="G62" s="310"/>
      <c r="H62" s="310"/>
      <c r="I62" s="310"/>
      <c r="J62" s="310"/>
      <c r="K62" s="255"/>
      <c r="L62" s="235"/>
      <c r="M62" s="235"/>
    </row>
    <row r="63" spans="1:13" x14ac:dyDescent="0.25">
      <c r="A63" s="63" t="s">
        <v>67</v>
      </c>
      <c r="B63" s="63"/>
      <c r="C63" s="63"/>
      <c r="D63" s="63"/>
      <c r="E63" s="39"/>
      <c r="F63" s="39"/>
      <c r="G63" s="39"/>
      <c r="H63" s="39"/>
      <c r="I63" s="39"/>
      <c r="J63" s="39"/>
      <c r="K63" s="39"/>
    </row>
    <row r="64" spans="1:13" x14ac:dyDescent="0.25">
      <c r="A64" s="63" t="s">
        <v>187</v>
      </c>
      <c r="B64" s="63"/>
      <c r="C64" s="63"/>
      <c r="D64" s="63"/>
      <c r="E64" s="39"/>
      <c r="F64" s="39"/>
      <c r="G64" s="39"/>
      <c r="H64" s="39"/>
      <c r="I64" s="39"/>
      <c r="J64" s="39"/>
      <c r="K64" s="39"/>
    </row>
    <row r="65" spans="1:11" x14ac:dyDescent="0.25">
      <c r="A65" s="63" t="s">
        <v>70</v>
      </c>
      <c r="B65" s="63"/>
      <c r="C65" s="63"/>
      <c r="D65" s="63"/>
      <c r="E65" s="39"/>
      <c r="F65" s="39"/>
      <c r="G65" s="39"/>
      <c r="H65" s="39"/>
      <c r="I65" s="39"/>
      <c r="J65" s="39"/>
      <c r="K65" s="39"/>
    </row>
    <row r="66" spans="1:11" x14ac:dyDescent="0.25">
      <c r="A66" s="3"/>
      <c r="B66" s="3"/>
      <c r="C66" s="3"/>
      <c r="D66" s="3"/>
    </row>
  </sheetData>
  <mergeCells count="6">
    <mergeCell ref="A62:J62"/>
    <mergeCell ref="E10:G10"/>
    <mergeCell ref="H10:J10"/>
    <mergeCell ref="K10:M10"/>
    <mergeCell ref="A60:J60"/>
    <mergeCell ref="A61:K61"/>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78"/>
  <sheetViews>
    <sheetView workbookViewId="0">
      <pane xSplit="1" ySplit="4" topLeftCell="B5" activePane="bottomRight" state="frozen"/>
      <selection activeCell="K4" sqref="K4"/>
      <selection pane="topRight" activeCell="K4" sqref="K4"/>
      <selection pane="bottomLeft" activeCell="K4" sqref="K4"/>
      <selection pane="bottomRight" activeCell="A75" sqref="A75:G75"/>
    </sheetView>
  </sheetViews>
  <sheetFormatPr defaultRowHeight="15" x14ac:dyDescent="0.25"/>
  <cols>
    <col min="1" max="1" width="23.7109375" customWidth="1"/>
    <col min="2" max="2" width="15.28515625" bestFit="1" customWidth="1"/>
    <col min="3" max="3" width="14.28515625" style="46" customWidth="1"/>
    <col min="4" max="4" width="13.28515625" bestFit="1" customWidth="1"/>
    <col min="5" max="5" width="9.7109375" bestFit="1" customWidth="1"/>
    <col min="6" max="6" width="12.5703125" bestFit="1" customWidth="1"/>
    <col min="7" max="7" width="13.140625" customWidth="1"/>
    <col min="9" max="9" width="10.42578125" bestFit="1" customWidth="1"/>
    <col min="11" max="11" width="9.42578125" bestFit="1" customWidth="1"/>
  </cols>
  <sheetData>
    <row r="1" spans="1:7" x14ac:dyDescent="0.25">
      <c r="A1" s="63" t="str">
        <f>+'PPC Cycle 3'!A1</f>
        <v>Evergy Missouri West, Inc. - DSIM Rider Update Filed 06/01/2022</v>
      </c>
      <c r="B1" s="46"/>
      <c r="D1" s="46"/>
      <c r="E1" s="46"/>
    </row>
    <row r="2" spans="1:7" x14ac:dyDescent="0.25">
      <c r="A2" s="9" t="str">
        <f>+'PPC Cycle 3'!A2</f>
        <v>Projections for Cycle 3 July 2022 - June 2023 DSIM</v>
      </c>
      <c r="B2" s="46"/>
      <c r="D2" s="46"/>
      <c r="E2" s="46"/>
    </row>
    <row r="3" spans="1:7" ht="45.75" customHeight="1" x14ac:dyDescent="0.25">
      <c r="A3" s="46"/>
      <c r="B3" s="306" t="s">
        <v>98</v>
      </c>
      <c r="C3" s="306"/>
      <c r="D3" s="306"/>
      <c r="E3" s="46"/>
    </row>
    <row r="4" spans="1:7" ht="90" x14ac:dyDescent="0.25">
      <c r="A4" s="46"/>
      <c r="B4" s="70" t="s">
        <v>100</v>
      </c>
      <c r="C4" s="70" t="s">
        <v>101</v>
      </c>
      <c r="D4" s="70" t="s">
        <v>104</v>
      </c>
      <c r="E4" s="70" t="s">
        <v>102</v>
      </c>
      <c r="F4" s="70" t="s">
        <v>99</v>
      </c>
      <c r="G4" s="70" t="s">
        <v>105</v>
      </c>
    </row>
    <row r="5" spans="1:7" s="46" customFormat="1" x14ac:dyDescent="0.25">
      <c r="A5" s="20"/>
      <c r="B5" s="70"/>
      <c r="C5" s="70"/>
      <c r="D5" s="154"/>
    </row>
    <row r="6" spans="1:7" s="46" customFormat="1" x14ac:dyDescent="0.25">
      <c r="A6" s="257" t="s">
        <v>157</v>
      </c>
      <c r="B6" s="70"/>
      <c r="C6" s="70"/>
      <c r="D6" s="153"/>
    </row>
    <row r="7" spans="1:7" s="46" customFormat="1" x14ac:dyDescent="0.25">
      <c r="A7" s="20" t="s">
        <v>24</v>
      </c>
      <c r="B7" s="232">
        <f>+B18+B29+B40</f>
        <v>6580575.5600000005</v>
      </c>
      <c r="C7" s="232">
        <f t="shared" ref="C7:E7" si="0">+C18+C29+C40</f>
        <v>-1711589.3800000001</v>
      </c>
      <c r="D7" s="232">
        <f t="shared" si="0"/>
        <v>-1320635.23</v>
      </c>
      <c r="E7" s="232">
        <f t="shared" si="0"/>
        <v>-59583.520000000004</v>
      </c>
      <c r="F7" s="232">
        <f>SUM(B7:E7)</f>
        <v>3488767.4300000006</v>
      </c>
      <c r="G7" s="232">
        <f>+G18+G29+G40+G50+G61</f>
        <v>-614284.48</v>
      </c>
    </row>
    <row r="8" spans="1:7" s="46" customFormat="1" x14ac:dyDescent="0.25">
      <c r="A8" s="20" t="s">
        <v>25</v>
      </c>
      <c r="B8" s="232">
        <f t="shared" ref="B8:E8" si="1">+B19+B30+B41</f>
        <v>6141489.0100000007</v>
      </c>
      <c r="C8" s="232">
        <f t="shared" si="1"/>
        <v>903784.52999999991</v>
      </c>
      <c r="D8" s="232">
        <f t="shared" si="1"/>
        <v>-147259.32</v>
      </c>
      <c r="E8" s="232">
        <f t="shared" si="1"/>
        <v>64094.62</v>
      </c>
      <c r="F8" s="232">
        <f>SUM(B8:E8)</f>
        <v>6962108.8400000008</v>
      </c>
      <c r="G8" s="232">
        <f>+G19+G30+G41+G51+G62</f>
        <v>333358.48000000004</v>
      </c>
    </row>
    <row r="9" spans="1:7" s="46" customFormat="1" x14ac:dyDescent="0.25">
      <c r="A9" s="20" t="s">
        <v>5</v>
      </c>
      <c r="B9" s="223">
        <f t="shared" ref="B9:G9" si="2">SUM(B7:B8)</f>
        <v>12722064.57</v>
      </c>
      <c r="C9" s="223">
        <f t="shared" si="2"/>
        <v>-807804.85000000021</v>
      </c>
      <c r="D9" s="223">
        <f t="shared" si="2"/>
        <v>-1467894.55</v>
      </c>
      <c r="E9" s="223">
        <f t="shared" si="2"/>
        <v>4511.0999999999985</v>
      </c>
      <c r="F9" s="223">
        <f t="shared" si="2"/>
        <v>10450876.270000001</v>
      </c>
      <c r="G9" s="223">
        <f t="shared" si="2"/>
        <v>-280925.99999999994</v>
      </c>
    </row>
    <row r="10" spans="1:7" s="46" customFormat="1" x14ac:dyDescent="0.25">
      <c r="B10" s="220"/>
      <c r="C10" s="220"/>
      <c r="D10" s="221"/>
    </row>
    <row r="11" spans="1:7" s="46" customFormat="1" x14ac:dyDescent="0.25">
      <c r="A11" s="20" t="s">
        <v>107</v>
      </c>
      <c r="B11" s="223">
        <f t="shared" ref="B11:E11" si="3">+B22+B33+B44</f>
        <v>2400450.7000000002</v>
      </c>
      <c r="C11" s="223">
        <f t="shared" si="3"/>
        <v>388765.80000000005</v>
      </c>
      <c r="D11" s="223">
        <f t="shared" si="3"/>
        <v>-37706.069999999978</v>
      </c>
      <c r="E11" s="223">
        <f t="shared" si="3"/>
        <v>28965.829999999998</v>
      </c>
      <c r="F11" s="223">
        <f t="shared" ref="F11:F13" si="4">SUM(B11:E11)</f>
        <v>2780476.2600000002</v>
      </c>
      <c r="G11" s="223">
        <f t="shared" ref="G11:G13" si="5">+G22+G33+G44+G54+G65</f>
        <v>141997.40000000002</v>
      </c>
    </row>
    <row r="12" spans="1:7" s="46" customFormat="1" x14ac:dyDescent="0.25">
      <c r="A12" s="20" t="s">
        <v>108</v>
      </c>
      <c r="B12" s="223">
        <f t="shared" ref="B12:E12" si="6">+B23+B34+B45</f>
        <v>2683377.23</v>
      </c>
      <c r="C12" s="223">
        <f t="shared" si="6"/>
        <v>473783.88</v>
      </c>
      <c r="D12" s="223">
        <f t="shared" si="6"/>
        <v>-100292.87</v>
      </c>
      <c r="E12" s="223">
        <f t="shared" si="6"/>
        <v>31185.66</v>
      </c>
      <c r="F12" s="223">
        <f t="shared" si="4"/>
        <v>3088053.9</v>
      </c>
      <c r="G12" s="223">
        <f t="shared" si="5"/>
        <v>155886.28</v>
      </c>
    </row>
    <row r="13" spans="1:7" s="46" customFormat="1" x14ac:dyDescent="0.25">
      <c r="A13" s="20" t="s">
        <v>109</v>
      </c>
      <c r="B13" s="223">
        <f t="shared" ref="B13:E13" si="7">+B24+B35+B46</f>
        <v>1057661.06</v>
      </c>
      <c r="C13" s="223">
        <f t="shared" si="7"/>
        <v>41234.850000000006</v>
      </c>
      <c r="D13" s="223">
        <f t="shared" si="7"/>
        <v>-9260.380000000001</v>
      </c>
      <c r="E13" s="223">
        <f t="shared" si="7"/>
        <v>3943.13</v>
      </c>
      <c r="F13" s="223">
        <f t="shared" si="4"/>
        <v>1093578.6600000001</v>
      </c>
      <c r="G13" s="223">
        <f t="shared" si="5"/>
        <v>35474.810000000005</v>
      </c>
    </row>
    <row r="14" spans="1:7" s="46" customFormat="1" x14ac:dyDescent="0.25">
      <c r="A14" s="30" t="s">
        <v>111</v>
      </c>
      <c r="B14" s="223">
        <f>SUM(B11:B13)</f>
        <v>6141488.9900000002</v>
      </c>
      <c r="C14" s="223">
        <f>SUM(C11:C13)</f>
        <v>903784.53</v>
      </c>
      <c r="D14" s="223">
        <f t="shared" ref="D14:G14" si="8">SUM(D11:D13)</f>
        <v>-147259.31999999998</v>
      </c>
      <c r="E14" s="223">
        <f t="shared" si="8"/>
        <v>64094.619999999995</v>
      </c>
      <c r="F14" s="223">
        <f t="shared" si="8"/>
        <v>6962108.8200000003</v>
      </c>
      <c r="G14" s="223">
        <f t="shared" si="8"/>
        <v>333358.49000000005</v>
      </c>
    </row>
    <row r="15" spans="1:7" s="46" customFormat="1" x14ac:dyDescent="0.25">
      <c r="A15" s="20"/>
      <c r="B15" s="70"/>
      <c r="C15" s="70"/>
      <c r="D15" s="153"/>
    </row>
    <row r="16" spans="1:7" s="46" customFormat="1" x14ac:dyDescent="0.25">
      <c r="A16" s="20"/>
      <c r="B16" s="70"/>
      <c r="C16" s="70"/>
      <c r="D16" s="153"/>
    </row>
    <row r="17" spans="1:7" s="46" customFormat="1" x14ac:dyDescent="0.25">
      <c r="A17" s="257" t="s">
        <v>175</v>
      </c>
      <c r="B17" s="70"/>
      <c r="C17" s="70"/>
      <c r="D17" s="153"/>
    </row>
    <row r="18" spans="1:7" s="46" customFormat="1" x14ac:dyDescent="0.25">
      <c r="A18" s="20" t="s">
        <v>24</v>
      </c>
      <c r="B18" s="25">
        <f>ROUND(+'[16]EO Matrix @Meter'!$S$18,2)</f>
        <v>5181939.6500000004</v>
      </c>
      <c r="C18" s="25">
        <f>ROUND(+'[17]TD EO Ex Post Gross Adj'!$AL$370,2)</f>
        <v>-722286.33</v>
      </c>
      <c r="D18" s="25">
        <f>ROUND(+'[17]TD EO NTG Adj'!$AL$384,2)</f>
        <v>574414.55000000005</v>
      </c>
      <c r="E18" s="248">
        <f>ROUND(+'[17]EO TD Carrying Costs'!$AL$63,2)</f>
        <v>2229.4899999999998</v>
      </c>
      <c r="F18" s="232">
        <f>SUM(B18:E18)</f>
        <v>5036297.3600000003</v>
      </c>
      <c r="G18" s="249">
        <f>ROUND(F18/24*0,2)</f>
        <v>0</v>
      </c>
    </row>
    <row r="19" spans="1:7" s="46" customFormat="1" x14ac:dyDescent="0.25">
      <c r="A19" s="20" t="s">
        <v>25</v>
      </c>
      <c r="B19" s="222">
        <f>ROUND(+'[16]EO Matrix @Meter'!$T$18,2)</f>
        <v>5060008.6900000004</v>
      </c>
      <c r="C19" s="222">
        <f>SUM(C22:C24)</f>
        <v>194085.35</v>
      </c>
      <c r="D19" s="222">
        <f t="shared" ref="D19:E19" si="9">SUM(D22:D24)</f>
        <v>562321.14</v>
      </c>
      <c r="E19" s="250">
        <f t="shared" si="9"/>
        <v>20418.36</v>
      </c>
      <c r="F19" s="232">
        <f>SUM(B19:E19)</f>
        <v>5836833.54</v>
      </c>
      <c r="G19" s="249">
        <f>ROUND(F19/24*0,2)</f>
        <v>0</v>
      </c>
    </row>
    <row r="20" spans="1:7" s="46" customFormat="1" x14ac:dyDescent="0.25">
      <c r="A20" s="20" t="s">
        <v>5</v>
      </c>
      <c r="B20" s="223">
        <f t="shared" ref="B20:G20" si="10">SUM(B18:B19)</f>
        <v>10241948.34</v>
      </c>
      <c r="C20" s="223">
        <f t="shared" si="10"/>
        <v>-528200.98</v>
      </c>
      <c r="D20" s="223">
        <f t="shared" si="10"/>
        <v>1136735.69</v>
      </c>
      <c r="E20" s="251">
        <f t="shared" si="10"/>
        <v>22647.85</v>
      </c>
      <c r="F20" s="223">
        <f t="shared" si="10"/>
        <v>10873130.9</v>
      </c>
      <c r="G20" s="252">
        <f t="shared" si="10"/>
        <v>0</v>
      </c>
    </row>
    <row r="21" spans="1:7" s="46" customFormat="1" x14ac:dyDescent="0.25">
      <c r="B21" s="220"/>
      <c r="C21" s="220"/>
      <c r="D21" s="221"/>
    </row>
    <row r="22" spans="1:7" x14ac:dyDescent="0.25">
      <c r="A22" s="20" t="s">
        <v>107</v>
      </c>
      <c r="B22" s="25">
        <f>ROUND(+'[16]EO Matrix @Meter'!$W$18,2)</f>
        <v>1943830.05</v>
      </c>
      <c r="C22" s="25">
        <f>ROUND(+'[17]TD EO Ex Post Gross Adj'!$AL371,2)</f>
        <v>62654.27</v>
      </c>
      <c r="D22" s="25">
        <f>ROUND(+'[17]TD EO NTG Adj'!$AL385,2)</f>
        <v>289519.26</v>
      </c>
      <c r="E22" s="222">
        <f>ROUND(+'[17]EO TD Carrying Costs'!$AL64,2)</f>
        <v>9487.83</v>
      </c>
      <c r="F22" s="223">
        <f t="shared" ref="F22:F24" si="11">SUM(B22:E22)</f>
        <v>2305491.41</v>
      </c>
      <c r="G22" s="259">
        <f>ROUND(F22/24*0,2)</f>
        <v>0</v>
      </c>
    </row>
    <row r="23" spans="1:7" x14ac:dyDescent="0.25">
      <c r="A23" s="20" t="s">
        <v>108</v>
      </c>
      <c r="B23" s="25">
        <f>ROUND(+'[16]EO Matrix @Meter'!$Y$18,2)</f>
        <v>2196160.91</v>
      </c>
      <c r="C23" s="25">
        <f>ROUND(+'[17]TD EO Ex Post Gross Adj'!$AL373,2)</f>
        <v>122990.05</v>
      </c>
      <c r="D23" s="25">
        <f>ROUND(+'[17]TD EO NTG Adj'!$AL387,2)</f>
        <v>233118.96</v>
      </c>
      <c r="E23" s="25">
        <f>ROUND(+'[17]EO TD Carrying Costs'!$AL66,2)</f>
        <v>9593.31</v>
      </c>
      <c r="F23" s="223">
        <f t="shared" si="11"/>
        <v>2561863.23</v>
      </c>
      <c r="G23" s="259">
        <f>ROUND(F23/24*0,2)</f>
        <v>0</v>
      </c>
    </row>
    <row r="24" spans="1:7" x14ac:dyDescent="0.25">
      <c r="A24" s="20" t="s">
        <v>109</v>
      </c>
      <c r="B24" s="222">
        <f>ROUND(+'[16]EO Matrix @Meter'!$Z$18,2)</f>
        <v>920017.71</v>
      </c>
      <c r="C24" s="222">
        <f>ROUND(+'[17]TD EO Ex Post Gross Adj'!$AL374,2)</f>
        <v>8441.0300000000007</v>
      </c>
      <c r="D24" s="222">
        <f>ROUND(+'[17]TD EO NTG Adj'!$AL388,2)</f>
        <v>39682.92</v>
      </c>
      <c r="E24" s="222">
        <f>ROUND(+'[17]EO TD Carrying Costs'!$AL67,2)</f>
        <v>1337.22</v>
      </c>
      <c r="F24" s="223">
        <f t="shared" si="11"/>
        <v>969478.88</v>
      </c>
      <c r="G24" s="259">
        <f>ROUND(F24/24*0,2)</f>
        <v>0</v>
      </c>
    </row>
    <row r="25" spans="1:7" x14ac:dyDescent="0.25">
      <c r="A25" s="30" t="s">
        <v>111</v>
      </c>
      <c r="B25" s="223">
        <f>SUM(B22:B24)</f>
        <v>5060008.67</v>
      </c>
      <c r="C25" s="223">
        <f>SUM(C22:C24)</f>
        <v>194085.35</v>
      </c>
      <c r="D25" s="223">
        <f t="shared" ref="D25:G25" si="12">SUM(D22:D24)</f>
        <v>562321.14</v>
      </c>
      <c r="E25" s="223">
        <f t="shared" si="12"/>
        <v>20418.36</v>
      </c>
      <c r="F25" s="223">
        <f t="shared" si="12"/>
        <v>5836833.5200000005</v>
      </c>
      <c r="G25" s="223">
        <f t="shared" si="12"/>
        <v>0</v>
      </c>
    </row>
    <row r="26" spans="1:7" s="39" customFormat="1" x14ac:dyDescent="0.25">
      <c r="A26" s="30"/>
      <c r="B26" s="258"/>
      <c r="C26" s="258"/>
      <c r="D26" s="258"/>
      <c r="E26" s="258"/>
      <c r="F26" s="258"/>
      <c r="G26" s="258"/>
    </row>
    <row r="27" spans="1:7" s="39" customFormat="1" x14ac:dyDescent="0.25">
      <c r="A27" s="30"/>
      <c r="B27" s="258"/>
      <c r="C27" s="258"/>
      <c r="D27" s="258"/>
      <c r="E27" s="258"/>
      <c r="F27" s="258"/>
      <c r="G27" s="258"/>
    </row>
    <row r="28" spans="1:7" s="46" customFormat="1" x14ac:dyDescent="0.25">
      <c r="A28" s="257" t="s">
        <v>176</v>
      </c>
      <c r="B28" s="70"/>
      <c r="C28" s="70"/>
      <c r="D28" s="153"/>
    </row>
    <row r="29" spans="1:7" s="46" customFormat="1" x14ac:dyDescent="0.25">
      <c r="A29" s="20" t="s">
        <v>24</v>
      </c>
      <c r="B29" s="25">
        <f>ROUND(+'[18]EO Matrix @Meter'!$S$18,2)</f>
        <v>1398635.91</v>
      </c>
      <c r="C29" s="25">
        <f>ROUND(+'[17]TD EO Ex Post Gross Adj'!$BE$370+'[17]TD EO Ex Post Gross Adj'!$BS$370+'[19]TD EO Ex Post Gross Adj'!$BE$370+'[19]TD EO Ex Post Gross Adj'!$BS$370,2)</f>
        <v>-801107.23</v>
      </c>
      <c r="D29" s="25">
        <f>ROUND(+'[17]TD EO NTG Adj'!$BE$384+'[17]TD EO NTG Adj'!$BS$384+'[19]TD EO NTG Adj'!$BE$384+'[19]TD EO NTG Adj'!$BS$384,2)</f>
        <v>-1374859.37</v>
      </c>
      <c r="E29" s="248">
        <f>ROUND(+'[17]EO TD Carrying Costs'!$BE$63+'[19]EO TD Carrying Costs'!$BE$63,2)</f>
        <v>-42421.68</v>
      </c>
      <c r="F29" s="232">
        <f>SUM(B29:E29)</f>
        <v>-819752.37000000023</v>
      </c>
      <c r="G29" s="249">
        <f>ROUND(F29/24*7,2)</f>
        <v>-239094.44</v>
      </c>
    </row>
    <row r="30" spans="1:7" s="46" customFormat="1" x14ac:dyDescent="0.25">
      <c r="A30" s="20" t="s">
        <v>25</v>
      </c>
      <c r="B30" s="222">
        <f>ROUND(+'[18]EO Matrix @Meter'!$T$18,2)</f>
        <v>1081480.32</v>
      </c>
      <c r="C30" s="222">
        <f>SUM(C33:C35)</f>
        <v>524350.93999999994</v>
      </c>
      <c r="D30" s="222">
        <f t="shared" ref="D30:E30" si="13">SUM(D33:D35)</f>
        <v>-536449.89</v>
      </c>
      <c r="E30" s="250">
        <f t="shared" si="13"/>
        <v>37990.920000000006</v>
      </c>
      <c r="F30" s="232">
        <f>SUM(B30:E30)</f>
        <v>1107372.29</v>
      </c>
      <c r="G30" s="249">
        <f>ROUND(F30/24*7,2)</f>
        <v>322983.58</v>
      </c>
    </row>
    <row r="31" spans="1:7" s="46" customFormat="1" x14ac:dyDescent="0.25">
      <c r="A31" s="20" t="s">
        <v>5</v>
      </c>
      <c r="B31" s="223">
        <f t="shared" ref="B31:G31" si="14">SUM(B29:B30)</f>
        <v>2480116.23</v>
      </c>
      <c r="C31" s="223">
        <f t="shared" si="14"/>
        <v>-276756.29000000004</v>
      </c>
      <c r="D31" s="223">
        <f t="shared" si="14"/>
        <v>-1911309.2600000002</v>
      </c>
      <c r="E31" s="251">
        <f t="shared" si="14"/>
        <v>-4430.7599999999948</v>
      </c>
      <c r="F31" s="223">
        <f t="shared" si="14"/>
        <v>287619.91999999981</v>
      </c>
      <c r="G31" s="252">
        <f t="shared" si="14"/>
        <v>83889.140000000014</v>
      </c>
    </row>
    <row r="32" spans="1:7" s="46" customFormat="1" x14ac:dyDescent="0.25">
      <c r="B32" s="220"/>
      <c r="C32" s="220"/>
      <c r="D32" s="221"/>
    </row>
    <row r="33" spans="1:7" s="46" customFormat="1" x14ac:dyDescent="0.25">
      <c r="A33" s="20" t="s">
        <v>107</v>
      </c>
      <c r="B33" s="25">
        <f>ROUND(+'[18]EO Matrix @Meter'!$W$18,2)</f>
        <v>456620.65</v>
      </c>
      <c r="C33" s="25">
        <f>ROUND(+'[17]TD EO Ex Post Gross Adj'!BE371+'[17]TD EO Ex Post Gross Adj'!BS371+'[19]TD EO Ex Post Gross Adj'!BE371+'[19]TD EO Ex Post Gross Adj'!BS371,2)</f>
        <v>238713.51</v>
      </c>
      <c r="D33" s="25">
        <f>ROUND(+'[17]TD EO NTG Adj'!BE385+'[17]TD EO NTG Adj'!BS385+'[19]TD EO NTG Adj'!BE385+'[19]TD EO NTG Adj'!BS385,2)</f>
        <v>-250839.18</v>
      </c>
      <c r="E33" s="222">
        <f>ROUND(+'[17]EO TD Carrying Costs'!BE64+'[19]EO TD Carrying Costs'!BE64,2)</f>
        <v>16987.560000000001</v>
      </c>
      <c r="F33" s="223">
        <f t="shared" ref="F33:F35" si="15">SUM(B33:E33)</f>
        <v>461482.54000000004</v>
      </c>
      <c r="G33" s="259">
        <f>ROUND(F33/24*7,2)</f>
        <v>134599.07</v>
      </c>
    </row>
    <row r="34" spans="1:7" s="46" customFormat="1" x14ac:dyDescent="0.25">
      <c r="A34" s="20" t="s">
        <v>108</v>
      </c>
      <c r="B34" s="25">
        <f>ROUND(+'[18]EO Matrix @Meter'!$Y$18,2)</f>
        <v>487216.32</v>
      </c>
      <c r="C34" s="25">
        <f>ROUND(+'[17]TD EO Ex Post Gross Adj'!BE373+'[17]TD EO Ex Post Gross Adj'!BS373+'[19]TD EO Ex Post Gross Adj'!BE373+'[19]TD EO Ex Post Gross Adj'!BS373,2)</f>
        <v>261085.55</v>
      </c>
      <c r="D34" s="25">
        <f>ROUND(+'[17]TD EO NTG Adj'!BE387+'[17]TD EO NTG Adj'!BS387+'[19]TD EO NTG Adj'!BE387+'[19]TD EO NTG Adj'!BS387,2)</f>
        <v>-248789.11</v>
      </c>
      <c r="E34" s="25">
        <f>ROUND(+'[17]EO TD Carrying Costs'!BE66+'[19]EO TD Carrying Costs'!BE66,2)</f>
        <v>18676.650000000001</v>
      </c>
      <c r="F34" s="223">
        <f t="shared" si="15"/>
        <v>518189.41000000003</v>
      </c>
      <c r="G34" s="259">
        <f>ROUND(F34/24*7,2)</f>
        <v>151138.57999999999</v>
      </c>
    </row>
    <row r="35" spans="1:7" s="46" customFormat="1" x14ac:dyDescent="0.25">
      <c r="A35" s="20" t="s">
        <v>109</v>
      </c>
      <c r="B35" s="222">
        <f>ROUND(+'[18]EO Matrix @Meter'!$Z$18,2)</f>
        <v>137643.35</v>
      </c>
      <c r="C35" s="222">
        <f>ROUND(+'[17]TD EO Ex Post Gross Adj'!BE374+'[17]TD EO Ex Post Gross Adj'!BS374+'[19]TD EO Ex Post Gross Adj'!BE374+'[19]TD EO Ex Post Gross Adj'!BS374,2)</f>
        <v>24551.88</v>
      </c>
      <c r="D35" s="222">
        <f>ROUND(+'[17]TD EO NTG Adj'!BE388+'[17]TD EO NTG Adj'!BS388+'[19]TD EO NTG Adj'!BE388+'[19]TD EO NTG Adj'!BS388,2)</f>
        <v>-36821.599999999999</v>
      </c>
      <c r="E35" s="222">
        <f>ROUND(+'[17]EO TD Carrying Costs'!BE67+'[19]EO TD Carrying Costs'!BE67,2)</f>
        <v>2326.71</v>
      </c>
      <c r="F35" s="223">
        <f t="shared" si="15"/>
        <v>127700.34000000001</v>
      </c>
      <c r="G35" s="259">
        <f>ROUND(F35/24*7,2)</f>
        <v>37245.93</v>
      </c>
    </row>
    <row r="36" spans="1:7" s="46" customFormat="1" x14ac:dyDescent="0.25">
      <c r="A36" s="30" t="s">
        <v>111</v>
      </c>
      <c r="B36" s="223">
        <f>SUM(B33:B35)</f>
        <v>1081480.32</v>
      </c>
      <c r="C36" s="223">
        <f>SUM(C33:C35)</f>
        <v>524350.93999999994</v>
      </c>
      <c r="D36" s="223">
        <f t="shared" ref="D36:G36" si="16">SUM(D33:D35)</f>
        <v>-536449.89</v>
      </c>
      <c r="E36" s="223">
        <f t="shared" si="16"/>
        <v>37990.920000000006</v>
      </c>
      <c r="F36" s="223">
        <f t="shared" si="16"/>
        <v>1107372.29</v>
      </c>
      <c r="G36" s="223">
        <f t="shared" si="16"/>
        <v>322983.58</v>
      </c>
    </row>
    <row r="37" spans="1:7" x14ac:dyDescent="0.25">
      <c r="A37" s="30"/>
      <c r="B37" s="253"/>
      <c r="C37" s="253"/>
      <c r="D37" s="253"/>
      <c r="E37" s="253"/>
      <c r="F37" s="253"/>
      <c r="G37" s="253"/>
    </row>
    <row r="38" spans="1:7" s="39" customFormat="1" x14ac:dyDescent="0.25">
      <c r="A38" s="30"/>
      <c r="B38" s="258"/>
      <c r="C38" s="258"/>
      <c r="D38" s="258"/>
      <c r="E38" s="258"/>
      <c r="F38" s="258"/>
      <c r="G38" s="258"/>
    </row>
    <row r="39" spans="1:7" s="46" customFormat="1" x14ac:dyDescent="0.25">
      <c r="A39" s="257" t="s">
        <v>177</v>
      </c>
      <c r="B39" s="70"/>
      <c r="C39" s="70"/>
      <c r="D39" s="153"/>
    </row>
    <row r="40" spans="1:7" s="46" customFormat="1" x14ac:dyDescent="0.25">
      <c r="A40" s="20" t="s">
        <v>24</v>
      </c>
      <c r="B40" s="25">
        <v>0</v>
      </c>
      <c r="C40" s="25">
        <f>ROUND('[17]TD EO Ex Post Gross Adj'!CD370+'[19]TD EO Ex Post Gross Adj'!CD370,2)</f>
        <v>-188195.82</v>
      </c>
      <c r="D40" s="25">
        <f>ROUND('[17]TD EO NTG Adj'!CD384+'[19]TD EO NTG Adj'!CD384,2)</f>
        <v>-520190.41</v>
      </c>
      <c r="E40" s="248">
        <f>ROUND('[17]EO TD Carrying Costs'!BK63+'[19]EO TD Carrying Costs'!BK63,2)</f>
        <v>-19391.330000000002</v>
      </c>
      <c r="F40" s="232">
        <f>SUM(B40:E40)</f>
        <v>-727777.55999999994</v>
      </c>
      <c r="G40" s="249">
        <f>ROUND(F40/24*12,2)</f>
        <v>-363888.78</v>
      </c>
    </row>
    <row r="41" spans="1:7" s="46" customFormat="1" x14ac:dyDescent="0.25">
      <c r="A41" s="20" t="s">
        <v>25</v>
      </c>
      <c r="B41" s="222">
        <v>0</v>
      </c>
      <c r="C41" s="222">
        <f>SUM(C44:C46)</f>
        <v>185348.24</v>
      </c>
      <c r="D41" s="222">
        <f>SUM(D44:D46)</f>
        <v>-173130.57</v>
      </c>
      <c r="E41" s="250">
        <f>SUM(E44:E46)</f>
        <v>5685.3399999999992</v>
      </c>
      <c r="F41" s="232">
        <f>SUM(B41:E41)</f>
        <v>17903.009999999984</v>
      </c>
      <c r="G41" s="249">
        <f>ROUND(F41/24*12,2)</f>
        <v>8951.5</v>
      </c>
    </row>
    <row r="42" spans="1:7" s="46" customFormat="1" x14ac:dyDescent="0.25">
      <c r="A42" s="20" t="s">
        <v>5</v>
      </c>
      <c r="B42" s="223">
        <f t="shared" ref="B42:G42" si="17">SUM(B40:B41)</f>
        <v>0</v>
      </c>
      <c r="C42" s="223">
        <f t="shared" si="17"/>
        <v>-2847.5800000000163</v>
      </c>
      <c r="D42" s="223">
        <f t="shared" si="17"/>
        <v>-693320.98</v>
      </c>
      <c r="E42" s="251">
        <f t="shared" si="17"/>
        <v>-13705.990000000002</v>
      </c>
      <c r="F42" s="223">
        <f t="shared" si="17"/>
        <v>-709874.54999999993</v>
      </c>
      <c r="G42" s="252">
        <f t="shared" si="17"/>
        <v>-354937.28</v>
      </c>
    </row>
    <row r="43" spans="1:7" s="46" customFormat="1" x14ac:dyDescent="0.25">
      <c r="B43" s="220"/>
      <c r="C43" s="220"/>
      <c r="D43" s="221"/>
    </row>
    <row r="44" spans="1:7" s="46" customFormat="1" x14ac:dyDescent="0.25">
      <c r="A44" s="20" t="s">
        <v>107</v>
      </c>
      <c r="B44" s="25">
        <v>0</v>
      </c>
      <c r="C44" s="25">
        <f>ROUND('[17]TD EO Ex Post Gross Adj'!CD371+'[19]TD EO Ex Post Gross Adj'!CD371,2)</f>
        <v>87398.02</v>
      </c>
      <c r="D44" s="25">
        <f>ROUND('[17]TD EO NTG Adj'!CD385+'[19]TD EO NTG Adj'!CD385,2)</f>
        <v>-76386.149999999994</v>
      </c>
      <c r="E44" s="222">
        <f>ROUND('[17]EO TD Carrying Costs'!BK64+'[19]EO TD Carrying Costs'!BK64,2)</f>
        <v>2490.44</v>
      </c>
      <c r="F44" s="223">
        <f t="shared" ref="F44:F46" si="18">SUM(B44:E44)</f>
        <v>13502.31000000001</v>
      </c>
      <c r="G44" s="259">
        <f>ROUND(F44/24*12,2)</f>
        <v>6751.16</v>
      </c>
    </row>
    <row r="45" spans="1:7" s="46" customFormat="1" x14ac:dyDescent="0.25">
      <c r="A45" s="20" t="s">
        <v>108</v>
      </c>
      <c r="B45" s="25">
        <v>0</v>
      </c>
      <c r="C45" s="25">
        <f>ROUND('[17]TD EO Ex Post Gross Adj'!CD373+'[19]TD EO Ex Post Gross Adj'!CD373,2)</f>
        <v>89708.28</v>
      </c>
      <c r="D45" s="25">
        <f>ROUND('[17]TD EO NTG Adj'!CD387+'[19]TD EO NTG Adj'!CD387,2)</f>
        <v>-84622.720000000001</v>
      </c>
      <c r="E45" s="25">
        <f>ROUND('[17]EO TD Carrying Costs'!BK66+'[19]EO TD Carrying Costs'!BK66,2)</f>
        <v>2915.7</v>
      </c>
      <c r="F45" s="223">
        <f t="shared" si="18"/>
        <v>8001.2599999999975</v>
      </c>
      <c r="G45" s="259">
        <f t="shared" ref="G45:G46" si="19">ROUND(F45/24*12,2)</f>
        <v>4000.63</v>
      </c>
    </row>
    <row r="46" spans="1:7" s="46" customFormat="1" x14ac:dyDescent="0.25">
      <c r="A46" s="20" t="s">
        <v>109</v>
      </c>
      <c r="B46" s="222">
        <v>0</v>
      </c>
      <c r="C46" s="25">
        <f>ROUND('[17]TD EO Ex Post Gross Adj'!CD374+'[19]TD EO Ex Post Gross Adj'!CD374,2)</f>
        <v>8241.94</v>
      </c>
      <c r="D46" s="222">
        <f>ROUND('[17]TD EO NTG Adj'!CD388+'[19]TD EO NTG Adj'!CD388,2)</f>
        <v>-12121.7</v>
      </c>
      <c r="E46" s="222">
        <f>ROUND('[17]EO TD Carrying Costs'!BK67+'[19]EO TD Carrying Costs'!BK67,2)</f>
        <v>279.2</v>
      </c>
      <c r="F46" s="223">
        <f t="shared" si="18"/>
        <v>-3600.5600000000004</v>
      </c>
      <c r="G46" s="259">
        <f t="shared" si="19"/>
        <v>-1800.28</v>
      </c>
    </row>
    <row r="47" spans="1:7" s="46" customFormat="1" x14ac:dyDescent="0.25">
      <c r="A47" s="30" t="s">
        <v>111</v>
      </c>
      <c r="B47" s="223">
        <f>SUM(B44:B46)</f>
        <v>0</v>
      </c>
      <c r="C47" s="223">
        <f>SUM(C44:C46)</f>
        <v>185348.24</v>
      </c>
      <c r="D47" s="223">
        <f t="shared" ref="D47:G47" si="20">SUM(D44:D46)</f>
        <v>-173130.57</v>
      </c>
      <c r="E47" s="223">
        <f t="shared" si="20"/>
        <v>5685.3399999999992</v>
      </c>
      <c r="F47" s="223">
        <f t="shared" si="20"/>
        <v>17903.010000000006</v>
      </c>
      <c r="G47" s="223">
        <f t="shared" si="20"/>
        <v>8951.51</v>
      </c>
    </row>
    <row r="48" spans="1:7" s="46" customFormat="1" x14ac:dyDescent="0.25">
      <c r="A48" s="30"/>
      <c r="B48" s="253"/>
      <c r="C48" s="253"/>
      <c r="D48" s="253"/>
      <c r="E48" s="253"/>
      <c r="F48" s="253"/>
      <c r="G48" s="253"/>
    </row>
    <row r="49" spans="1:7" s="46" customFormat="1" x14ac:dyDescent="0.25">
      <c r="A49" s="257" t="s">
        <v>179</v>
      </c>
      <c r="B49" s="70"/>
      <c r="C49" s="70"/>
      <c r="D49" s="153"/>
    </row>
    <row r="50" spans="1:7" s="46" customFormat="1" x14ac:dyDescent="0.25">
      <c r="A50" s="20" t="s">
        <v>24</v>
      </c>
      <c r="B50" s="25">
        <v>0</v>
      </c>
      <c r="C50" s="25">
        <v>0</v>
      </c>
      <c r="D50" s="25">
        <v>0</v>
      </c>
      <c r="E50" s="248">
        <f>ROUND(SUM('[20]EO TD Carrying Costs'!$BJ$81:$BK$81,'[20]EO TD Carrying Costs'!$BL$55:$BQ$55)+SUM('[21]EO TD Carrying Costs'!$BJ$73:$BK$73,'[21]EO TD Carrying Costs'!$BL$55:$BQ$55),2)</f>
        <v>-10950.18</v>
      </c>
      <c r="F50" s="232">
        <f>SUM(B50:E50)</f>
        <v>-10950.18</v>
      </c>
      <c r="G50" s="249">
        <f>ROUND(F50/24*12,2)</f>
        <v>-5475.09</v>
      </c>
    </row>
    <row r="51" spans="1:7" s="46" customFormat="1" x14ac:dyDescent="0.25">
      <c r="A51" s="20" t="s">
        <v>25</v>
      </c>
      <c r="B51" s="222">
        <f t="shared" ref="B51:C51" si="21">SUM(B54:B56)</f>
        <v>0</v>
      </c>
      <c r="C51" s="222">
        <f t="shared" si="21"/>
        <v>0</v>
      </c>
      <c r="D51" s="222">
        <f>SUM(D54:D56)</f>
        <v>0</v>
      </c>
      <c r="E51" s="250">
        <f>SUM(E54:E56)</f>
        <v>1989.22</v>
      </c>
      <c r="F51" s="232">
        <f>SUM(B51:E51)</f>
        <v>1989.22</v>
      </c>
      <c r="G51" s="249">
        <f>SUM(G54:G56)</f>
        <v>994.62</v>
      </c>
    </row>
    <row r="52" spans="1:7" s="46" customFormat="1" x14ac:dyDescent="0.25">
      <c r="A52" s="20" t="s">
        <v>5</v>
      </c>
      <c r="B52" s="223">
        <f t="shared" ref="B52:G52" si="22">SUM(B50:B51)</f>
        <v>0</v>
      </c>
      <c r="C52" s="223">
        <f t="shared" si="22"/>
        <v>0</v>
      </c>
      <c r="D52" s="223">
        <f t="shared" si="22"/>
        <v>0</v>
      </c>
      <c r="E52" s="251">
        <f t="shared" si="22"/>
        <v>-8960.9600000000009</v>
      </c>
      <c r="F52" s="223">
        <f t="shared" si="22"/>
        <v>-8960.9600000000009</v>
      </c>
      <c r="G52" s="252">
        <f t="shared" si="22"/>
        <v>-4480.47</v>
      </c>
    </row>
    <row r="53" spans="1:7" s="46" customFormat="1" x14ac:dyDescent="0.25">
      <c r="B53" s="220"/>
      <c r="C53" s="220"/>
      <c r="D53" s="221"/>
    </row>
    <row r="54" spans="1:7" s="46" customFormat="1" x14ac:dyDescent="0.25">
      <c r="A54" s="20" t="s">
        <v>107</v>
      </c>
      <c r="B54" s="25">
        <v>0</v>
      </c>
      <c r="C54" s="25">
        <v>0</v>
      </c>
      <c r="D54" s="25">
        <v>0</v>
      </c>
      <c r="E54" s="222">
        <f>ROUND(SUM('[20]EO TD Carrying Costs'!$BJ$82:$BK$82,'[20]EO TD Carrying Costs'!$BL$56:$BQ$56)+SUM('[21]EO TD Carrying Costs'!$BJ$74:$BK$74,'[21]EO TD Carrying Costs'!$BL$56:$BQ$56),2)</f>
        <v>869.87</v>
      </c>
      <c r="F54" s="223">
        <f t="shared" ref="F54:F56" si="23">SUM(B54:E54)</f>
        <v>869.87</v>
      </c>
      <c r="G54" s="259">
        <f>ROUND(F54/24*12,2)</f>
        <v>434.94</v>
      </c>
    </row>
    <row r="55" spans="1:7" s="46" customFormat="1" x14ac:dyDescent="0.25">
      <c r="A55" s="20" t="s">
        <v>108</v>
      </c>
      <c r="B55" s="25">
        <v>0</v>
      </c>
      <c r="C55" s="25">
        <v>0</v>
      </c>
      <c r="D55" s="25">
        <v>0</v>
      </c>
      <c r="E55" s="25">
        <f>ROUND(SUM('[20]EO TD Carrying Costs'!$BJ$84:$BK$84,'[20]EO TD Carrying Costs'!$BL$58:$BQ$58)+SUM('[21]EO TD Carrying Costs'!$BJ$76:$BK$76,'[21]EO TD Carrying Costs'!$BL$58:$BQ$58),2)</f>
        <v>1045.55</v>
      </c>
      <c r="F55" s="223">
        <f t="shared" si="23"/>
        <v>1045.55</v>
      </c>
      <c r="G55" s="259">
        <f>ROUND(F55/24*12,2)</f>
        <v>522.78</v>
      </c>
    </row>
    <row r="56" spans="1:7" s="46" customFormat="1" x14ac:dyDescent="0.25">
      <c r="A56" s="20" t="s">
        <v>109</v>
      </c>
      <c r="B56" s="222">
        <v>0</v>
      </c>
      <c r="C56" s="25">
        <v>0</v>
      </c>
      <c r="D56" s="222">
        <v>0</v>
      </c>
      <c r="E56" s="222">
        <f>ROUND(SUM('[20]EO TD Carrying Costs'!$BJ$85:$BK$85,'[20]EO TD Carrying Costs'!$BL$59:$BQ$59)+SUM('[21]EO TD Carrying Costs'!$BJ$77:$BK$77,'[21]EO TD Carrying Costs'!$BL$59:$BQ$59),2)</f>
        <v>73.8</v>
      </c>
      <c r="F56" s="223">
        <f t="shared" si="23"/>
        <v>73.8</v>
      </c>
      <c r="G56" s="259">
        <f>ROUND(F56/24*12,2)</f>
        <v>36.9</v>
      </c>
    </row>
    <row r="57" spans="1:7" s="46" customFormat="1" x14ac:dyDescent="0.25">
      <c r="A57" s="30" t="s">
        <v>111</v>
      </c>
      <c r="B57" s="223">
        <f>SUM(B54:B56)</f>
        <v>0</v>
      </c>
      <c r="C57" s="223">
        <f>SUM(C54:C56)</f>
        <v>0</v>
      </c>
      <c r="D57" s="223">
        <f t="shared" ref="D57:G57" si="24">SUM(D54:D56)</f>
        <v>0</v>
      </c>
      <c r="E57" s="223">
        <f t="shared" si="24"/>
        <v>1989.22</v>
      </c>
      <c r="F57" s="223">
        <f t="shared" si="24"/>
        <v>1989.22</v>
      </c>
      <c r="G57" s="223">
        <f t="shared" si="24"/>
        <v>994.62</v>
      </c>
    </row>
    <row r="58" spans="1:7" s="46" customFormat="1" x14ac:dyDescent="0.25">
      <c r="A58" s="30"/>
      <c r="B58" s="253"/>
      <c r="C58" s="253"/>
      <c r="D58" s="253"/>
      <c r="E58" s="253"/>
      <c r="F58" s="253"/>
      <c r="G58" s="253"/>
    </row>
    <row r="59" spans="1:7" s="46" customFormat="1" x14ac:dyDescent="0.25">
      <c r="A59" s="30"/>
      <c r="B59" s="253"/>
      <c r="C59" s="253"/>
      <c r="D59" s="253"/>
      <c r="E59" s="253"/>
      <c r="F59" s="253"/>
      <c r="G59" s="253"/>
    </row>
    <row r="60" spans="1:7" s="46" customFormat="1" x14ac:dyDescent="0.25">
      <c r="A60" s="257" t="s">
        <v>194</v>
      </c>
      <c r="B60" s="70"/>
      <c r="C60" s="70"/>
      <c r="D60" s="153"/>
    </row>
    <row r="61" spans="1:7" s="46" customFormat="1" x14ac:dyDescent="0.25">
      <c r="A61" s="20" t="s">
        <v>24</v>
      </c>
      <c r="B61" s="25">
        <v>0</v>
      </c>
      <c r="C61" s="25">
        <v>0</v>
      </c>
      <c r="D61" s="25">
        <v>0</v>
      </c>
      <c r="E61" s="248">
        <f>ROUND(SUM('[20]EO TD Carrying Costs'!$BR$55:$BW$55)+SUM('[21]EO TD Carrying Costs'!$BR$55:$BW$55),2)</f>
        <v>-12711.64</v>
      </c>
      <c r="F61" s="232">
        <f>SUM(B61:E61)</f>
        <v>-12711.64</v>
      </c>
      <c r="G61" s="249">
        <f>ROUND(F61/24*11,2)</f>
        <v>-5826.17</v>
      </c>
    </row>
    <row r="62" spans="1:7" s="46" customFormat="1" x14ac:dyDescent="0.25">
      <c r="A62" s="20" t="s">
        <v>25</v>
      </c>
      <c r="B62" s="222">
        <f t="shared" ref="B62:C62" si="25">SUM(B65:B67)</f>
        <v>0</v>
      </c>
      <c r="C62" s="222">
        <f t="shared" si="25"/>
        <v>0</v>
      </c>
      <c r="D62" s="222">
        <f>SUM(D65:D67)</f>
        <v>0</v>
      </c>
      <c r="E62" s="250">
        <f>SUM(E65:E67)</f>
        <v>935.53000000000009</v>
      </c>
      <c r="F62" s="232">
        <f>SUM(B62:E62)</f>
        <v>935.53000000000009</v>
      </c>
      <c r="G62" s="249">
        <f>SUM(G65:G67)</f>
        <v>428.78</v>
      </c>
    </row>
    <row r="63" spans="1:7" s="46" customFormat="1" x14ac:dyDescent="0.25">
      <c r="A63" s="20" t="s">
        <v>5</v>
      </c>
      <c r="B63" s="223">
        <f t="shared" ref="B63:G63" si="26">SUM(B61:B62)</f>
        <v>0</v>
      </c>
      <c r="C63" s="223">
        <f t="shared" si="26"/>
        <v>0</v>
      </c>
      <c r="D63" s="223">
        <f t="shared" si="26"/>
        <v>0</v>
      </c>
      <c r="E63" s="251">
        <f t="shared" si="26"/>
        <v>-11776.109999999999</v>
      </c>
      <c r="F63" s="223">
        <f t="shared" si="26"/>
        <v>-11776.109999999999</v>
      </c>
      <c r="G63" s="252">
        <f t="shared" si="26"/>
        <v>-5397.39</v>
      </c>
    </row>
    <row r="64" spans="1:7" s="46" customFormat="1" x14ac:dyDescent="0.25">
      <c r="B64" s="220"/>
      <c r="C64" s="220"/>
      <c r="D64" s="221"/>
    </row>
    <row r="65" spans="1:7" s="46" customFormat="1" x14ac:dyDescent="0.25">
      <c r="A65" s="20" t="s">
        <v>107</v>
      </c>
      <c r="B65" s="25">
        <v>0</v>
      </c>
      <c r="C65" s="25">
        <v>0</v>
      </c>
      <c r="D65" s="25">
        <v>0</v>
      </c>
      <c r="E65" s="222">
        <f>ROUND(SUM('[20]EO TD Carrying Costs'!$BR$56:$BW$56)+SUM('[21]EO TD Carrying Costs'!$BR$56:$BW$56),2)</f>
        <v>463.05</v>
      </c>
      <c r="F65" s="223">
        <f t="shared" ref="F65:F67" si="27">SUM(B65:E65)</f>
        <v>463.05</v>
      </c>
      <c r="G65" s="259">
        <f>ROUND(F65/24*11,2)</f>
        <v>212.23</v>
      </c>
    </row>
    <row r="66" spans="1:7" s="46" customFormat="1" x14ac:dyDescent="0.25">
      <c r="A66" s="20" t="s">
        <v>108</v>
      </c>
      <c r="B66" s="25">
        <v>0</v>
      </c>
      <c r="C66" s="25">
        <v>0</v>
      </c>
      <c r="D66" s="25">
        <v>0</v>
      </c>
      <c r="E66" s="25">
        <f>ROUND(SUM('[20]EO TD Carrying Costs'!$BR$58:$BW$58)+SUM('[21]EO TD Carrying Costs'!$BR$58:$BW$58),2)</f>
        <v>489.36</v>
      </c>
      <c r="F66" s="223">
        <f t="shared" si="27"/>
        <v>489.36</v>
      </c>
      <c r="G66" s="259">
        <f>ROUND(F66/24*11,2)</f>
        <v>224.29</v>
      </c>
    </row>
    <row r="67" spans="1:7" s="46" customFormat="1" x14ac:dyDescent="0.25">
      <c r="A67" s="20" t="s">
        <v>109</v>
      </c>
      <c r="B67" s="222">
        <v>0</v>
      </c>
      <c r="C67" s="25">
        <v>0</v>
      </c>
      <c r="D67" s="222">
        <v>0</v>
      </c>
      <c r="E67" s="222">
        <f>ROUND(SUM('[20]EO TD Carrying Costs'!$BR$59:$BW$59)+SUM('[21]EO TD Carrying Costs'!$BR$59:$BW$59),2)</f>
        <v>-16.88</v>
      </c>
      <c r="F67" s="223">
        <f t="shared" si="27"/>
        <v>-16.88</v>
      </c>
      <c r="G67" s="259">
        <f>ROUND(F67/24*11,2)</f>
        <v>-7.74</v>
      </c>
    </row>
    <row r="68" spans="1:7" s="46" customFormat="1" x14ac:dyDescent="0.25">
      <c r="A68" s="30" t="s">
        <v>111</v>
      </c>
      <c r="B68" s="223">
        <f>SUM(B65:B67)</f>
        <v>0</v>
      </c>
      <c r="C68" s="223">
        <f>SUM(C65:C67)</f>
        <v>0</v>
      </c>
      <c r="D68" s="223">
        <f t="shared" ref="D68:G68" si="28">SUM(D65:D67)</f>
        <v>0</v>
      </c>
      <c r="E68" s="223">
        <f t="shared" si="28"/>
        <v>935.53000000000009</v>
      </c>
      <c r="F68" s="223">
        <f t="shared" si="28"/>
        <v>935.53000000000009</v>
      </c>
      <c r="G68" s="223">
        <f t="shared" si="28"/>
        <v>428.78</v>
      </c>
    </row>
    <row r="69" spans="1:7" s="46" customFormat="1" x14ac:dyDescent="0.25">
      <c r="A69" s="30"/>
      <c r="B69" s="253"/>
      <c r="C69" s="253"/>
      <c r="D69" s="253"/>
      <c r="E69" s="253"/>
      <c r="F69" s="253"/>
      <c r="G69" s="253"/>
    </row>
    <row r="70" spans="1:7" x14ac:dyDescent="0.25">
      <c r="A70" s="3" t="s">
        <v>158</v>
      </c>
      <c r="B70" s="46"/>
      <c r="D70" s="46"/>
      <c r="E70" s="46"/>
      <c r="F70" s="46"/>
      <c r="G70" s="46"/>
    </row>
    <row r="71" spans="1:7" x14ac:dyDescent="0.25">
      <c r="A71" s="3" t="s">
        <v>212</v>
      </c>
      <c r="B71" s="46"/>
      <c r="D71" s="46"/>
      <c r="E71" s="46"/>
      <c r="F71" s="46"/>
      <c r="G71" s="46"/>
    </row>
    <row r="72" spans="1:7" x14ac:dyDescent="0.25">
      <c r="A72" s="3" t="s">
        <v>213</v>
      </c>
      <c r="B72" s="46"/>
      <c r="D72" s="46"/>
      <c r="E72" s="46"/>
      <c r="F72" s="46"/>
      <c r="G72" s="46"/>
    </row>
    <row r="73" spans="1:7" x14ac:dyDescent="0.25">
      <c r="A73" s="3" t="s">
        <v>214</v>
      </c>
      <c r="B73" s="46"/>
      <c r="D73" s="46"/>
      <c r="E73" s="46"/>
      <c r="F73" s="46"/>
      <c r="G73" s="46"/>
    </row>
    <row r="74" spans="1:7" s="46" customFormat="1" x14ac:dyDescent="0.25">
      <c r="A74" s="3" t="s">
        <v>159</v>
      </c>
    </row>
    <row r="75" spans="1:7" s="46" customFormat="1" ht="60.6" customHeight="1" x14ac:dyDescent="0.25">
      <c r="A75" s="316" t="s">
        <v>220</v>
      </c>
      <c r="B75" s="316"/>
      <c r="C75" s="316"/>
      <c r="D75" s="316"/>
      <c r="E75" s="316"/>
      <c r="F75" s="316"/>
      <c r="G75" s="316"/>
    </row>
    <row r="76" spans="1:7" x14ac:dyDescent="0.25">
      <c r="A76" s="3"/>
      <c r="B76" s="46"/>
      <c r="D76" s="46"/>
      <c r="E76" s="46"/>
    </row>
    <row r="77" spans="1:7" s="46" customFormat="1" x14ac:dyDescent="0.25">
      <c r="A77" s="3"/>
    </row>
    <row r="78" spans="1:7" x14ac:dyDescent="0.25">
      <c r="A78" s="3"/>
    </row>
  </sheetData>
  <mergeCells count="2">
    <mergeCell ref="B3:D3"/>
    <mergeCell ref="A75:G75"/>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8475B-D546-4319-B398-EF50E74D6379}">
  <sheetPr>
    <pageSetUpPr fitToPage="1"/>
  </sheetPr>
  <dimension ref="A1:G57"/>
  <sheetViews>
    <sheetView workbookViewId="0">
      <pane xSplit="1" ySplit="4" topLeftCell="B29" activePane="bottomRight" state="frozen"/>
      <selection activeCell="K4" sqref="K4"/>
      <selection pane="topRight" activeCell="K4" sqref="K4"/>
      <selection pane="bottomLeft" activeCell="K4" sqref="K4"/>
      <selection pane="bottomRight" activeCell="E18" sqref="E18"/>
    </sheetView>
  </sheetViews>
  <sheetFormatPr defaultColWidth="8.7109375" defaultRowHeight="15" outlineLevelRow="1" x14ac:dyDescent="0.25"/>
  <cols>
    <col min="1" max="1" width="23.7109375" style="46" customWidth="1"/>
    <col min="2" max="2" width="15.28515625" style="46" bestFit="1" customWidth="1"/>
    <col min="3" max="3" width="14.28515625" style="46" customWidth="1"/>
    <col min="4" max="4" width="13.28515625" style="46" bestFit="1" customWidth="1"/>
    <col min="5" max="5" width="9.7109375" style="46" bestFit="1" customWidth="1"/>
    <col min="6" max="6" width="12.5703125" style="46" bestFit="1" customWidth="1"/>
    <col min="7" max="7" width="13.140625" style="46" customWidth="1"/>
    <col min="8" max="16384" width="8.7109375" style="46"/>
  </cols>
  <sheetData>
    <row r="1" spans="1:7" x14ac:dyDescent="0.25">
      <c r="A1" s="63" t="str">
        <f>+'PPC Cycle 3'!A1</f>
        <v>Evergy Missouri West, Inc. - DSIM Rider Update Filed 06/01/2022</v>
      </c>
    </row>
    <row r="2" spans="1:7" x14ac:dyDescent="0.25">
      <c r="A2" s="9" t="str">
        <f>+'PPC Cycle 3'!A2</f>
        <v>Projections for Cycle 3 July 2022 - June 2023 DSIM</v>
      </c>
    </row>
    <row r="3" spans="1:7" ht="45.75" customHeight="1" x14ac:dyDescent="0.25">
      <c r="B3" s="306" t="s">
        <v>166</v>
      </c>
      <c r="C3" s="306"/>
      <c r="D3" s="306"/>
    </row>
    <row r="4" spans="1:7" ht="90" x14ac:dyDescent="0.25">
      <c r="B4" s="70" t="s">
        <v>100</v>
      </c>
      <c r="C4" s="70" t="s">
        <v>101</v>
      </c>
      <c r="D4" s="70" t="s">
        <v>104</v>
      </c>
      <c r="E4" s="70" t="s">
        <v>102</v>
      </c>
      <c r="F4" s="70" t="s">
        <v>99</v>
      </c>
      <c r="G4" s="70" t="s">
        <v>168</v>
      </c>
    </row>
    <row r="5" spans="1:7" x14ac:dyDescent="0.25">
      <c r="A5" s="20"/>
      <c r="B5" s="70"/>
      <c r="C5" s="70"/>
      <c r="D5" s="154"/>
    </row>
    <row r="6" spans="1:7" x14ac:dyDescent="0.25">
      <c r="A6" s="257" t="s">
        <v>167</v>
      </c>
      <c r="B6" s="70"/>
      <c r="C6" s="70"/>
      <c r="D6" s="153"/>
    </row>
    <row r="7" spans="1:7" x14ac:dyDescent="0.25">
      <c r="A7" s="20" t="s">
        <v>24</v>
      </c>
      <c r="B7" s="232">
        <f>+B18+B29+B40</f>
        <v>1600473.26</v>
      </c>
      <c r="C7" s="232">
        <f t="shared" ref="C7:E7" si="0">+C18+C29+C40</f>
        <v>637729.25</v>
      </c>
      <c r="D7" s="232">
        <f t="shared" si="0"/>
        <v>-610325.68999999994</v>
      </c>
      <c r="E7" s="232">
        <f t="shared" si="0"/>
        <v>6888.34</v>
      </c>
      <c r="F7" s="232">
        <f>SUM(B7:E7)</f>
        <v>1634765.16</v>
      </c>
      <c r="G7" s="232">
        <f t="shared" ref="G7:G8" si="1">+G18+G29+G40</f>
        <v>953845.1100000001</v>
      </c>
    </row>
    <row r="8" spans="1:7" x14ac:dyDescent="0.25">
      <c r="A8" s="20" t="s">
        <v>25</v>
      </c>
      <c r="B8" s="232">
        <f t="shared" ref="B8:E8" si="2">+B19+B30+B41</f>
        <v>893810.55</v>
      </c>
      <c r="C8" s="232">
        <f t="shared" si="2"/>
        <v>65334.68</v>
      </c>
      <c r="D8" s="232">
        <f t="shared" si="2"/>
        <v>-21111.739999999998</v>
      </c>
      <c r="E8" s="232">
        <f t="shared" si="2"/>
        <v>747.71</v>
      </c>
      <c r="F8" s="232">
        <f>SUM(B8:E8)</f>
        <v>938781.20000000007</v>
      </c>
      <c r="G8" s="232">
        <f t="shared" si="1"/>
        <v>545775.15999999992</v>
      </c>
    </row>
    <row r="9" spans="1:7" x14ac:dyDescent="0.25">
      <c r="A9" s="20" t="s">
        <v>5</v>
      </c>
      <c r="B9" s="223">
        <f t="shared" ref="B9:G9" si="3">SUM(B7:B8)</f>
        <v>2494283.81</v>
      </c>
      <c r="C9" s="223">
        <f t="shared" si="3"/>
        <v>703063.93</v>
      </c>
      <c r="D9" s="223">
        <f t="shared" si="3"/>
        <v>-631437.42999999993</v>
      </c>
      <c r="E9" s="223">
        <f t="shared" si="3"/>
        <v>7636.05</v>
      </c>
      <c r="F9" s="223">
        <f t="shared" si="3"/>
        <v>2573546.36</v>
      </c>
      <c r="G9" s="223">
        <f t="shared" si="3"/>
        <v>1499620.27</v>
      </c>
    </row>
    <row r="10" spans="1:7" x14ac:dyDescent="0.25">
      <c r="B10" s="220"/>
      <c r="C10" s="220"/>
      <c r="D10" s="221"/>
    </row>
    <row r="11" spans="1:7" x14ac:dyDescent="0.25">
      <c r="A11" s="20" t="s">
        <v>107</v>
      </c>
      <c r="B11" s="223">
        <f t="shared" ref="B11:E13" si="4">+B22+B33+B44</f>
        <v>310910.24</v>
      </c>
      <c r="C11" s="223">
        <f t="shared" si="4"/>
        <v>41760.32</v>
      </c>
      <c r="D11" s="223">
        <f t="shared" si="4"/>
        <v>-9035.52</v>
      </c>
      <c r="E11" s="223">
        <f t="shared" si="4"/>
        <v>552.21</v>
      </c>
      <c r="F11" s="223">
        <f t="shared" ref="F11:F13" si="5">SUM(B11:E11)</f>
        <v>344187.25</v>
      </c>
      <c r="G11" s="223">
        <f t="shared" ref="G11:G13" si="6">+G22+G33+G44</f>
        <v>199568.38</v>
      </c>
    </row>
    <row r="12" spans="1:7" x14ac:dyDescent="0.25">
      <c r="A12" s="20" t="s">
        <v>108</v>
      </c>
      <c r="B12" s="223">
        <f t="shared" si="4"/>
        <v>318131.55</v>
      </c>
      <c r="C12" s="223">
        <f t="shared" si="4"/>
        <v>20317.830000000002</v>
      </c>
      <c r="D12" s="223">
        <f t="shared" si="4"/>
        <v>-6193.19</v>
      </c>
      <c r="E12" s="223">
        <f t="shared" si="4"/>
        <v>260.70999999999998</v>
      </c>
      <c r="F12" s="223">
        <f t="shared" si="5"/>
        <v>332516.90000000002</v>
      </c>
      <c r="G12" s="223">
        <f t="shared" si="6"/>
        <v>193353.03</v>
      </c>
    </row>
    <row r="13" spans="1:7" x14ac:dyDescent="0.25">
      <c r="A13" s="20" t="s">
        <v>109</v>
      </c>
      <c r="B13" s="223">
        <f t="shared" si="4"/>
        <v>264768.76</v>
      </c>
      <c r="C13" s="223">
        <f t="shared" si="4"/>
        <v>3256.5299999999997</v>
      </c>
      <c r="D13" s="223">
        <f t="shared" si="4"/>
        <v>-5883.03</v>
      </c>
      <c r="E13" s="223">
        <f t="shared" si="4"/>
        <v>-65.210000000000008</v>
      </c>
      <c r="F13" s="223">
        <f t="shared" si="5"/>
        <v>262077.05000000005</v>
      </c>
      <c r="G13" s="223">
        <f t="shared" si="6"/>
        <v>152853.75</v>
      </c>
    </row>
    <row r="14" spans="1:7" x14ac:dyDescent="0.25">
      <c r="A14" s="30" t="s">
        <v>111</v>
      </c>
      <c r="B14" s="223">
        <f>SUM(B11:B13)</f>
        <v>893810.55</v>
      </c>
      <c r="C14" s="223">
        <f>SUM(C11:C13)</f>
        <v>65334.68</v>
      </c>
      <c r="D14" s="223">
        <f t="shared" ref="D14:G14" si="7">SUM(D11:D13)</f>
        <v>-21111.739999999998</v>
      </c>
      <c r="E14" s="223">
        <f t="shared" si="7"/>
        <v>747.71</v>
      </c>
      <c r="F14" s="223">
        <f t="shared" si="7"/>
        <v>938781.20000000007</v>
      </c>
      <c r="G14" s="223">
        <f t="shared" si="7"/>
        <v>545775.16</v>
      </c>
    </row>
    <row r="15" spans="1:7" x14ac:dyDescent="0.25">
      <c r="A15" s="20"/>
      <c r="B15" s="70"/>
      <c r="C15" s="70"/>
      <c r="D15" s="153"/>
    </row>
    <row r="16" spans="1:7" x14ac:dyDescent="0.25">
      <c r="A16" s="20"/>
      <c r="B16" s="70"/>
      <c r="C16" s="70"/>
      <c r="D16" s="153"/>
    </row>
    <row r="17" spans="1:7" x14ac:dyDescent="0.25">
      <c r="A17" s="257" t="s">
        <v>178</v>
      </c>
      <c r="B17" s="70"/>
      <c r="C17" s="70"/>
      <c r="D17" s="153"/>
    </row>
    <row r="18" spans="1:7" x14ac:dyDescent="0.25">
      <c r="A18" s="20" t="s">
        <v>24</v>
      </c>
      <c r="B18" s="25">
        <f>ROUND('[22]EO Matrix @Meter'!$R$20,2)</f>
        <v>1600473.26</v>
      </c>
      <c r="C18" s="25">
        <f>ROUND(SUM('[23]Ex Post Gross TD Calc'!$E$571:$Z$571),2)</f>
        <v>575236.4</v>
      </c>
      <c r="D18" s="25">
        <f>ROUND(SUM('[23]NTG TD Calc'!$E$436:$Z$436),2)</f>
        <v>-545792.23</v>
      </c>
      <c r="E18" s="248">
        <f>ROUND(SUM('[23]EO TD Carrying Costs'!$C$55:$X$55),2)</f>
        <v>6704.6</v>
      </c>
      <c r="F18" s="232">
        <f>SUM(B18:E18)</f>
        <v>1636622.0300000003</v>
      </c>
      <c r="G18" s="249">
        <f>ROUND(F18/12*7,2)</f>
        <v>954696.18</v>
      </c>
    </row>
    <row r="19" spans="1:7" x14ac:dyDescent="0.25">
      <c r="A19" s="20" t="s">
        <v>25</v>
      </c>
      <c r="B19" s="222">
        <f>SUM(B22:B24)</f>
        <v>893810.55</v>
      </c>
      <c r="C19" s="222">
        <f t="shared" ref="C19:E19" si="8">SUM(C22:C24)</f>
        <v>48777.71</v>
      </c>
      <c r="D19" s="222">
        <f t="shared" si="8"/>
        <v>-18883.82</v>
      </c>
      <c r="E19" s="250">
        <f t="shared" si="8"/>
        <v>299.14999999999998</v>
      </c>
      <c r="F19" s="232">
        <f>SUM(B19:E19)</f>
        <v>924003.59000000008</v>
      </c>
      <c r="G19" s="249">
        <f>ROUND(F19/12*7,2)</f>
        <v>539002.09</v>
      </c>
    </row>
    <row r="20" spans="1:7" x14ac:dyDescent="0.25">
      <c r="A20" s="20" t="s">
        <v>5</v>
      </c>
      <c r="B20" s="223">
        <f t="shared" ref="B20:G20" si="9">SUM(B18:B19)</f>
        <v>2494283.81</v>
      </c>
      <c r="C20" s="223">
        <f t="shared" si="9"/>
        <v>624014.11</v>
      </c>
      <c r="D20" s="223">
        <f t="shared" si="9"/>
        <v>-564676.04999999993</v>
      </c>
      <c r="E20" s="251">
        <f t="shared" si="9"/>
        <v>7003.75</v>
      </c>
      <c r="F20" s="223">
        <f t="shared" si="9"/>
        <v>2560625.62</v>
      </c>
      <c r="G20" s="252">
        <f t="shared" si="9"/>
        <v>1493698.27</v>
      </c>
    </row>
    <row r="21" spans="1:7" x14ac:dyDescent="0.25">
      <c r="B21" s="220"/>
      <c r="C21" s="220"/>
      <c r="D21" s="221"/>
    </row>
    <row r="22" spans="1:7" x14ac:dyDescent="0.25">
      <c r="A22" s="20" t="s">
        <v>107</v>
      </c>
      <c r="B22" s="25">
        <f>ROUND('[22]EO Matrix @Meter'!$V$20,2)</f>
        <v>310910.24</v>
      </c>
      <c r="C22" s="25">
        <f>ROUND(SUM('[23]Ex Post Gross TD Calc'!$E$572:$Z$572),2)</f>
        <v>31691.65</v>
      </c>
      <c r="D22" s="25">
        <f>ROUND(SUM('[23]NTG TD Calc'!$E$437:$Z$437),2)</f>
        <v>-8282.43</v>
      </c>
      <c r="E22" s="222">
        <f>ROUND(SUM('[23]EO TD Carrying Costs'!$C$56:$X$56),2)</f>
        <v>207.66</v>
      </c>
      <c r="F22" s="223">
        <f t="shared" ref="F22:F24" si="10">SUM(B22:E22)</f>
        <v>334527.12</v>
      </c>
      <c r="G22" s="259">
        <f>ROUND(F22/12*7,2)</f>
        <v>195140.82</v>
      </c>
    </row>
    <row r="23" spans="1:7" x14ac:dyDescent="0.25">
      <c r="A23" s="20" t="s">
        <v>108</v>
      </c>
      <c r="B23" s="25">
        <f>ROUND('[22]EO Matrix @Meter'!$X$20,2)</f>
        <v>318131.55</v>
      </c>
      <c r="C23" s="25">
        <f>ROUND(SUM('[23]Ex Post Gross TD Calc'!$E$574:$Z$574),2)</f>
        <v>14779.57</v>
      </c>
      <c r="D23" s="25">
        <f>ROUND(SUM('[23]NTG TD Calc'!$E$439:$Z$439),2)</f>
        <v>-5434.16</v>
      </c>
      <c r="E23" s="25">
        <f>ROUND(SUM('[23]EO TD Carrying Costs'!$C$58:$X$58),2)</f>
        <v>118.71</v>
      </c>
      <c r="F23" s="223">
        <f t="shared" si="10"/>
        <v>327595.67000000004</v>
      </c>
      <c r="G23" s="259">
        <f>ROUND(F23/12*7,2)</f>
        <v>191097.47</v>
      </c>
    </row>
    <row r="24" spans="1:7" x14ac:dyDescent="0.25">
      <c r="A24" s="20" t="s">
        <v>109</v>
      </c>
      <c r="B24" s="222">
        <f>ROUND('[22]EO Matrix @Meter'!$Y$20,2)</f>
        <v>264768.76</v>
      </c>
      <c r="C24" s="222">
        <f>ROUND(SUM('[23]Ex Post Gross TD Calc'!$E$575:$Z$575),2)</f>
        <v>2306.4899999999998</v>
      </c>
      <c r="D24" s="222">
        <f>ROUND(SUM('[23]NTG TD Calc'!$E$440:$Z$440),2)</f>
        <v>-5167.2299999999996</v>
      </c>
      <c r="E24" s="222">
        <f>ROUND(SUM('[23]EO TD Carrying Costs'!$C$59:$X$59),2)</f>
        <v>-27.22</v>
      </c>
      <c r="F24" s="223">
        <f t="shared" si="10"/>
        <v>261880.8</v>
      </c>
      <c r="G24" s="259">
        <f>ROUND(F24/12*7,2)</f>
        <v>152763.79999999999</v>
      </c>
    </row>
    <row r="25" spans="1:7" x14ac:dyDescent="0.25">
      <c r="A25" s="30" t="s">
        <v>111</v>
      </c>
      <c r="B25" s="223">
        <f>SUM(B22:B24)</f>
        <v>893810.55</v>
      </c>
      <c r="C25" s="223">
        <f>SUM(C22:C24)</f>
        <v>48777.71</v>
      </c>
      <c r="D25" s="223">
        <f t="shared" ref="D25:G25" si="11">SUM(D22:D24)</f>
        <v>-18883.82</v>
      </c>
      <c r="E25" s="223">
        <f t="shared" si="11"/>
        <v>299.14999999999998</v>
      </c>
      <c r="F25" s="223">
        <f t="shared" si="11"/>
        <v>924003.59000000008</v>
      </c>
      <c r="G25" s="223">
        <f t="shared" si="11"/>
        <v>539002.09000000008</v>
      </c>
    </row>
    <row r="26" spans="1:7" s="39" customFormat="1" x14ac:dyDescent="0.25">
      <c r="A26" s="30"/>
      <c r="B26" s="258"/>
      <c r="C26" s="258"/>
      <c r="D26" s="258"/>
      <c r="E26" s="258"/>
      <c r="F26" s="258"/>
      <c r="G26" s="258"/>
    </row>
    <row r="27" spans="1:7" s="39" customFormat="1" x14ac:dyDescent="0.25">
      <c r="A27" s="30"/>
      <c r="B27" s="258"/>
      <c r="C27" s="258"/>
      <c r="D27" s="258"/>
      <c r="E27" s="258"/>
      <c r="F27" s="258"/>
      <c r="G27" s="258"/>
    </row>
    <row r="28" spans="1:7" x14ac:dyDescent="0.25">
      <c r="A28" s="299" t="s">
        <v>219</v>
      </c>
      <c r="B28" s="70"/>
      <c r="C28" s="70"/>
      <c r="D28" s="153"/>
    </row>
    <row r="29" spans="1:7" x14ac:dyDescent="0.25">
      <c r="A29" s="20" t="s">
        <v>24</v>
      </c>
      <c r="B29" s="25"/>
      <c r="C29" s="25">
        <f>ROUND(SUM('[23]Ex Post Gross TD Calc'!$AA$571:$AF$571),2)</f>
        <v>62492.85</v>
      </c>
      <c r="D29" s="25">
        <f>ROUND(SUM('[23]NTG TD Calc'!$AA$436:$AF$436),2)</f>
        <v>-64533.46</v>
      </c>
      <c r="E29" s="248">
        <f>ROUND(SUM('[23]EO TD Carrying Costs'!$Y$55:$AD$55),2)</f>
        <v>183.74</v>
      </c>
      <c r="F29" s="232">
        <f>SUM(B29:E29)</f>
        <v>-1856.8700000000006</v>
      </c>
      <c r="G29" s="249">
        <f>ROUND(F29/24*11,2)</f>
        <v>-851.07</v>
      </c>
    </row>
    <row r="30" spans="1:7" x14ac:dyDescent="0.25">
      <c r="A30" s="20" t="s">
        <v>25</v>
      </c>
      <c r="B30" s="222"/>
      <c r="C30" s="222">
        <f t="shared" ref="C30:E30" si="12">SUM(C33:C35)</f>
        <v>16556.97</v>
      </c>
      <c r="D30" s="222">
        <f t="shared" si="12"/>
        <v>-2227.92</v>
      </c>
      <c r="E30" s="250">
        <f t="shared" si="12"/>
        <v>448.56</v>
      </c>
      <c r="F30" s="232">
        <f>SUM(B30:E30)</f>
        <v>14777.61</v>
      </c>
      <c r="G30" s="249">
        <f>ROUND(F30/24*11,2)</f>
        <v>6773.07</v>
      </c>
    </row>
    <row r="31" spans="1:7" x14ac:dyDescent="0.25">
      <c r="A31" s="20" t="s">
        <v>5</v>
      </c>
      <c r="B31" s="223">
        <f t="shared" ref="B31:G31" si="13">SUM(B29:B30)</f>
        <v>0</v>
      </c>
      <c r="C31" s="223">
        <f t="shared" si="13"/>
        <v>79049.820000000007</v>
      </c>
      <c r="D31" s="223">
        <f t="shared" si="13"/>
        <v>-66761.38</v>
      </c>
      <c r="E31" s="251">
        <f t="shared" si="13"/>
        <v>632.29999999999995</v>
      </c>
      <c r="F31" s="223">
        <f t="shared" si="13"/>
        <v>12920.74</v>
      </c>
      <c r="G31" s="252">
        <f t="shared" si="13"/>
        <v>5922</v>
      </c>
    </row>
    <row r="32" spans="1:7" x14ac:dyDescent="0.25">
      <c r="B32" s="220"/>
      <c r="C32" s="220"/>
      <c r="D32" s="221"/>
    </row>
    <row r="33" spans="1:7" x14ac:dyDescent="0.25">
      <c r="A33" s="20" t="s">
        <v>107</v>
      </c>
      <c r="B33" s="25"/>
      <c r="C33" s="25">
        <f>ROUND(SUM('[23]Ex Post Gross TD Calc'!$AA$572:$AF$572),2)</f>
        <v>10068.67</v>
      </c>
      <c r="D33" s="25">
        <f>ROUND(SUM('[23]NTG TD Calc'!$AA$437:$AF$437),2)</f>
        <v>-753.09</v>
      </c>
      <c r="E33" s="222">
        <f>ROUND(SUM('[23]EO TD Carrying Costs'!$Y$56:$AD$56),2)</f>
        <v>344.55</v>
      </c>
      <c r="F33" s="223">
        <f t="shared" ref="F33:F35" si="14">SUM(B33:E33)</f>
        <v>9660.1299999999992</v>
      </c>
      <c r="G33" s="259">
        <f>ROUND(F33/24*11,2)</f>
        <v>4427.5600000000004</v>
      </c>
    </row>
    <row r="34" spans="1:7" x14ac:dyDescent="0.25">
      <c r="A34" s="20" t="s">
        <v>108</v>
      </c>
      <c r="B34" s="25"/>
      <c r="C34" s="25">
        <f>ROUND(SUM('[23]Ex Post Gross TD Calc'!$AA$574:$AF$574),2)</f>
        <v>5538.26</v>
      </c>
      <c r="D34" s="25">
        <f>ROUND(SUM('[23]NTG TD Calc'!$AA$439:$AF$439),2)</f>
        <v>-759.03</v>
      </c>
      <c r="E34" s="25">
        <f>ROUND(SUM('[23]EO TD Carrying Costs'!$Y$58:$AD$58),2)</f>
        <v>142</v>
      </c>
      <c r="F34" s="223">
        <f t="shared" si="14"/>
        <v>4921.2300000000005</v>
      </c>
      <c r="G34" s="259">
        <f>ROUND(F34/24*11,2)</f>
        <v>2255.56</v>
      </c>
    </row>
    <row r="35" spans="1:7" x14ac:dyDescent="0.25">
      <c r="A35" s="20" t="s">
        <v>109</v>
      </c>
      <c r="B35" s="222"/>
      <c r="C35" s="222">
        <f>ROUND(SUM('[23]Ex Post Gross TD Calc'!$AA$575:$AF$575),2)</f>
        <v>950.04</v>
      </c>
      <c r="D35" s="222">
        <f>ROUND(SUM('[23]NTG TD Calc'!$AA$440:$AF$440),2)</f>
        <v>-715.8</v>
      </c>
      <c r="E35" s="222">
        <f>ROUND(SUM('[23]EO TD Carrying Costs'!$Y$59:$AD$59),2)</f>
        <v>-37.99</v>
      </c>
      <c r="F35" s="223">
        <f t="shared" si="14"/>
        <v>196.25</v>
      </c>
      <c r="G35" s="259">
        <f>ROUND(F35/24*11,2)</f>
        <v>89.95</v>
      </c>
    </row>
    <row r="36" spans="1:7" x14ac:dyDescent="0.25">
      <c r="A36" s="30" t="s">
        <v>111</v>
      </c>
      <c r="B36" s="223">
        <f>SUM(B33:B35)</f>
        <v>0</v>
      </c>
      <c r="C36" s="223">
        <f>SUM(C33:C35)</f>
        <v>16556.97</v>
      </c>
      <c r="D36" s="223">
        <f t="shared" ref="D36:G36" si="15">SUM(D33:D35)</f>
        <v>-2227.92</v>
      </c>
      <c r="E36" s="223">
        <f t="shared" si="15"/>
        <v>448.56</v>
      </c>
      <c r="F36" s="223">
        <f t="shared" si="15"/>
        <v>14777.61</v>
      </c>
      <c r="G36" s="223">
        <f t="shared" si="15"/>
        <v>6773.0700000000006</v>
      </c>
    </row>
    <row r="37" spans="1:7" hidden="1" outlineLevel="1" x14ac:dyDescent="0.25">
      <c r="A37" s="30"/>
      <c r="B37" s="253"/>
      <c r="C37" s="253"/>
      <c r="D37" s="253"/>
      <c r="E37" s="253"/>
      <c r="F37" s="253"/>
      <c r="G37" s="253"/>
    </row>
    <row r="38" spans="1:7" s="39" customFormat="1" hidden="1" outlineLevel="1" x14ac:dyDescent="0.25">
      <c r="A38" s="30"/>
      <c r="B38" s="258"/>
      <c r="C38" s="258"/>
      <c r="D38" s="258"/>
      <c r="E38" s="258"/>
      <c r="F38" s="258"/>
      <c r="G38" s="258"/>
    </row>
    <row r="39" spans="1:7" hidden="1" outlineLevel="1" x14ac:dyDescent="0.25">
      <c r="A39" s="257" t="s">
        <v>169</v>
      </c>
      <c r="B39" s="70"/>
      <c r="C39" s="70"/>
      <c r="D39" s="153"/>
    </row>
    <row r="40" spans="1:7" hidden="1" outlineLevel="1" x14ac:dyDescent="0.25">
      <c r="A40" s="20" t="s">
        <v>24</v>
      </c>
      <c r="B40" s="25">
        <v>0</v>
      </c>
      <c r="C40" s="25"/>
      <c r="D40" s="25"/>
      <c r="E40" s="248"/>
      <c r="F40" s="232">
        <f>SUM(B40:E40)</f>
        <v>0</v>
      </c>
      <c r="G40" s="249">
        <f>ROUND(F40/24*12,2)</f>
        <v>0</v>
      </c>
    </row>
    <row r="41" spans="1:7" hidden="1" outlineLevel="1" x14ac:dyDescent="0.25">
      <c r="A41" s="20" t="s">
        <v>25</v>
      </c>
      <c r="B41" s="222">
        <v>0</v>
      </c>
      <c r="C41" s="222"/>
      <c r="D41" s="222"/>
      <c r="E41" s="250"/>
      <c r="F41" s="232">
        <f>SUM(B41:E41)</f>
        <v>0</v>
      </c>
      <c r="G41" s="249">
        <f>ROUND(F41/24*12,2)</f>
        <v>0</v>
      </c>
    </row>
    <row r="42" spans="1:7" hidden="1" outlineLevel="1" x14ac:dyDescent="0.25">
      <c r="A42" s="20" t="s">
        <v>5</v>
      </c>
      <c r="B42" s="223">
        <f t="shared" ref="B42:G42" si="16">SUM(B40:B41)</f>
        <v>0</v>
      </c>
      <c r="C42" s="223">
        <f t="shared" si="16"/>
        <v>0</v>
      </c>
      <c r="D42" s="223">
        <f t="shared" si="16"/>
        <v>0</v>
      </c>
      <c r="E42" s="251">
        <f t="shared" si="16"/>
        <v>0</v>
      </c>
      <c r="F42" s="223">
        <f t="shared" si="16"/>
        <v>0</v>
      </c>
      <c r="G42" s="252">
        <f t="shared" si="16"/>
        <v>0</v>
      </c>
    </row>
    <row r="43" spans="1:7" hidden="1" outlineLevel="1" x14ac:dyDescent="0.25">
      <c r="B43" s="220"/>
      <c r="C43" s="220"/>
      <c r="D43" s="221"/>
    </row>
    <row r="44" spans="1:7" hidden="1" outlineLevel="1" x14ac:dyDescent="0.25">
      <c r="A44" s="20" t="s">
        <v>107</v>
      </c>
      <c r="B44" s="25">
        <v>0</v>
      </c>
      <c r="C44" s="25"/>
      <c r="D44" s="25"/>
      <c r="E44" s="222"/>
      <c r="F44" s="223">
        <f t="shared" ref="F44:F46" si="17">SUM(B44:E44)</f>
        <v>0</v>
      </c>
      <c r="G44" s="259">
        <f>ROUND(F44/24*12,2)</f>
        <v>0</v>
      </c>
    </row>
    <row r="45" spans="1:7" hidden="1" outlineLevel="1" x14ac:dyDescent="0.25">
      <c r="A45" s="20" t="s">
        <v>108</v>
      </c>
      <c r="B45" s="25">
        <v>0</v>
      </c>
      <c r="C45" s="25"/>
      <c r="D45" s="25"/>
      <c r="E45" s="25"/>
      <c r="F45" s="223">
        <f t="shared" si="17"/>
        <v>0</v>
      </c>
      <c r="G45" s="259">
        <f t="shared" ref="G45:G46" si="18">ROUND(F45/24*12,2)</f>
        <v>0</v>
      </c>
    </row>
    <row r="46" spans="1:7" hidden="1" outlineLevel="1" x14ac:dyDescent="0.25">
      <c r="A46" s="20" t="s">
        <v>109</v>
      </c>
      <c r="B46" s="222">
        <v>0</v>
      </c>
      <c r="C46" s="25"/>
      <c r="D46" s="222"/>
      <c r="E46" s="222"/>
      <c r="F46" s="223">
        <f t="shared" si="17"/>
        <v>0</v>
      </c>
      <c r="G46" s="259">
        <f t="shared" si="18"/>
        <v>0</v>
      </c>
    </row>
    <row r="47" spans="1:7" hidden="1" outlineLevel="1" x14ac:dyDescent="0.25">
      <c r="A47" s="30" t="s">
        <v>111</v>
      </c>
      <c r="B47" s="223">
        <f>SUM(B44:B46)</f>
        <v>0</v>
      </c>
      <c r="C47" s="223">
        <f>SUM(C44:C46)</f>
        <v>0</v>
      </c>
      <c r="D47" s="223">
        <f t="shared" ref="D47:G47" si="19">SUM(D44:D46)</f>
        <v>0</v>
      </c>
      <c r="E47" s="223">
        <f t="shared" si="19"/>
        <v>0</v>
      </c>
      <c r="F47" s="223">
        <f t="shared" si="19"/>
        <v>0</v>
      </c>
      <c r="G47" s="223">
        <f t="shared" si="19"/>
        <v>0</v>
      </c>
    </row>
    <row r="48" spans="1:7" collapsed="1" x14ac:dyDescent="0.25">
      <c r="A48" s="30"/>
      <c r="B48" s="253"/>
      <c r="C48" s="253"/>
      <c r="D48" s="253"/>
      <c r="E48" s="253"/>
      <c r="F48" s="253"/>
      <c r="G48" s="253"/>
    </row>
    <row r="49" spans="1:7" x14ac:dyDescent="0.25">
      <c r="A49" s="3" t="s">
        <v>171</v>
      </c>
    </row>
    <row r="50" spans="1:7" x14ac:dyDescent="0.25">
      <c r="A50" s="3" t="s">
        <v>170</v>
      </c>
    </row>
    <row r="51" spans="1:7" x14ac:dyDescent="0.25">
      <c r="A51" s="3" t="s">
        <v>172</v>
      </c>
    </row>
    <row r="52" spans="1:7" x14ac:dyDescent="0.25">
      <c r="A52" s="3" t="s">
        <v>173</v>
      </c>
    </row>
    <row r="53" spans="1:7" x14ac:dyDescent="0.25">
      <c r="A53" s="3" t="s">
        <v>159</v>
      </c>
    </row>
    <row r="54" spans="1:7" ht="30.75" customHeight="1" x14ac:dyDescent="0.25">
      <c r="A54" s="316" t="s">
        <v>221</v>
      </c>
      <c r="B54" s="316"/>
      <c r="C54" s="316"/>
      <c r="D54" s="316"/>
      <c r="E54" s="316"/>
      <c r="F54" s="316"/>
      <c r="G54" s="316"/>
    </row>
    <row r="55" spans="1:7" x14ac:dyDescent="0.25">
      <c r="A55" s="3"/>
    </row>
    <row r="56" spans="1:7" x14ac:dyDescent="0.25">
      <c r="A56" s="3"/>
    </row>
    <row r="57" spans="1:7" x14ac:dyDescent="0.25">
      <c r="A57" s="3"/>
    </row>
  </sheetData>
  <mergeCells count="2">
    <mergeCell ref="B3:D3"/>
    <mergeCell ref="A54:G54"/>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pageSetUpPr fitToPage="1"/>
  </sheetPr>
  <dimension ref="A1:AH63"/>
  <sheetViews>
    <sheetView topLeftCell="E1" workbookViewId="0">
      <selection activeCell="O1" sqref="O1:O1048576"/>
    </sheetView>
  </sheetViews>
  <sheetFormatPr defaultColWidth="9.140625" defaultRowHeight="15" x14ac:dyDescent="0.25"/>
  <cols>
    <col min="1" max="1" width="37.7109375" style="46" customWidth="1"/>
    <col min="2" max="2" width="12.28515625" style="46" bestFit="1" customWidth="1"/>
    <col min="3" max="3" width="12.42578125" style="46" bestFit="1" customWidth="1"/>
    <col min="4" max="4" width="15.42578125" style="46" customWidth="1"/>
    <col min="5" max="5" width="15.85546875" style="46" bestFit="1" customWidth="1"/>
    <col min="6" max="6" width="12.28515625" style="46" bestFit="1" customWidth="1"/>
    <col min="7" max="8" width="13.28515625" style="46" bestFit="1" customWidth="1"/>
    <col min="9" max="9" width="12.28515625" style="46" bestFit="1" customWidth="1"/>
    <col min="10" max="10" width="12.5703125" style="46" customWidth="1"/>
    <col min="11" max="11" width="12.85546875" style="46" customWidth="1"/>
    <col min="12" max="12" width="16" style="46" customWidth="1"/>
    <col min="13" max="13" width="15" style="46" bestFit="1" customWidth="1"/>
    <col min="14" max="14" width="16" style="46" bestFit="1" customWidth="1"/>
    <col min="15" max="15" width="15.28515625" style="46" bestFit="1" customWidth="1"/>
    <col min="16" max="16" width="17.42578125" style="46" bestFit="1" customWidth="1"/>
    <col min="17" max="17" width="16.28515625" style="46" bestFit="1" customWidth="1"/>
    <col min="18" max="18" width="15.28515625" style="46" bestFit="1" customWidth="1"/>
    <col min="19" max="19" width="12.42578125" style="46" customWidth="1"/>
    <col min="20" max="21" width="14.28515625" style="46" bestFit="1" customWidth="1"/>
    <col min="22" max="16384" width="9.140625" style="46"/>
  </cols>
  <sheetData>
    <row r="1" spans="1:34" x14ac:dyDescent="0.25">
      <c r="A1" s="3" t="str">
        <f>+'PPC Cycle 3'!A1</f>
        <v>Evergy Missouri West, Inc. - DSIM Rider Update Filed 06/01/2022</v>
      </c>
      <c r="B1" s="3"/>
      <c r="C1" s="3"/>
    </row>
    <row r="2" spans="1:34" x14ac:dyDescent="0.25">
      <c r="D2" s="3" t="s">
        <v>140</v>
      </c>
    </row>
    <row r="3" spans="1:34" ht="30" x14ac:dyDescent="0.25">
      <c r="D3" s="48" t="s">
        <v>46</v>
      </c>
      <c r="E3" s="70" t="s">
        <v>58</v>
      </c>
      <c r="F3" s="48" t="s">
        <v>3</v>
      </c>
      <c r="G3" s="70" t="s">
        <v>55</v>
      </c>
      <c r="H3" s="48" t="s">
        <v>10</v>
      </c>
      <c r="I3" s="48" t="s">
        <v>59</v>
      </c>
      <c r="R3" s="48"/>
    </row>
    <row r="4" spans="1:34" x14ac:dyDescent="0.25">
      <c r="A4" s="20" t="s">
        <v>24</v>
      </c>
      <c r="B4" s="20"/>
      <c r="C4" s="20"/>
      <c r="D4" s="22">
        <f>SUM(C18:L18)</f>
        <v>18855.104660000005</v>
      </c>
      <c r="E4" s="22">
        <f>SUM(C24:K24)</f>
        <v>30527.680000000022</v>
      </c>
      <c r="F4" s="22">
        <f>E4-D4</f>
        <v>11672.575340000018</v>
      </c>
      <c r="G4" s="22">
        <f>+B38</f>
        <v>432142.47705999989</v>
      </c>
      <c r="H4" s="22">
        <f>SUM(C45:K45)</f>
        <v>4983.74</v>
      </c>
      <c r="I4" s="25">
        <f>SUM(F4:H4)</f>
        <v>448798.79239999992</v>
      </c>
      <c r="J4" s="47">
        <f>+I4-L38</f>
        <v>0</v>
      </c>
      <c r="M4" s="47"/>
    </row>
    <row r="5" spans="1:34" ht="15.75" thickBot="1" x14ac:dyDescent="0.3">
      <c r="A5" s="20" t="s">
        <v>25</v>
      </c>
      <c r="B5" s="20"/>
      <c r="C5" s="20"/>
      <c r="D5" s="22">
        <f>SUM(C19:L21)</f>
        <v>681216.68008999981</v>
      </c>
      <c r="E5" s="22">
        <f>SUM(C25:K27)</f>
        <v>768136.06000000041</v>
      </c>
      <c r="F5" s="22">
        <f>E5-D5</f>
        <v>86919.3799100006</v>
      </c>
      <c r="G5" s="22">
        <f>SUM(B39:B41)</f>
        <v>360189.11629000003</v>
      </c>
      <c r="H5" s="22">
        <f>SUM(C46:K48)</f>
        <v>5745.0599999999995</v>
      </c>
      <c r="I5" s="25">
        <f>SUM(F5:H5)</f>
        <v>452853.55620000063</v>
      </c>
      <c r="J5" s="47">
        <f>+I5-SUM(L39:L41)</f>
        <v>4.6566128730773926E-10</v>
      </c>
      <c r="M5" s="47"/>
    </row>
    <row r="6" spans="1:34" ht="16.5" thickTop="1" thickBot="1" x14ac:dyDescent="0.3">
      <c r="D6" s="27">
        <f t="shared" ref="D6:I6" si="0">SUM(D4:D5)</f>
        <v>700071.78474999976</v>
      </c>
      <c r="E6" s="27">
        <f t="shared" si="0"/>
        <v>798663.74000000046</v>
      </c>
      <c r="F6" s="27">
        <f t="shared" si="0"/>
        <v>98591.95525000061</v>
      </c>
      <c r="G6" s="27">
        <f t="shared" si="0"/>
        <v>792331.59334999998</v>
      </c>
      <c r="H6" s="27">
        <f t="shared" si="0"/>
        <v>10728.8</v>
      </c>
      <c r="I6" s="27">
        <f t="shared" si="0"/>
        <v>901652.34860000061</v>
      </c>
      <c r="S6" s="5"/>
    </row>
    <row r="7" spans="1:34" ht="45.75" thickTop="1" x14ac:dyDescent="0.25">
      <c r="I7" s="228"/>
      <c r="J7" s="227" t="s">
        <v>122</v>
      </c>
    </row>
    <row r="8" spans="1:34" ht="17.25" customHeight="1" x14ac:dyDescent="0.25">
      <c r="A8" s="20" t="s">
        <v>107</v>
      </c>
      <c r="I8" s="25">
        <f>ROUND($I$5*J8,2)</f>
        <v>177560.65</v>
      </c>
      <c r="J8" s="225">
        <f>+'PCR Cycle 2'!K8</f>
        <v>0.39209287804949344</v>
      </c>
    </row>
    <row r="9" spans="1:34" ht="17.25" customHeight="1" x14ac:dyDescent="0.25">
      <c r="A9" s="20" t="s">
        <v>108</v>
      </c>
      <c r="I9" s="25">
        <f t="shared" ref="I9:I10" si="1">ROUND($I$5*J9,2)</f>
        <v>205758.13</v>
      </c>
      <c r="J9" s="225">
        <f>+'PCR Cycle 2'!K9</f>
        <v>0.45435908608374953</v>
      </c>
    </row>
    <row r="10" spans="1:34" ht="17.25" customHeight="1" thickBot="1" x14ac:dyDescent="0.3">
      <c r="A10" s="20" t="s">
        <v>109</v>
      </c>
      <c r="I10" s="25">
        <f t="shared" si="1"/>
        <v>69534.77</v>
      </c>
      <c r="J10" s="225">
        <f>+'PCR Cycle 2'!K10</f>
        <v>0.15354803586675725</v>
      </c>
    </row>
    <row r="11" spans="1:34" ht="17.25" customHeight="1" thickTop="1" thickBot="1" x14ac:dyDescent="0.3">
      <c r="A11" s="20" t="s">
        <v>111</v>
      </c>
      <c r="I11" s="27">
        <f>SUM(I8:I10)</f>
        <v>452853.55000000005</v>
      </c>
      <c r="J11" s="226">
        <f>SUM(J8:J10)</f>
        <v>1.0000000000000002</v>
      </c>
    </row>
    <row r="12" spans="1:34" ht="16.5" thickTop="1" thickBot="1" x14ac:dyDescent="0.3">
      <c r="U12" s="4"/>
      <c r="V12" s="5"/>
    </row>
    <row r="13" spans="1:34" ht="120.75" thickBot="1" x14ac:dyDescent="0.3">
      <c r="B13" s="118" t="str">
        <f>+'PCR Cycle 2'!B13</f>
        <v>Cumulative Over/Under Carryover From 12/01/2021 Filing</v>
      </c>
      <c r="C13" s="152" t="str">
        <f>+'PCR Cycle 2'!C13</f>
        <v>Reverse November 2021 - April 2022  Forecast From 12/01/2021 Filing</v>
      </c>
      <c r="D13" s="322" t="s">
        <v>33</v>
      </c>
      <c r="E13" s="311"/>
      <c r="F13" s="312"/>
      <c r="G13" s="319" t="s">
        <v>33</v>
      </c>
      <c r="H13" s="320"/>
      <c r="I13" s="321"/>
      <c r="J13" s="307" t="s">
        <v>8</v>
      </c>
      <c r="K13" s="308"/>
      <c r="L13" s="309"/>
    </row>
    <row r="14" spans="1:34" x14ac:dyDescent="0.25">
      <c r="A14" s="46" t="s">
        <v>86</v>
      </c>
      <c r="C14" s="105"/>
      <c r="D14" s="19">
        <f>+'PCR Cycle 2'!D14</f>
        <v>44530</v>
      </c>
      <c r="E14" s="19">
        <f t="shared" ref="E14:L14" si="2">EOMONTH(D14,1)</f>
        <v>44561</v>
      </c>
      <c r="F14" s="19">
        <f t="shared" si="2"/>
        <v>44592</v>
      </c>
      <c r="G14" s="14">
        <f t="shared" si="2"/>
        <v>44620</v>
      </c>
      <c r="H14" s="19">
        <f t="shared" si="2"/>
        <v>44651</v>
      </c>
      <c r="I14" s="15">
        <f t="shared" si="2"/>
        <v>44681</v>
      </c>
      <c r="J14" s="19">
        <f t="shared" si="2"/>
        <v>44712</v>
      </c>
      <c r="K14" s="19">
        <f t="shared" si="2"/>
        <v>44742</v>
      </c>
      <c r="L14" s="15">
        <f t="shared" si="2"/>
        <v>44773</v>
      </c>
      <c r="Y14" s="1"/>
      <c r="Z14" s="1"/>
      <c r="AA14" s="1"/>
      <c r="AB14" s="1"/>
      <c r="AC14" s="1"/>
      <c r="AD14" s="1"/>
      <c r="AE14" s="1"/>
      <c r="AF14" s="1"/>
      <c r="AG14" s="1"/>
      <c r="AH14" s="1"/>
    </row>
    <row r="15" spans="1:34" x14ac:dyDescent="0.25">
      <c r="A15" s="46" t="s">
        <v>5</v>
      </c>
      <c r="C15" s="97">
        <v>-870906.3600000001</v>
      </c>
      <c r="D15" s="109">
        <f t="shared" ref="D15:K15" si="3">SUM(D24:D27)</f>
        <v>435453.18000000005</v>
      </c>
      <c r="E15" s="109">
        <f t="shared" si="3"/>
        <v>435453.18000000005</v>
      </c>
      <c r="F15" s="110">
        <f t="shared" si="3"/>
        <v>435453.18000000005</v>
      </c>
      <c r="G15" s="16">
        <f t="shared" si="3"/>
        <v>435079.79999999993</v>
      </c>
      <c r="H15" s="55">
        <f t="shared" si="3"/>
        <v>-17967.309999999998</v>
      </c>
      <c r="I15" s="165">
        <f t="shared" si="3"/>
        <v>-17967.309999999998</v>
      </c>
      <c r="J15" s="158">
        <f t="shared" si="3"/>
        <v>-17967.309999999998</v>
      </c>
      <c r="K15" s="78">
        <f t="shared" si="3"/>
        <v>-17967.309999999998</v>
      </c>
      <c r="L15" s="79"/>
    </row>
    <row r="16" spans="1:34" x14ac:dyDescent="0.25">
      <c r="C16" s="99"/>
      <c r="D16" s="17"/>
      <c r="E16" s="17"/>
      <c r="F16" s="17"/>
      <c r="G16" s="10"/>
      <c r="H16" s="17"/>
      <c r="I16" s="11"/>
      <c r="J16" s="31"/>
      <c r="K16" s="31"/>
      <c r="L16" s="29"/>
    </row>
    <row r="17" spans="1:14" x14ac:dyDescent="0.25">
      <c r="A17" s="46" t="s">
        <v>87</v>
      </c>
      <c r="C17" s="99"/>
      <c r="D17" s="18"/>
      <c r="E17" s="18"/>
      <c r="F17" s="18"/>
      <c r="G17" s="91"/>
      <c r="H17" s="18"/>
      <c r="I17" s="166"/>
      <c r="J17" s="31"/>
      <c r="K17" s="31"/>
      <c r="L17" s="29"/>
      <c r="M17" s="3" t="s">
        <v>50</v>
      </c>
      <c r="N17" s="39"/>
    </row>
    <row r="18" spans="1:14" x14ac:dyDescent="0.25">
      <c r="A18" s="46" t="s">
        <v>24</v>
      </c>
      <c r="C18" s="97">
        <v>-202963.08075999998</v>
      </c>
      <c r="D18" s="135">
        <f>ROUND('[6]Nov 2021'!$F60,2)</f>
        <v>47071.839999999997</v>
      </c>
      <c r="E18" s="135">
        <f>ROUND('[6]Dec 2021'!$F60,2)</f>
        <v>58516.71</v>
      </c>
      <c r="F18" s="135">
        <f>ROUND('[6]Jan 2022'!$F60,2)</f>
        <v>79455.8</v>
      </c>
      <c r="G18" s="186">
        <f>ROUND('[6]Feb 2022'!$F60,2)</f>
        <v>7047.05</v>
      </c>
      <c r="H18" s="121">
        <f>ROUND('[6]Mar 2022'!$F60,2)</f>
        <v>6268.21</v>
      </c>
      <c r="I18" s="167">
        <f>ROUND('[6]Apr 2022'!$F60,2)</f>
        <v>4912.13</v>
      </c>
      <c r="J18" s="123">
        <f>'PCR Cycle 2'!J26*$M18</f>
        <v>4467.9990599999992</v>
      </c>
      <c r="K18" s="41">
        <f>'PCR Cycle 2'!K26*$M18</f>
        <v>6194.3198799999991</v>
      </c>
      <c r="L18" s="61">
        <f>'PCR Cycle 2'!L26*$M18</f>
        <v>7884.126479999999</v>
      </c>
      <c r="M18" s="72">
        <v>1.9999999999999998E-5</v>
      </c>
      <c r="N18" s="4"/>
    </row>
    <row r="19" spans="1:14" x14ac:dyDescent="0.25">
      <c r="A19" s="46" t="s">
        <v>134</v>
      </c>
      <c r="C19" s="97">
        <v>-258688.62702000001</v>
      </c>
      <c r="D19" s="135">
        <f>ROUND('[6]Nov 2021'!$F61,2)</f>
        <v>80841.89</v>
      </c>
      <c r="E19" s="135">
        <f>ROUND('[6]Dec 2021'!$F61,2)</f>
        <v>87249.19</v>
      </c>
      <c r="F19" s="135">
        <f>ROUND('[6]Jan 2022'!$F61,2)</f>
        <v>101653.31</v>
      </c>
      <c r="G19" s="186">
        <f>ROUND('[6]Feb 2022'!$F61,2)</f>
        <v>53052.97</v>
      </c>
      <c r="H19" s="121">
        <f>ROUND('[6]Mar 2022'!$F61,2)</f>
        <v>52864.62</v>
      </c>
      <c r="I19" s="167">
        <f>ROUND('[6]Apr 2022'!$F61,2)</f>
        <v>46580.31</v>
      </c>
      <c r="J19" s="123">
        <f>'PCR Cycle 2'!J27*$M19</f>
        <v>44905.369500000001</v>
      </c>
      <c r="K19" s="41">
        <f>'PCR Cycle 2'!K27*$M19</f>
        <v>46114.424500000001</v>
      </c>
      <c r="L19" s="61">
        <f>'PCR Cycle 2'!L27*$M19</f>
        <v>48763.950000000004</v>
      </c>
      <c r="M19" s="72">
        <v>5.0000000000000001E-4</v>
      </c>
      <c r="N19" s="4"/>
    </row>
    <row r="20" spans="1:14" x14ac:dyDescent="0.25">
      <c r="A20" s="46" t="s">
        <v>135</v>
      </c>
      <c r="C20" s="97">
        <v>-288104.09368000005</v>
      </c>
      <c r="D20" s="135">
        <f>ROUND('[6]Nov 2021'!$F62,2)</f>
        <v>90802.73</v>
      </c>
      <c r="E20" s="135">
        <f>ROUND('[6]Dec 2021'!$F62,2)</f>
        <v>91115.77</v>
      </c>
      <c r="F20" s="135">
        <f>ROUND('[6]Jan 2022'!$F62,2)</f>
        <v>100625.95</v>
      </c>
      <c r="G20" s="186">
        <f>ROUND('[6]Feb 2022'!$F62,2)</f>
        <v>51013.41</v>
      </c>
      <c r="H20" s="121">
        <f>ROUND('[6]Mar 2022'!$F62,2)</f>
        <v>50032.67</v>
      </c>
      <c r="I20" s="167">
        <f>ROUND('[6]Apr 2022'!$F62,2)</f>
        <v>47993.2</v>
      </c>
      <c r="J20" s="123">
        <f>'PCR Cycle 2'!J28*$M20</f>
        <v>48271.385679999992</v>
      </c>
      <c r="K20" s="41">
        <f>'PCR Cycle 2'!K28*$M20</f>
        <v>49571.068399999996</v>
      </c>
      <c r="L20" s="61">
        <f>'PCR Cycle 2'!L28*$M20</f>
        <v>52419.197599999992</v>
      </c>
      <c r="M20" s="72">
        <v>5.5999999999999995E-4</v>
      </c>
      <c r="N20" s="4"/>
    </row>
    <row r="21" spans="1:14" x14ac:dyDescent="0.25">
      <c r="A21" s="46" t="s">
        <v>136</v>
      </c>
      <c r="C21" s="97">
        <v>-99687.592170000018</v>
      </c>
      <c r="D21" s="135">
        <f>ROUND('[6]Nov 2021'!$F63,2)</f>
        <v>31309.29</v>
      </c>
      <c r="E21" s="135">
        <f>ROUND('[6]Dec 2021'!$F63,2)</f>
        <v>30417.57</v>
      </c>
      <c r="F21" s="135">
        <f>ROUND('[6]Jan 2022'!$F63,2)</f>
        <v>30460.22</v>
      </c>
      <c r="G21" s="186">
        <f>ROUND('[6]Feb 2022'!$F63,2)</f>
        <v>14294.34</v>
      </c>
      <c r="H21" s="121">
        <f>ROUND('[6]Mar 2022'!$F63,2)</f>
        <v>14751.62</v>
      </c>
      <c r="I21" s="167">
        <f>ROUND('[6]Apr 2022'!$F63,2)</f>
        <v>15204.43</v>
      </c>
      <c r="J21" s="123">
        <f>'PCR Cycle 2'!J29*$M21</f>
        <v>15223.37592</v>
      </c>
      <c r="K21" s="41">
        <f>'PCR Cycle 2'!K29*$M21</f>
        <v>15633.257520000001</v>
      </c>
      <c r="L21" s="61">
        <f>'PCR Cycle 2'!L29*$M21</f>
        <v>16531.473839999999</v>
      </c>
      <c r="M21" s="72">
        <v>2.4000000000000001E-4</v>
      </c>
      <c r="N21" s="4"/>
    </row>
    <row r="22" spans="1:14" x14ac:dyDescent="0.25">
      <c r="C22" s="67"/>
      <c r="D22" s="68"/>
      <c r="E22" s="68"/>
      <c r="F22" s="68"/>
      <c r="G22" s="67"/>
      <c r="H22" s="68"/>
      <c r="I22" s="168"/>
      <c r="J22" s="56"/>
      <c r="K22" s="56"/>
      <c r="L22" s="13"/>
      <c r="N22" s="4"/>
    </row>
    <row r="23" spans="1:14" x14ac:dyDescent="0.25">
      <c r="A23" s="46" t="s">
        <v>89</v>
      </c>
      <c r="C23" s="36"/>
      <c r="D23" s="37"/>
      <c r="E23" s="37"/>
      <c r="F23" s="37"/>
      <c r="G23" s="36"/>
      <c r="H23" s="37"/>
      <c r="I23" s="171"/>
      <c r="J23" s="52"/>
      <c r="K23" s="52"/>
      <c r="L23" s="38"/>
    </row>
    <row r="24" spans="1:14" x14ac:dyDescent="0.25">
      <c r="A24" s="46" t="s">
        <v>24</v>
      </c>
      <c r="C24" s="97">
        <v>-290730.62</v>
      </c>
      <c r="D24" s="109">
        <f>ROUND('EO Cycle 2'!$F$18/24+'EO Cycle 2'!$F$29/24+'EO Cycle 2'!$F$40/24,2)</f>
        <v>145365.31</v>
      </c>
      <c r="E24" s="109">
        <f>ROUND('EO Cycle 2'!$F$18/24+'EO Cycle 2'!$F$29/24+'EO Cycle 2'!$F$40/24,2)</f>
        <v>145365.31</v>
      </c>
      <c r="F24" s="110">
        <f>ROUND('EO Cycle 2'!$F$18/24+'EO Cycle 2'!$F$29/24+'EO Cycle 2'!$F$40/24,2)</f>
        <v>145365.31</v>
      </c>
      <c r="G24" s="16">
        <f>ROUND('EO Cycle 2'!$F$18/24+'EO Cycle 2'!$F$29/24+'EO Cycle 2'!$F$40/24+'EO Cycle 2'!$F$50/24,2)</f>
        <v>144909.04999999999</v>
      </c>
      <c r="H24" s="55">
        <f>ROUND(+'EO Cycle 2'!$F$29/24+'EO Cycle 2'!$F$40/24+'EO Cycle 2'!$F$50/24,2)</f>
        <v>-64936.67</v>
      </c>
      <c r="I24" s="165">
        <f>ROUND(+'EO Cycle 2'!$F$29/24+'EO Cycle 2'!$F$40/24+'EO Cycle 2'!$F$50/24,2)</f>
        <v>-64936.67</v>
      </c>
      <c r="J24" s="160">
        <f>ROUND(+'EO Cycle 2'!$F$29/24+'EO Cycle 2'!$F$40/24+'EO Cycle 2'!$F$50/24,2)</f>
        <v>-64936.67</v>
      </c>
      <c r="K24" s="142">
        <f>ROUND(+'EO Cycle 2'!$F$29/24+'EO Cycle 2'!$F$40/24+'EO Cycle 2'!$F$50/24,2)</f>
        <v>-64936.67</v>
      </c>
      <c r="L24" s="79"/>
    </row>
    <row r="25" spans="1:14" x14ac:dyDescent="0.25">
      <c r="A25" s="46" t="s">
        <v>134</v>
      </c>
      <c r="C25" s="97">
        <v>-231706.36</v>
      </c>
      <c r="D25" s="109">
        <f>ROUND('EO Cycle 2'!$F$22/24+'EO Cycle 2'!$F$33/24+'EO Cycle 2'!$F$44/24,2)</f>
        <v>115853.18</v>
      </c>
      <c r="E25" s="109">
        <f>ROUND('EO Cycle 2'!$F$22/24+'EO Cycle 2'!$F$33/24+'EO Cycle 2'!$F$44/24,2)</f>
        <v>115853.18</v>
      </c>
      <c r="F25" s="110">
        <f>ROUND('EO Cycle 2'!$F$22/24+'EO Cycle 2'!$F$33/24+'EO Cycle 2'!$F$44/24,2)</f>
        <v>115853.18</v>
      </c>
      <c r="G25" s="16">
        <f>ROUND('EO Cycle 2'!$F$22/24+'EO Cycle 2'!$F$33/24+'EO Cycle 2'!$F$44/24+'EO Cycle 2'!$F$54/24,2)</f>
        <v>115889.42</v>
      </c>
      <c r="H25" s="55">
        <f>ROUND(+'EO Cycle 2'!$F$33/24+'EO Cycle 2'!$F$44/24+'EO Cycle 2'!$F$54/24,2)</f>
        <v>19827.28</v>
      </c>
      <c r="I25" s="165">
        <f>ROUND(+'EO Cycle 2'!$F$33/24+'EO Cycle 2'!$F$44/24+'EO Cycle 2'!$F$54/24,2)</f>
        <v>19827.28</v>
      </c>
      <c r="J25" s="160">
        <f>ROUND(+'EO Cycle 2'!$F$33/24+'EO Cycle 2'!$F$44/24+'EO Cycle 2'!$F$54/24,2)</f>
        <v>19827.28</v>
      </c>
      <c r="K25" s="142">
        <f>ROUND(+'EO Cycle 2'!$F$33/24+'EO Cycle 2'!$F$44/24+'EO Cycle 2'!$F$54/24,2)</f>
        <v>19827.28</v>
      </c>
      <c r="L25" s="79"/>
    </row>
    <row r="26" spans="1:14" x14ac:dyDescent="0.25">
      <c r="A26" s="46" t="s">
        <v>135</v>
      </c>
      <c r="C26" s="97">
        <v>-257337.82</v>
      </c>
      <c r="D26" s="109">
        <f>ROUND('EO Cycle 2'!$F$23/24+'EO Cycle 2'!$F$34/24+'EO Cycle 2'!$F$45/24,2)</f>
        <v>128668.91</v>
      </c>
      <c r="E26" s="109">
        <f>ROUND('EO Cycle 2'!$F$23/24+'EO Cycle 2'!$F$34/24+'EO Cycle 2'!$F$45/24,2)</f>
        <v>128668.91</v>
      </c>
      <c r="F26" s="110">
        <f>ROUND('EO Cycle 2'!$F$23/24+'EO Cycle 2'!$F$34/24+'EO Cycle 2'!$F$45/24,2)</f>
        <v>128668.91</v>
      </c>
      <c r="G26" s="16">
        <f>ROUND('EO Cycle 2'!$F$23/24+'EO Cycle 2'!$F$34/24+'EO Cycle 2'!$F$45/24+'EO Cycle 2'!$F$55/24,2)</f>
        <v>128712.48</v>
      </c>
      <c r="H26" s="55">
        <f>ROUND(+'EO Cycle 2'!$F$34/24+'EO Cycle 2'!$F$45/24+'EO Cycle 2'!$F$55/24,2)</f>
        <v>21968.18</v>
      </c>
      <c r="I26" s="165">
        <f>ROUND(+'EO Cycle 2'!$F$34/24+'EO Cycle 2'!$F$45/24+'EO Cycle 2'!$F$55/24,2)</f>
        <v>21968.18</v>
      </c>
      <c r="J26" s="160">
        <f>ROUND(+'EO Cycle 2'!$F$34/24+'EO Cycle 2'!$F$45/24+'EO Cycle 2'!$F$55/24,2)</f>
        <v>21968.18</v>
      </c>
      <c r="K26" s="142">
        <f>ROUND(+'EO Cycle 2'!$F$34/24+'EO Cycle 2'!$F$45/24+'EO Cycle 2'!$F$55/24,2)</f>
        <v>21968.18</v>
      </c>
      <c r="L26" s="79"/>
    </row>
    <row r="27" spans="1:14" x14ac:dyDescent="0.25">
      <c r="A27" s="46" t="s">
        <v>136</v>
      </c>
      <c r="C27" s="97">
        <v>-91131.56</v>
      </c>
      <c r="D27" s="109">
        <f>ROUND('EO Cycle 2'!$F$24/24+'EO Cycle 2'!$F$35/24+'EO Cycle 2'!$F$46/24,2)</f>
        <v>45565.78</v>
      </c>
      <c r="E27" s="109">
        <f>ROUND('EO Cycle 2'!$F$24/24+'EO Cycle 2'!$F$35/24+'EO Cycle 2'!$F$46/24,2)</f>
        <v>45565.78</v>
      </c>
      <c r="F27" s="110">
        <f>ROUND('EO Cycle 2'!$F$24/24+'EO Cycle 2'!$F$35/24+'EO Cycle 2'!$F$46/24,2)</f>
        <v>45565.78</v>
      </c>
      <c r="G27" s="16">
        <f>ROUND('EO Cycle 2'!$F$24/24+'EO Cycle 2'!$F$35/24+'EO Cycle 2'!$F$46/24+'EO Cycle 2'!$F$56/24,2)</f>
        <v>45568.85</v>
      </c>
      <c r="H27" s="55">
        <f>ROUND(+'EO Cycle 2'!$F$35/24+'EO Cycle 2'!$F$46/24+'EO Cycle 2'!$F$56/24,2)</f>
        <v>5173.8999999999996</v>
      </c>
      <c r="I27" s="165">
        <f>ROUND(+'EO Cycle 2'!$F$35/24+'EO Cycle 2'!$F$46/24+'EO Cycle 2'!$F$56/24,2)</f>
        <v>5173.8999999999996</v>
      </c>
      <c r="J27" s="160">
        <f>ROUND(+'EO Cycle 2'!$F$35/24+'EO Cycle 2'!$F$46/24+'EO Cycle 2'!$F$56/24,2)</f>
        <v>5173.8999999999996</v>
      </c>
      <c r="K27" s="142">
        <f>ROUND(+'EO Cycle 2'!$F$35/24+'EO Cycle 2'!$F$46/24+'EO Cycle 2'!$F$56/24,2)</f>
        <v>5173.8999999999996</v>
      </c>
      <c r="L27" s="79"/>
      <c r="N27" s="47"/>
    </row>
    <row r="28" spans="1:14" x14ac:dyDescent="0.25">
      <c r="C28" s="99"/>
      <c r="D28" s="18"/>
      <c r="E28" s="18"/>
      <c r="F28" s="18"/>
      <c r="G28" s="91"/>
      <c r="H28" s="18"/>
      <c r="I28" s="166"/>
      <c r="J28" s="56"/>
      <c r="K28" s="56"/>
      <c r="L28" s="13"/>
    </row>
    <row r="29" spans="1:14" ht="15.75" thickBot="1" x14ac:dyDescent="0.3">
      <c r="A29" s="3" t="s">
        <v>14</v>
      </c>
      <c r="B29" s="3"/>
      <c r="C29" s="103">
        <v>-2092.14</v>
      </c>
      <c r="D29" s="135">
        <v>962.06</v>
      </c>
      <c r="E29" s="135">
        <v>1172.46</v>
      </c>
      <c r="F29" s="136">
        <v>1340.06</v>
      </c>
      <c r="G29" s="26">
        <v>1648.78</v>
      </c>
      <c r="H29" s="122">
        <v>2044.27</v>
      </c>
      <c r="I29" s="172">
        <v>2084.86</v>
      </c>
      <c r="J29" s="161">
        <v>1882.44</v>
      </c>
      <c r="K29" s="144">
        <v>1674.62</v>
      </c>
      <c r="L29" s="82"/>
    </row>
    <row r="30" spans="1:14" x14ac:dyDescent="0.25">
      <c r="C30" s="64"/>
      <c r="D30" s="148"/>
      <c r="E30" s="148"/>
      <c r="F30" s="149"/>
      <c r="G30" s="64"/>
      <c r="H30" s="33"/>
      <c r="I30" s="173"/>
      <c r="J30" s="34"/>
      <c r="K30" s="34"/>
      <c r="L30" s="60"/>
    </row>
    <row r="31" spans="1:14" x14ac:dyDescent="0.25">
      <c r="A31" s="46" t="s">
        <v>52</v>
      </c>
      <c r="C31" s="65"/>
      <c r="D31" s="149"/>
      <c r="E31" s="149"/>
      <c r="F31" s="149"/>
      <c r="G31" s="65"/>
      <c r="H31" s="35"/>
      <c r="I31" s="174"/>
      <c r="J31" s="34"/>
      <c r="K31" s="34"/>
      <c r="L31" s="60"/>
    </row>
    <row r="32" spans="1:14" x14ac:dyDescent="0.25">
      <c r="A32" s="46" t="s">
        <v>24</v>
      </c>
      <c r="C32" s="100">
        <f t="shared" ref="C32:L32" si="4">C24-C18</f>
        <v>-87767.539240000013</v>
      </c>
      <c r="D32" s="41">
        <f t="shared" si="4"/>
        <v>98293.47</v>
      </c>
      <c r="E32" s="41">
        <f t="shared" si="4"/>
        <v>86848.6</v>
      </c>
      <c r="F32" s="108">
        <f t="shared" si="4"/>
        <v>65909.509999999995</v>
      </c>
      <c r="G32" s="40">
        <f t="shared" si="4"/>
        <v>137862</v>
      </c>
      <c r="H32" s="41">
        <f t="shared" si="4"/>
        <v>-71204.88</v>
      </c>
      <c r="I32" s="61">
        <f t="shared" si="4"/>
        <v>-69848.800000000003</v>
      </c>
      <c r="J32" s="123">
        <f t="shared" si="4"/>
        <v>-69404.66906</v>
      </c>
      <c r="K32" s="41">
        <f t="shared" si="4"/>
        <v>-71130.989879999994</v>
      </c>
      <c r="L32" s="61">
        <f t="shared" si="4"/>
        <v>-7884.126479999999</v>
      </c>
    </row>
    <row r="33" spans="1:12" x14ac:dyDescent="0.25">
      <c r="A33" s="46" t="s">
        <v>134</v>
      </c>
      <c r="C33" s="100">
        <f t="shared" ref="C33:L33" si="5">C25-C19</f>
        <v>26982.267020000028</v>
      </c>
      <c r="D33" s="41">
        <f t="shared" si="5"/>
        <v>35011.289999999994</v>
      </c>
      <c r="E33" s="41">
        <f t="shared" si="5"/>
        <v>28603.989999999991</v>
      </c>
      <c r="F33" s="108">
        <f t="shared" si="5"/>
        <v>14199.869999999995</v>
      </c>
      <c r="G33" s="40">
        <f t="shared" si="5"/>
        <v>62836.45</v>
      </c>
      <c r="H33" s="41">
        <f t="shared" si="5"/>
        <v>-33037.340000000004</v>
      </c>
      <c r="I33" s="61">
        <f t="shared" si="5"/>
        <v>-26753.03</v>
      </c>
      <c r="J33" s="123">
        <f t="shared" si="5"/>
        <v>-25078.089500000002</v>
      </c>
      <c r="K33" s="41">
        <f t="shared" si="5"/>
        <v>-26287.144500000002</v>
      </c>
      <c r="L33" s="61">
        <f t="shared" si="5"/>
        <v>-48763.950000000004</v>
      </c>
    </row>
    <row r="34" spans="1:12" x14ac:dyDescent="0.25">
      <c r="A34" s="46" t="s">
        <v>135</v>
      </c>
      <c r="C34" s="100">
        <f t="shared" ref="C34:L34" si="6">C26-C20</f>
        <v>30766.273680000042</v>
      </c>
      <c r="D34" s="41">
        <f t="shared" si="6"/>
        <v>37866.180000000008</v>
      </c>
      <c r="E34" s="41">
        <f t="shared" si="6"/>
        <v>37553.14</v>
      </c>
      <c r="F34" s="108">
        <f t="shared" si="6"/>
        <v>28042.960000000006</v>
      </c>
      <c r="G34" s="40">
        <f t="shared" si="6"/>
        <v>77699.069999999992</v>
      </c>
      <c r="H34" s="41">
        <f t="shared" si="6"/>
        <v>-28064.489999999998</v>
      </c>
      <c r="I34" s="61">
        <f t="shared" si="6"/>
        <v>-26025.019999999997</v>
      </c>
      <c r="J34" s="123">
        <f t="shared" si="6"/>
        <v>-26303.205679999992</v>
      </c>
      <c r="K34" s="41">
        <f t="shared" si="6"/>
        <v>-27602.888399999996</v>
      </c>
      <c r="L34" s="61">
        <f t="shared" si="6"/>
        <v>-52419.197599999992</v>
      </c>
    </row>
    <row r="35" spans="1:12" x14ac:dyDescent="0.25">
      <c r="A35" s="46" t="s">
        <v>136</v>
      </c>
      <c r="C35" s="100">
        <f t="shared" ref="C35:L35" si="7">C27-C21</f>
        <v>8556.0321700000204</v>
      </c>
      <c r="D35" s="41">
        <f t="shared" si="7"/>
        <v>14256.489999999998</v>
      </c>
      <c r="E35" s="41">
        <f t="shared" si="7"/>
        <v>15148.21</v>
      </c>
      <c r="F35" s="108">
        <f t="shared" si="7"/>
        <v>15105.559999999998</v>
      </c>
      <c r="G35" s="40">
        <f t="shared" si="7"/>
        <v>31274.51</v>
      </c>
      <c r="H35" s="41">
        <f t="shared" si="7"/>
        <v>-9577.7200000000012</v>
      </c>
      <c r="I35" s="61">
        <f t="shared" si="7"/>
        <v>-10030.530000000001</v>
      </c>
      <c r="J35" s="123">
        <f t="shared" si="7"/>
        <v>-10049.475920000001</v>
      </c>
      <c r="K35" s="41">
        <f t="shared" si="7"/>
        <v>-10459.357520000001</v>
      </c>
      <c r="L35" s="61">
        <f t="shared" si="7"/>
        <v>-16531.473839999999</v>
      </c>
    </row>
    <row r="36" spans="1:12" x14ac:dyDescent="0.25">
      <c r="C36" s="99"/>
      <c r="D36" s="17"/>
      <c r="E36" s="17"/>
      <c r="F36" s="17"/>
      <c r="G36" s="10"/>
      <c r="H36" s="17"/>
      <c r="I36" s="11"/>
      <c r="J36" s="17"/>
      <c r="K36" s="17"/>
      <c r="L36" s="11"/>
    </row>
    <row r="37" spans="1:12" ht="15.75" thickBot="1" x14ac:dyDescent="0.3">
      <c r="A37" s="46" t="s">
        <v>53</v>
      </c>
      <c r="C37" s="99"/>
      <c r="D37" s="17"/>
      <c r="E37" s="17"/>
      <c r="F37" s="17"/>
      <c r="G37" s="10"/>
      <c r="H37" s="17"/>
      <c r="I37" s="11"/>
      <c r="J37" s="17"/>
      <c r="K37" s="17"/>
      <c r="L37" s="11"/>
    </row>
    <row r="38" spans="1:12" x14ac:dyDescent="0.25">
      <c r="A38" s="46" t="s">
        <v>24</v>
      </c>
      <c r="B38" s="116">
        <v>432142.47705999989</v>
      </c>
      <c r="C38" s="100">
        <f t="shared" ref="C38:L38" si="8">B38+C32+B45</f>
        <v>344374.93781999988</v>
      </c>
      <c r="D38" s="41">
        <f t="shared" si="8"/>
        <v>441700.56781999982</v>
      </c>
      <c r="E38" s="41">
        <f t="shared" si="8"/>
        <v>528987.54781999986</v>
      </c>
      <c r="F38" s="108">
        <f t="shared" si="8"/>
        <v>595444.86781999993</v>
      </c>
      <c r="G38" s="40">
        <f t="shared" si="8"/>
        <v>733942.35781999992</v>
      </c>
      <c r="H38" s="41">
        <f t="shared" si="8"/>
        <v>663518.47781999991</v>
      </c>
      <c r="I38" s="61">
        <f t="shared" si="8"/>
        <v>594629.20781999989</v>
      </c>
      <c r="J38" s="123">
        <f t="shared" si="8"/>
        <v>526193.73875999986</v>
      </c>
      <c r="K38" s="41">
        <f t="shared" si="8"/>
        <v>455926.25887999986</v>
      </c>
      <c r="L38" s="61">
        <f t="shared" si="8"/>
        <v>448798.79239999986</v>
      </c>
    </row>
    <row r="39" spans="1:12" x14ac:dyDescent="0.25">
      <c r="A39" s="46" t="s">
        <v>134</v>
      </c>
      <c r="B39" s="246">
        <v>-274470.80341999989</v>
      </c>
      <c r="C39" s="100">
        <f t="shared" ref="C39:L39" si="9">B39+C33+B46</f>
        <v>-247488.53639999987</v>
      </c>
      <c r="D39" s="41">
        <f t="shared" si="9"/>
        <v>-211998.0363999999</v>
      </c>
      <c r="E39" s="41">
        <f t="shared" si="9"/>
        <v>-183650.34639999989</v>
      </c>
      <c r="F39" s="108">
        <f t="shared" si="9"/>
        <v>-169673.80639999988</v>
      </c>
      <c r="G39" s="40">
        <f t="shared" si="9"/>
        <v>-107037.07639999989</v>
      </c>
      <c r="H39" s="41">
        <f t="shared" si="9"/>
        <v>-140237.01639999991</v>
      </c>
      <c r="I39" s="61">
        <f t="shared" si="9"/>
        <v>-167159.84639999989</v>
      </c>
      <c r="J39" s="123">
        <f t="shared" si="9"/>
        <v>-192474.68589999989</v>
      </c>
      <c r="K39" s="41">
        <f t="shared" si="9"/>
        <v>-219038.8403999999</v>
      </c>
      <c r="L39" s="61">
        <f t="shared" si="9"/>
        <v>-268119.77039999986</v>
      </c>
    </row>
    <row r="40" spans="1:12" x14ac:dyDescent="0.25">
      <c r="A40" s="46" t="s">
        <v>135</v>
      </c>
      <c r="B40" s="246">
        <v>487438.25127999997</v>
      </c>
      <c r="C40" s="100">
        <f t="shared" ref="C40:L40" si="10">B40+C34+B47</f>
        <v>518204.52496000001</v>
      </c>
      <c r="D40" s="41">
        <f t="shared" si="10"/>
        <v>554842.30495999998</v>
      </c>
      <c r="E40" s="41">
        <f t="shared" si="10"/>
        <v>592993.92495999997</v>
      </c>
      <c r="F40" s="108">
        <f t="shared" si="10"/>
        <v>621684.7149599999</v>
      </c>
      <c r="G40" s="40">
        <f t="shared" si="10"/>
        <v>700070.31495999987</v>
      </c>
      <c r="H40" s="41">
        <f t="shared" si="10"/>
        <v>672782.36495999992</v>
      </c>
      <c r="I40" s="61">
        <f t="shared" si="10"/>
        <v>647699.98495999991</v>
      </c>
      <c r="J40" s="123">
        <f t="shared" si="10"/>
        <v>622413.94927999994</v>
      </c>
      <c r="K40" s="41">
        <f t="shared" si="10"/>
        <v>595789.52087999997</v>
      </c>
      <c r="L40" s="61">
        <f t="shared" si="10"/>
        <v>544308.79327999998</v>
      </c>
    </row>
    <row r="41" spans="1:12" ht="15.75" thickBot="1" x14ac:dyDescent="0.3">
      <c r="A41" s="46" t="s">
        <v>136</v>
      </c>
      <c r="B41" s="117">
        <v>147221.66842999999</v>
      </c>
      <c r="C41" s="100">
        <f t="shared" ref="C41:L41" si="11">B41+C35+B48</f>
        <v>155777.70060000001</v>
      </c>
      <c r="D41" s="41">
        <f t="shared" si="11"/>
        <v>169659.08060000002</v>
      </c>
      <c r="E41" s="41">
        <f t="shared" si="11"/>
        <v>184988.80060000002</v>
      </c>
      <c r="F41" s="108">
        <f t="shared" si="11"/>
        <v>200294.52060000002</v>
      </c>
      <c r="G41" s="40">
        <f t="shared" si="11"/>
        <v>231786.79060000004</v>
      </c>
      <c r="H41" s="41">
        <f t="shared" si="11"/>
        <v>222462.92060000004</v>
      </c>
      <c r="I41" s="61">
        <f t="shared" si="11"/>
        <v>212744.29060000004</v>
      </c>
      <c r="J41" s="123">
        <f t="shared" si="11"/>
        <v>203030.05468000003</v>
      </c>
      <c r="K41" s="41">
        <f t="shared" si="11"/>
        <v>192890.99716000003</v>
      </c>
      <c r="L41" s="61">
        <f t="shared" si="11"/>
        <v>176664.53332000005</v>
      </c>
    </row>
    <row r="42" spans="1:12" x14ac:dyDescent="0.25">
      <c r="C42" s="99"/>
      <c r="D42" s="17"/>
      <c r="E42" s="17"/>
      <c r="F42" s="17"/>
      <c r="G42" s="10"/>
      <c r="H42" s="17"/>
      <c r="I42" s="11"/>
      <c r="J42" s="17"/>
      <c r="K42" s="17"/>
      <c r="L42" s="11"/>
    </row>
    <row r="43" spans="1:12" x14ac:dyDescent="0.25">
      <c r="A43" s="39" t="s">
        <v>88</v>
      </c>
      <c r="B43" s="39"/>
      <c r="C43" s="104"/>
      <c r="D43" s="83">
        <f>+'PCR Cycle 2'!D47</f>
        <v>1.1167499999999999E-3</v>
      </c>
      <c r="E43" s="83">
        <f>+'PCR Cycle 2'!E47</f>
        <v>1.1281900000000001E-3</v>
      </c>
      <c r="F43" s="83">
        <f>+'PCR Cycle 2'!F47</f>
        <v>1.1297799999999999E-3</v>
      </c>
      <c r="G43" s="84">
        <f>+'PCR Cycle 2'!G47</f>
        <v>1.1744100000000001E-3</v>
      </c>
      <c r="H43" s="83">
        <f>+'PCR Cycle 2'!H47</f>
        <v>1.3724799999999999E-3</v>
      </c>
      <c r="I43" s="92">
        <f>+'PCR Cycle 2'!I47</f>
        <v>1.53951E-3</v>
      </c>
      <c r="J43" s="83">
        <f>+'PCR Cycle 2'!J47</f>
        <v>1.53951E-3</v>
      </c>
      <c r="K43" s="83">
        <f>+'PCR Cycle 2'!K47</f>
        <v>1.53951E-3</v>
      </c>
      <c r="L43" s="85"/>
    </row>
    <row r="44" spans="1:12" x14ac:dyDescent="0.25">
      <c r="A44" s="39" t="s">
        <v>37</v>
      </c>
      <c r="B44" s="39"/>
      <c r="C44" s="106"/>
      <c r="D44" s="83"/>
      <c r="E44" s="83"/>
      <c r="F44" s="83"/>
      <c r="G44" s="84"/>
      <c r="H44" s="83"/>
      <c r="I44" s="85"/>
      <c r="J44" s="83"/>
      <c r="K44" s="83"/>
      <c r="L44" s="85"/>
    </row>
    <row r="45" spans="1:12" x14ac:dyDescent="0.25">
      <c r="A45" s="46" t="s">
        <v>24</v>
      </c>
      <c r="C45" s="100">
        <v>-967.83999999999992</v>
      </c>
      <c r="D45" s="41">
        <f t="shared" ref="D45:L45" si="12">ROUND((C38+C45+D32/2)*D$43,2)</f>
        <v>438.38</v>
      </c>
      <c r="E45" s="41">
        <f t="shared" si="12"/>
        <v>547.80999999999995</v>
      </c>
      <c r="F45" s="108">
        <f t="shared" si="12"/>
        <v>635.49</v>
      </c>
      <c r="G45" s="40">
        <f t="shared" si="12"/>
        <v>781</v>
      </c>
      <c r="H45" s="123">
        <f t="shared" si="12"/>
        <v>959.53</v>
      </c>
      <c r="I45" s="49">
        <f t="shared" si="12"/>
        <v>969.2</v>
      </c>
      <c r="J45" s="162">
        <f t="shared" si="12"/>
        <v>863.51</v>
      </c>
      <c r="K45" s="108">
        <f t="shared" si="12"/>
        <v>756.66</v>
      </c>
      <c r="L45" s="61">
        <f t="shared" si="12"/>
        <v>0</v>
      </c>
    </row>
    <row r="46" spans="1:12" x14ac:dyDescent="0.25">
      <c r="A46" s="46" t="s">
        <v>134</v>
      </c>
      <c r="C46" s="100">
        <v>479.21</v>
      </c>
      <c r="D46" s="41">
        <f t="shared" ref="D46:L46" si="13">ROUND((C39+C46+D33/2)*D$43,2)</f>
        <v>-256.3</v>
      </c>
      <c r="E46" s="41">
        <f t="shared" si="13"/>
        <v>-223.33</v>
      </c>
      <c r="F46" s="108">
        <f t="shared" si="13"/>
        <v>-199.72</v>
      </c>
      <c r="G46" s="40">
        <f t="shared" si="13"/>
        <v>-162.6</v>
      </c>
      <c r="H46" s="123">
        <f t="shared" si="13"/>
        <v>-169.8</v>
      </c>
      <c r="I46" s="49">
        <f t="shared" si="13"/>
        <v>-236.75</v>
      </c>
      <c r="J46" s="162">
        <f t="shared" si="13"/>
        <v>-277.01</v>
      </c>
      <c r="K46" s="108">
        <f t="shared" si="13"/>
        <v>-316.98</v>
      </c>
      <c r="L46" s="61">
        <f t="shared" si="13"/>
        <v>0</v>
      </c>
    </row>
    <row r="47" spans="1:12" x14ac:dyDescent="0.25">
      <c r="A47" s="46" t="s">
        <v>135</v>
      </c>
      <c r="C47" s="100">
        <v>-1228.4000000000001</v>
      </c>
      <c r="D47" s="41">
        <f t="shared" ref="D47:L47" si="14">ROUND((C40+C47+D34/2)*D$43,2)</f>
        <v>598.48</v>
      </c>
      <c r="E47" s="41">
        <f t="shared" si="14"/>
        <v>647.83000000000004</v>
      </c>
      <c r="F47" s="108">
        <f t="shared" si="14"/>
        <v>686.53</v>
      </c>
      <c r="G47" s="40">
        <f t="shared" si="14"/>
        <v>776.54</v>
      </c>
      <c r="H47" s="123">
        <f t="shared" si="14"/>
        <v>942.64</v>
      </c>
      <c r="I47" s="49">
        <f t="shared" si="14"/>
        <v>1017.17</v>
      </c>
      <c r="J47" s="162">
        <f t="shared" si="14"/>
        <v>978.46</v>
      </c>
      <c r="K47" s="108">
        <f t="shared" si="14"/>
        <v>938.47</v>
      </c>
      <c r="L47" s="61">
        <f t="shared" si="14"/>
        <v>0</v>
      </c>
    </row>
    <row r="48" spans="1:12" ht="15.75" thickBot="1" x14ac:dyDescent="0.3">
      <c r="A48" s="46" t="s">
        <v>136</v>
      </c>
      <c r="C48" s="100">
        <v>-375.11</v>
      </c>
      <c r="D48" s="41">
        <f t="shared" ref="D48:L48" si="15">ROUND((C41+C48+D35/2)*D$43,2)</f>
        <v>181.51</v>
      </c>
      <c r="E48" s="41">
        <f t="shared" si="15"/>
        <v>200.16</v>
      </c>
      <c r="F48" s="108">
        <f t="shared" si="15"/>
        <v>217.76</v>
      </c>
      <c r="G48" s="40">
        <f t="shared" si="15"/>
        <v>253.85</v>
      </c>
      <c r="H48" s="123">
        <f t="shared" si="15"/>
        <v>311.89999999999998</v>
      </c>
      <c r="I48" s="49">
        <f t="shared" si="15"/>
        <v>335.24</v>
      </c>
      <c r="J48" s="162">
        <f t="shared" si="15"/>
        <v>320.3</v>
      </c>
      <c r="K48" s="108">
        <f t="shared" si="15"/>
        <v>305.01</v>
      </c>
      <c r="L48" s="61">
        <f t="shared" si="15"/>
        <v>0</v>
      </c>
    </row>
    <row r="49" spans="1:12" ht="16.5" thickTop="1" thickBot="1" x14ac:dyDescent="0.3">
      <c r="A49" s="54" t="s">
        <v>22</v>
      </c>
      <c r="B49" s="54"/>
      <c r="C49" s="107">
        <v>0</v>
      </c>
      <c r="D49" s="42">
        <f t="shared" ref="D49:L49" si="16">SUM(D45:D48)+SUM(D38:D41)-D52</f>
        <v>0</v>
      </c>
      <c r="E49" s="42">
        <f t="shared" si="16"/>
        <v>0</v>
      </c>
      <c r="F49" s="50">
        <f t="shared" si="16"/>
        <v>0</v>
      </c>
      <c r="G49" s="146">
        <f t="shared" si="16"/>
        <v>0</v>
      </c>
      <c r="H49" s="50">
        <f t="shared" si="16"/>
        <v>0</v>
      </c>
      <c r="I49" s="62">
        <f t="shared" si="16"/>
        <v>0</v>
      </c>
      <c r="J49" s="163">
        <f t="shared" si="16"/>
        <v>0</v>
      </c>
      <c r="K49" s="50">
        <f t="shared" si="16"/>
        <v>0</v>
      </c>
      <c r="L49" s="62">
        <f t="shared" si="16"/>
        <v>0</v>
      </c>
    </row>
    <row r="50" spans="1:12" ht="16.5" thickTop="1" thickBot="1" x14ac:dyDescent="0.3">
      <c r="A50" s="54" t="s">
        <v>23</v>
      </c>
      <c r="B50" s="54"/>
      <c r="C50" s="107">
        <v>0</v>
      </c>
      <c r="D50" s="42">
        <f t="shared" ref="D50:L50" si="17">SUM(D45:D48)-D29</f>
        <v>9.9999999999909051E-3</v>
      </c>
      <c r="E50" s="42">
        <f t="shared" si="17"/>
        <v>9.9999999999909051E-3</v>
      </c>
      <c r="F50" s="50">
        <f t="shared" si="17"/>
        <v>0</v>
      </c>
      <c r="G50" s="146">
        <f t="shared" si="17"/>
        <v>9.9999999999909051E-3</v>
      </c>
      <c r="H50" s="50">
        <f t="shared" si="17"/>
        <v>0</v>
      </c>
      <c r="I50" s="62">
        <f t="shared" si="17"/>
        <v>0</v>
      </c>
      <c r="J50" s="164">
        <f t="shared" si="17"/>
        <v>2.8199999999999363</v>
      </c>
      <c r="K50" s="42">
        <f t="shared" si="17"/>
        <v>8.540000000000191</v>
      </c>
      <c r="L50" s="42">
        <f t="shared" si="17"/>
        <v>0</v>
      </c>
    </row>
    <row r="51" spans="1:12" ht="16.5" thickTop="1" thickBot="1" x14ac:dyDescent="0.3">
      <c r="C51" s="99"/>
      <c r="D51" s="17"/>
      <c r="E51" s="17"/>
      <c r="F51" s="17"/>
      <c r="G51" s="10"/>
      <c r="H51" s="17"/>
      <c r="I51" s="11"/>
      <c r="J51" s="17"/>
      <c r="K51" s="17"/>
      <c r="L51" s="11"/>
    </row>
    <row r="52" spans="1:12" ht="15.75" thickBot="1" x14ac:dyDescent="0.3">
      <c r="A52" s="46" t="s">
        <v>36</v>
      </c>
      <c r="B52" s="119">
        <f>SUM(B38:B41)</f>
        <v>792331.59334999986</v>
      </c>
      <c r="C52" s="100">
        <f t="shared" ref="C52:L52" si="18">(C15-SUM(C18:C21))+SUM(C45:C48)+B52</f>
        <v>768776.48697999981</v>
      </c>
      <c r="D52" s="41">
        <f t="shared" si="18"/>
        <v>955165.98697999981</v>
      </c>
      <c r="E52" s="41">
        <f t="shared" si="18"/>
        <v>1124492.39698</v>
      </c>
      <c r="F52" s="108">
        <f t="shared" si="18"/>
        <v>1249090.3569799999</v>
      </c>
      <c r="G52" s="40">
        <f t="shared" si="18"/>
        <v>1560411.1769799998</v>
      </c>
      <c r="H52" s="41">
        <f t="shared" si="18"/>
        <v>1420571.0169799998</v>
      </c>
      <c r="I52" s="61">
        <f t="shared" si="18"/>
        <v>1289998.4969799998</v>
      </c>
      <c r="J52" s="162">
        <f t="shared" si="18"/>
        <v>1161048.3168199998</v>
      </c>
      <c r="K52" s="108">
        <f t="shared" si="18"/>
        <v>1027251.0965199998</v>
      </c>
      <c r="L52" s="61">
        <f t="shared" si="18"/>
        <v>901652.34859999979</v>
      </c>
    </row>
    <row r="53" spans="1:12" x14ac:dyDescent="0.25">
      <c r="A53" s="46" t="s">
        <v>12</v>
      </c>
      <c r="C53" s="120"/>
      <c r="D53" s="17"/>
      <c r="E53" s="17"/>
      <c r="F53" s="17"/>
      <c r="G53" s="10"/>
      <c r="H53" s="17"/>
      <c r="I53" s="11"/>
      <c r="J53" s="17"/>
      <c r="K53" s="17"/>
      <c r="L53" s="11"/>
    </row>
    <row r="54" spans="1:12" ht="15.75" thickBot="1" x14ac:dyDescent="0.3">
      <c r="A54" s="37"/>
      <c r="B54" s="37"/>
      <c r="C54" s="147"/>
      <c r="D54" s="44"/>
      <c r="E54" s="44"/>
      <c r="F54" s="44"/>
      <c r="G54" s="43"/>
      <c r="H54" s="44"/>
      <c r="I54" s="45"/>
      <c r="J54" s="44"/>
      <c r="K54" s="44"/>
      <c r="L54" s="45"/>
    </row>
    <row r="56" spans="1:12" x14ac:dyDescent="0.25">
      <c r="A56" s="69" t="s">
        <v>11</v>
      </c>
      <c r="B56" s="69"/>
      <c r="C56" s="69"/>
    </row>
    <row r="57" spans="1:12" ht="31.5" customHeight="1" x14ac:dyDescent="0.25">
      <c r="A57" s="310" t="s">
        <v>164</v>
      </c>
      <c r="B57" s="310"/>
      <c r="C57" s="310"/>
      <c r="D57" s="310"/>
      <c r="E57" s="310"/>
      <c r="F57" s="310"/>
      <c r="G57" s="310"/>
      <c r="H57" s="310"/>
      <c r="I57" s="310"/>
      <c r="J57" s="235"/>
      <c r="K57" s="235"/>
      <c r="L57" s="235"/>
    </row>
    <row r="58" spans="1:12" ht="45" customHeight="1" x14ac:dyDescent="0.25">
      <c r="A58" s="310" t="s">
        <v>215</v>
      </c>
      <c r="B58" s="310"/>
      <c r="C58" s="310"/>
      <c r="D58" s="310"/>
      <c r="E58" s="310"/>
      <c r="F58" s="310"/>
      <c r="G58" s="310"/>
      <c r="H58" s="310"/>
      <c r="I58" s="310"/>
      <c r="J58" s="235"/>
      <c r="K58" s="235"/>
    </row>
    <row r="59" spans="1:12" ht="18.75" customHeight="1" x14ac:dyDescent="0.25">
      <c r="A59" s="310" t="s">
        <v>165</v>
      </c>
      <c r="B59" s="310"/>
      <c r="C59" s="310"/>
      <c r="D59" s="310"/>
      <c r="E59" s="310"/>
      <c r="F59" s="310"/>
      <c r="G59" s="310"/>
      <c r="H59" s="310"/>
      <c r="I59" s="310"/>
      <c r="J59" s="235"/>
      <c r="K59" s="235"/>
      <c r="L59" s="235"/>
    </row>
    <row r="60" spans="1:12" x14ac:dyDescent="0.25">
      <c r="A60" s="63" t="s">
        <v>31</v>
      </c>
      <c r="B60" s="63"/>
      <c r="C60" s="63"/>
      <c r="D60" s="39"/>
      <c r="E60" s="39"/>
      <c r="F60" s="39"/>
      <c r="G60" s="39"/>
      <c r="H60" s="39"/>
      <c r="I60" s="39"/>
    </row>
    <row r="61" spans="1:12" x14ac:dyDescent="0.25">
      <c r="A61" s="63" t="s">
        <v>186</v>
      </c>
      <c r="B61" s="63"/>
      <c r="C61" s="63"/>
      <c r="D61" s="39"/>
      <c r="E61" s="39"/>
      <c r="F61" s="39"/>
      <c r="G61" s="39"/>
      <c r="H61" s="39"/>
      <c r="I61" s="39"/>
    </row>
    <row r="62" spans="1:12" x14ac:dyDescent="0.25">
      <c r="A62" s="63" t="s">
        <v>95</v>
      </c>
      <c r="B62" s="63"/>
      <c r="C62" s="63"/>
      <c r="D62" s="39"/>
      <c r="E62" s="39"/>
      <c r="F62" s="39"/>
      <c r="G62" s="39"/>
      <c r="H62" s="39"/>
      <c r="I62" s="39"/>
    </row>
    <row r="63" spans="1:12" x14ac:dyDescent="0.25">
      <c r="A63" s="3" t="s">
        <v>193</v>
      </c>
      <c r="B63" s="3"/>
      <c r="C63" s="3"/>
    </row>
  </sheetData>
  <mergeCells count="6">
    <mergeCell ref="A59:I59"/>
    <mergeCell ref="D13:F13"/>
    <mergeCell ref="G13:I13"/>
    <mergeCell ref="J13:L13"/>
    <mergeCell ref="A57:I57"/>
    <mergeCell ref="A58:I58"/>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D152-8B9E-41F1-8D17-EEF361E7FE19}">
  <sheetPr>
    <pageSetUpPr fitToPage="1"/>
  </sheetPr>
  <dimension ref="A1:AH60"/>
  <sheetViews>
    <sheetView topLeftCell="C1" workbookViewId="0">
      <selection activeCell="O1" sqref="O1:O1048576"/>
    </sheetView>
  </sheetViews>
  <sheetFormatPr defaultColWidth="9.140625" defaultRowHeight="15" x14ac:dyDescent="0.25"/>
  <cols>
    <col min="1" max="1" width="37.7109375" style="46" customWidth="1"/>
    <col min="2" max="2" width="12.28515625" style="46" bestFit="1" customWidth="1"/>
    <col min="3" max="3" width="12.42578125" style="46" bestFit="1" customWidth="1"/>
    <col min="4" max="4" width="15.42578125" style="46" customWidth="1"/>
    <col min="5" max="5" width="15.85546875" style="46" bestFit="1" customWidth="1"/>
    <col min="6" max="6" width="12.28515625" style="46" bestFit="1" customWidth="1"/>
    <col min="7" max="8" width="13.28515625" style="46" bestFit="1" customWidth="1"/>
    <col min="9" max="9" width="12.28515625" style="46" bestFit="1" customWidth="1"/>
    <col min="10" max="10" width="12.5703125" style="46" customWidth="1"/>
    <col min="11" max="11" width="12.85546875" style="46" customWidth="1"/>
    <col min="12" max="12" width="16" style="46" customWidth="1"/>
    <col min="13" max="13" width="15" style="46" bestFit="1" customWidth="1"/>
    <col min="14" max="14" width="16" style="46" bestFit="1" customWidth="1"/>
    <col min="15" max="15" width="15.28515625" style="46" bestFit="1" customWidth="1"/>
    <col min="16" max="16" width="17.42578125" style="46" bestFit="1" customWidth="1"/>
    <col min="17" max="17" width="16.28515625" style="46" bestFit="1" customWidth="1"/>
    <col min="18" max="18" width="15.28515625" style="46" bestFit="1" customWidth="1"/>
    <col min="19" max="19" width="12.42578125" style="46" customWidth="1"/>
    <col min="20" max="21" width="14.28515625" style="46" bestFit="1" customWidth="1"/>
    <col min="22" max="16384" width="9.140625" style="46"/>
  </cols>
  <sheetData>
    <row r="1" spans="1:34" x14ac:dyDescent="0.25">
      <c r="A1" s="3" t="str">
        <f>+'PPC Cycle 3'!A1</f>
        <v>Evergy Missouri West, Inc. - DSIM Rider Update Filed 06/01/2022</v>
      </c>
      <c r="B1" s="3"/>
      <c r="C1" s="3"/>
    </row>
    <row r="2" spans="1:34" x14ac:dyDescent="0.25">
      <c r="D2" s="3" t="s">
        <v>185</v>
      </c>
    </row>
    <row r="3" spans="1:34" ht="30" x14ac:dyDescent="0.25">
      <c r="D3" s="48" t="s">
        <v>46</v>
      </c>
      <c r="E3" s="70" t="s">
        <v>58</v>
      </c>
      <c r="F3" s="48" t="s">
        <v>3</v>
      </c>
      <c r="G3" s="70" t="s">
        <v>55</v>
      </c>
      <c r="H3" s="48" t="s">
        <v>10</v>
      </c>
      <c r="I3" s="48" t="s">
        <v>59</v>
      </c>
      <c r="R3" s="48"/>
    </row>
    <row r="4" spans="1:34" x14ac:dyDescent="0.25">
      <c r="A4" s="20" t="s">
        <v>24</v>
      </c>
      <c r="B4" s="20"/>
      <c r="C4" s="20"/>
      <c r="D4" s="22">
        <f>SUM(C15:L15)</f>
        <v>771568.41382000002</v>
      </c>
      <c r="E4" s="22">
        <f>SUM(C21:K21)</f>
        <v>681925.85000000009</v>
      </c>
      <c r="F4" s="22">
        <f>E4-D4</f>
        <v>-89642.563819999923</v>
      </c>
      <c r="G4" s="22">
        <f>+B35</f>
        <v>0</v>
      </c>
      <c r="H4" s="22">
        <f>SUM(C42:K42)</f>
        <v>185.12</v>
      </c>
      <c r="I4" s="25">
        <f>SUM(F4:H4)</f>
        <v>-89457.443819999928</v>
      </c>
      <c r="J4" s="47">
        <f>+I4-L35</f>
        <v>0</v>
      </c>
      <c r="M4" s="47"/>
    </row>
    <row r="5" spans="1:34" x14ac:dyDescent="0.25">
      <c r="A5" s="20" t="s">
        <v>107</v>
      </c>
      <c r="B5" s="20"/>
      <c r="C5" s="20"/>
      <c r="D5" s="22">
        <f t="shared" ref="D5:D7" si="0">SUM(C16:L16)</f>
        <v>151679.23688000001</v>
      </c>
      <c r="E5" s="22">
        <f t="shared" ref="E5:E7" si="1">SUM(C22:K22)</f>
        <v>139386.29999999999</v>
      </c>
      <c r="F5" s="22">
        <f t="shared" ref="F5:F7" si="2">E5-D5</f>
        <v>-12292.936880000023</v>
      </c>
      <c r="G5" s="22">
        <f t="shared" ref="G5:G7" si="3">+B36</f>
        <v>0</v>
      </c>
      <c r="H5" s="22">
        <f t="shared" ref="H5:H7" si="4">SUM(C43:K43)</f>
        <v>33.200000000000003</v>
      </c>
      <c r="I5" s="25">
        <f t="shared" ref="I5:I7" si="5">SUM(F5:H5)</f>
        <v>-12259.736880000022</v>
      </c>
      <c r="J5" s="47">
        <f>+I5-L36</f>
        <v>-1.8189894035458565E-11</v>
      </c>
      <c r="M5" s="47"/>
    </row>
    <row r="6" spans="1:34" x14ac:dyDescent="0.25">
      <c r="A6" s="20" t="s">
        <v>108</v>
      </c>
      <c r="B6" s="20"/>
      <c r="C6" s="20"/>
      <c r="D6" s="22">
        <f t="shared" si="0"/>
        <v>138959.25827999998</v>
      </c>
      <c r="E6" s="22">
        <f t="shared" si="1"/>
        <v>136498.20000000001</v>
      </c>
      <c r="F6" s="22">
        <f t="shared" si="2"/>
        <v>-2461.0582799999684</v>
      </c>
      <c r="G6" s="22">
        <f t="shared" si="3"/>
        <v>0</v>
      </c>
      <c r="H6" s="22">
        <f t="shared" si="4"/>
        <v>79.62</v>
      </c>
      <c r="I6" s="25">
        <f t="shared" si="5"/>
        <v>-2381.4382799999685</v>
      </c>
      <c r="J6" s="47">
        <f>+I6-L37</f>
        <v>2.5465851649641991E-11</v>
      </c>
      <c r="M6" s="47"/>
    </row>
    <row r="7" spans="1:34" ht="15.75" thickBot="1" x14ac:dyDescent="0.3">
      <c r="A7" s="20" t="s">
        <v>109</v>
      </c>
      <c r="B7" s="20"/>
      <c r="C7" s="20"/>
      <c r="D7" s="22">
        <f t="shared" si="0"/>
        <v>111597.94409999999</v>
      </c>
      <c r="E7" s="22">
        <f t="shared" si="1"/>
        <v>109117</v>
      </c>
      <c r="F7" s="22">
        <f t="shared" si="2"/>
        <v>-2480.9440999999933</v>
      </c>
      <c r="G7" s="22">
        <f t="shared" si="3"/>
        <v>0</v>
      </c>
      <c r="H7" s="22">
        <f t="shared" si="4"/>
        <v>76.949999999999989</v>
      </c>
      <c r="I7" s="25">
        <f t="shared" si="5"/>
        <v>-2403.9940999999935</v>
      </c>
      <c r="J7" s="47">
        <f>+I7-L38</f>
        <v>0</v>
      </c>
      <c r="M7" s="47"/>
    </row>
    <row r="8" spans="1:34" ht="16.5" thickTop="1" thickBot="1" x14ac:dyDescent="0.3">
      <c r="D8" s="27">
        <f t="shared" ref="D8:I8" si="6">SUM(D4:D7)</f>
        <v>1173804.85308</v>
      </c>
      <c r="E8" s="27">
        <f t="shared" si="6"/>
        <v>1066927.3500000001</v>
      </c>
      <c r="F8" s="27">
        <f t="shared" si="6"/>
        <v>-106877.50307999991</v>
      </c>
      <c r="G8" s="27">
        <f t="shared" si="6"/>
        <v>0</v>
      </c>
      <c r="H8" s="27">
        <f t="shared" si="6"/>
        <v>374.89</v>
      </c>
      <c r="I8" s="27">
        <f t="shared" si="6"/>
        <v>-106502.61307999992</v>
      </c>
      <c r="S8" s="5"/>
    </row>
    <row r="9" spans="1:34" ht="16.5" thickTop="1" thickBot="1" x14ac:dyDescent="0.3">
      <c r="U9" s="4"/>
      <c r="V9" s="5"/>
    </row>
    <row r="10" spans="1:34" ht="120.75" thickBot="1" x14ac:dyDescent="0.3">
      <c r="B10" s="118" t="str">
        <f>+'PCR Cycle 2'!B13</f>
        <v>Cumulative Over/Under Carryover From 12/01/2021 Filing</v>
      </c>
      <c r="C10" s="152" t="str">
        <f>+'PCR Cycle 2'!C13</f>
        <v>Reverse November 2021 - April 2022  Forecast From 12/01/2021 Filing</v>
      </c>
      <c r="D10" s="322" t="s">
        <v>33</v>
      </c>
      <c r="E10" s="311"/>
      <c r="F10" s="312"/>
      <c r="G10" s="319" t="s">
        <v>33</v>
      </c>
      <c r="H10" s="320"/>
      <c r="I10" s="321"/>
      <c r="J10" s="307" t="s">
        <v>8</v>
      </c>
      <c r="K10" s="308"/>
      <c r="L10" s="309"/>
    </row>
    <row r="11" spans="1:34" x14ac:dyDescent="0.25">
      <c r="A11" s="46" t="s">
        <v>86</v>
      </c>
      <c r="C11" s="105"/>
      <c r="D11" s="19">
        <f>+'PCR Cycle 2'!D14</f>
        <v>44530</v>
      </c>
      <c r="E11" s="19">
        <f t="shared" ref="E11:L11" si="7">EOMONTH(D11,1)</f>
        <v>44561</v>
      </c>
      <c r="F11" s="19">
        <f t="shared" si="7"/>
        <v>44592</v>
      </c>
      <c r="G11" s="14">
        <f t="shared" si="7"/>
        <v>44620</v>
      </c>
      <c r="H11" s="19">
        <f t="shared" si="7"/>
        <v>44651</v>
      </c>
      <c r="I11" s="15">
        <f t="shared" si="7"/>
        <v>44681</v>
      </c>
      <c r="J11" s="19">
        <f t="shared" si="7"/>
        <v>44712</v>
      </c>
      <c r="K11" s="19">
        <f t="shared" si="7"/>
        <v>44742</v>
      </c>
      <c r="L11" s="15">
        <f t="shared" si="7"/>
        <v>44773</v>
      </c>
      <c r="Y11" s="1"/>
      <c r="Z11" s="1"/>
      <c r="AA11" s="1"/>
      <c r="AB11" s="1"/>
      <c r="AC11" s="1"/>
      <c r="AD11" s="1"/>
      <c r="AE11" s="1"/>
      <c r="AF11" s="1"/>
      <c r="AG11" s="1"/>
      <c r="AH11" s="1"/>
    </row>
    <row r="12" spans="1:34" x14ac:dyDescent="0.25">
      <c r="A12" s="46" t="s">
        <v>5</v>
      </c>
      <c r="C12" s="97">
        <v>0</v>
      </c>
      <c r="D12" s="109">
        <f t="shared" ref="D12:K12" si="8">SUM(D21:D24)</f>
        <v>0</v>
      </c>
      <c r="E12" s="109">
        <f t="shared" si="8"/>
        <v>0</v>
      </c>
      <c r="F12" s="110">
        <f t="shared" si="8"/>
        <v>0</v>
      </c>
      <c r="G12" s="16">
        <f t="shared" si="8"/>
        <v>213385.47</v>
      </c>
      <c r="H12" s="55">
        <f t="shared" si="8"/>
        <v>213385.47</v>
      </c>
      <c r="I12" s="165">
        <f t="shared" si="8"/>
        <v>213385.47</v>
      </c>
      <c r="J12" s="158">
        <f t="shared" si="8"/>
        <v>213385.47</v>
      </c>
      <c r="K12" s="78">
        <f t="shared" si="8"/>
        <v>213385.47</v>
      </c>
      <c r="L12" s="79"/>
    </row>
    <row r="13" spans="1:34" x14ac:dyDescent="0.25">
      <c r="C13" s="99"/>
      <c r="D13" s="17"/>
      <c r="E13" s="17"/>
      <c r="F13" s="17"/>
      <c r="G13" s="10"/>
      <c r="H13" s="17"/>
      <c r="I13" s="11"/>
      <c r="J13" s="31"/>
      <c r="K13" s="31"/>
      <c r="L13" s="29"/>
    </row>
    <row r="14" spans="1:34" x14ac:dyDescent="0.25">
      <c r="A14" s="46" t="s">
        <v>87</v>
      </c>
      <c r="C14" s="99"/>
      <c r="D14" s="18"/>
      <c r="E14" s="18"/>
      <c r="F14" s="18"/>
      <c r="G14" s="91"/>
      <c r="H14" s="18"/>
      <c r="I14" s="166"/>
      <c r="J14" s="31"/>
      <c r="K14" s="31"/>
      <c r="L14" s="29"/>
      <c r="M14" s="3" t="s">
        <v>50</v>
      </c>
      <c r="N14" s="39"/>
    </row>
    <row r="15" spans="1:34" x14ac:dyDescent="0.25">
      <c r="A15" s="46" t="s">
        <v>24</v>
      </c>
      <c r="C15" s="97">
        <v>0</v>
      </c>
      <c r="D15" s="135">
        <f>ROUND('[6]Nov 2021'!$F89,2)</f>
        <v>0</v>
      </c>
      <c r="E15" s="135">
        <f>ROUND('[6]Dec 2021'!$F89,2)</f>
        <v>0</v>
      </c>
      <c r="F15" s="135">
        <f>ROUND('[6]Jan 2022'!$F89,2)</f>
        <v>0.83</v>
      </c>
      <c r="G15" s="186">
        <f>ROUND('[6]Feb 2022'!$F89,2)</f>
        <v>146978.42000000001</v>
      </c>
      <c r="H15" s="121">
        <f>ROUND('[6]Mar 2022'!$F89,2)</f>
        <v>131804.93</v>
      </c>
      <c r="I15" s="167">
        <f>ROUND('[6]Apr 2022'!$F89,2)</f>
        <v>103308.88</v>
      </c>
      <c r="J15" s="123">
        <f>'PCR Cycle 2'!J26*$M15</f>
        <v>93827.980259999997</v>
      </c>
      <c r="K15" s="41">
        <f>'PCR Cycle 2'!K26*$M15</f>
        <v>130080.71748000001</v>
      </c>
      <c r="L15" s="61">
        <f>'PCR Cycle 2'!L26*$M15</f>
        <v>165566.65608000002</v>
      </c>
      <c r="M15" s="72">
        <v>4.2000000000000002E-4</v>
      </c>
      <c r="N15" s="4"/>
    </row>
    <row r="16" spans="1:34" x14ac:dyDescent="0.25">
      <c r="A16" s="46" t="s">
        <v>134</v>
      </c>
      <c r="C16" s="97">
        <v>0</v>
      </c>
      <c r="D16" s="135">
        <f>ROUND('[6]Nov 2021'!$F90,2)</f>
        <v>0</v>
      </c>
      <c r="E16" s="135">
        <f>ROUND('[6]Dec 2021'!$F90,2)</f>
        <v>0</v>
      </c>
      <c r="F16" s="135">
        <f>ROUND('[6]Jan 2022'!$F90,2)</f>
        <v>0</v>
      </c>
      <c r="G16" s="186">
        <f>ROUND('[6]Feb 2022'!$F90,2)</f>
        <v>27535.16</v>
      </c>
      <c r="H16" s="121">
        <f>ROUND('[6]Mar 2022'!$F90,2)</f>
        <v>27248.28</v>
      </c>
      <c r="I16" s="167">
        <f>ROUND('[6]Apr 2022'!$F90,2)</f>
        <v>24208.25</v>
      </c>
      <c r="J16" s="123">
        <f>'PCR Cycle 2'!J27*$M16</f>
        <v>23350.792139999998</v>
      </c>
      <c r="K16" s="41">
        <f>'PCR Cycle 2'!K27*$M16</f>
        <v>23979.500739999999</v>
      </c>
      <c r="L16" s="61">
        <f>'PCR Cycle 2'!L27*$M16</f>
        <v>25357.253999999997</v>
      </c>
      <c r="M16" s="72">
        <v>2.5999999999999998E-4</v>
      </c>
      <c r="N16" s="4"/>
    </row>
    <row r="17" spans="1:14" x14ac:dyDescent="0.25">
      <c r="A17" s="46" t="s">
        <v>135</v>
      </c>
      <c r="C17" s="97">
        <v>0</v>
      </c>
      <c r="D17" s="135">
        <f>ROUND('[6]Nov 2021'!$F91,2)</f>
        <v>0</v>
      </c>
      <c r="E17" s="135">
        <f>ROUND('[6]Dec 2021'!$F91,2)</f>
        <v>0</v>
      </c>
      <c r="F17" s="135">
        <f>ROUND('[6]Jan 2022'!$F91,2)</f>
        <v>0</v>
      </c>
      <c r="G17" s="186">
        <f>ROUND('[6]Feb 2022'!$F91,2)</f>
        <v>23516.94</v>
      </c>
      <c r="H17" s="121">
        <f>ROUND('[6]Mar 2022'!$F91,2)</f>
        <v>23402.75</v>
      </c>
      <c r="I17" s="167">
        <f>ROUND('[6]Apr 2022'!$F91,2)</f>
        <v>22275.23</v>
      </c>
      <c r="J17" s="123">
        <f>'PCR Cycle 2'!J28*$M17</f>
        <v>22411.714779999998</v>
      </c>
      <c r="K17" s="41">
        <f>'PCR Cycle 2'!K28*$M17</f>
        <v>23015.138899999998</v>
      </c>
      <c r="L17" s="61">
        <f>'PCR Cycle 2'!L28*$M17</f>
        <v>24337.484599999996</v>
      </c>
      <c r="M17" s="72">
        <v>2.5999999999999998E-4</v>
      </c>
      <c r="N17" s="4"/>
    </row>
    <row r="18" spans="1:14" x14ac:dyDescent="0.25">
      <c r="A18" s="46" t="s">
        <v>136</v>
      </c>
      <c r="C18" s="97">
        <v>0</v>
      </c>
      <c r="D18" s="135">
        <f>ROUND('[6]Nov 2021'!$F92,2)</f>
        <v>0</v>
      </c>
      <c r="E18" s="135">
        <f>ROUND('[6]Dec 2021'!$F92,2)</f>
        <v>0</v>
      </c>
      <c r="F18" s="135">
        <f>ROUND('[6]Jan 2022'!$F92,2)</f>
        <v>0</v>
      </c>
      <c r="G18" s="186">
        <f>ROUND('[6]Feb 2022'!$F92,2)</f>
        <v>17543.52</v>
      </c>
      <c r="H18" s="121">
        <f>ROUND('[6]Mar 2022'!$F92,2)</f>
        <v>17379.86</v>
      </c>
      <c r="I18" s="167">
        <f>ROUND('[6]Apr 2022'!$F92,2)</f>
        <v>17439.43</v>
      </c>
      <c r="J18" s="123">
        <f>'PCR Cycle 2'!J29*$M18</f>
        <v>19029.2199</v>
      </c>
      <c r="K18" s="41">
        <f>'PCR Cycle 2'!K29*$M18</f>
        <v>19541.571899999999</v>
      </c>
      <c r="L18" s="61">
        <f>'PCR Cycle 2'!L29*$M18</f>
        <v>20664.342299999997</v>
      </c>
      <c r="M18" s="72">
        <v>2.9999999999999997E-4</v>
      </c>
      <c r="N18" s="4"/>
    </row>
    <row r="19" spans="1:14" x14ac:dyDescent="0.25">
      <c r="C19" s="67"/>
      <c r="D19" s="68"/>
      <c r="E19" s="68"/>
      <c r="F19" s="68"/>
      <c r="G19" s="67"/>
      <c r="H19" s="68"/>
      <c r="I19" s="168"/>
      <c r="J19" s="56"/>
      <c r="K19" s="56"/>
      <c r="L19" s="13"/>
      <c r="N19" s="4"/>
    </row>
    <row r="20" spans="1:14" x14ac:dyDescent="0.25">
      <c r="A20" s="46" t="s">
        <v>89</v>
      </c>
      <c r="C20" s="36"/>
      <c r="D20" s="37"/>
      <c r="E20" s="37"/>
      <c r="F20" s="37"/>
      <c r="G20" s="36"/>
      <c r="H20" s="37"/>
      <c r="I20" s="171"/>
      <c r="J20" s="52"/>
      <c r="K20" s="52"/>
      <c r="L20" s="38"/>
    </row>
    <row r="21" spans="1:14" x14ac:dyDescent="0.25">
      <c r="A21" s="46" t="s">
        <v>24</v>
      </c>
      <c r="C21" s="97">
        <v>0</v>
      </c>
      <c r="D21" s="109">
        <v>0</v>
      </c>
      <c r="E21" s="109">
        <v>0</v>
      </c>
      <c r="F21" s="110">
        <v>0</v>
      </c>
      <c r="G21" s="16">
        <f>ROUND('EO Cycle 3'!$F$18/12,2)</f>
        <v>136385.17000000001</v>
      </c>
      <c r="H21" s="55">
        <f>ROUND('EO Cycle 3'!$F$18/12,2)</f>
        <v>136385.17000000001</v>
      </c>
      <c r="I21" s="165">
        <f>ROUND('EO Cycle 3'!$F$18/12,2)</f>
        <v>136385.17000000001</v>
      </c>
      <c r="J21" s="160">
        <f>ROUND('EO Cycle 3'!$F$18/12,2)</f>
        <v>136385.17000000001</v>
      </c>
      <c r="K21" s="142">
        <f>ROUND('EO Cycle 3'!$F$18/12,2)</f>
        <v>136385.17000000001</v>
      </c>
      <c r="L21" s="79"/>
    </row>
    <row r="22" spans="1:14" x14ac:dyDescent="0.25">
      <c r="A22" s="46" t="s">
        <v>134</v>
      </c>
      <c r="C22" s="97">
        <v>0</v>
      </c>
      <c r="D22" s="109">
        <v>0</v>
      </c>
      <c r="E22" s="109">
        <v>0</v>
      </c>
      <c r="F22" s="110">
        <v>0</v>
      </c>
      <c r="G22" s="16">
        <f>ROUND('EO Cycle 3'!$F$22/12,2)</f>
        <v>27877.26</v>
      </c>
      <c r="H22" s="55">
        <f>ROUND('EO Cycle 3'!$F$22/12,2)</f>
        <v>27877.26</v>
      </c>
      <c r="I22" s="165">
        <f>ROUND('EO Cycle 3'!$F$22/12,2)</f>
        <v>27877.26</v>
      </c>
      <c r="J22" s="160">
        <f>ROUND('EO Cycle 3'!$F$22/12,2)</f>
        <v>27877.26</v>
      </c>
      <c r="K22" s="142">
        <f>ROUND('EO Cycle 3'!$F$22/12,2)</f>
        <v>27877.26</v>
      </c>
      <c r="L22" s="79"/>
    </row>
    <row r="23" spans="1:14" x14ac:dyDescent="0.25">
      <c r="A23" s="46" t="s">
        <v>135</v>
      </c>
      <c r="C23" s="97">
        <v>0</v>
      </c>
      <c r="D23" s="109">
        <v>0</v>
      </c>
      <c r="E23" s="109">
        <v>0</v>
      </c>
      <c r="F23" s="110">
        <v>0</v>
      </c>
      <c r="G23" s="16">
        <f>ROUND('EO Cycle 3'!$F$23/12,2)</f>
        <v>27299.64</v>
      </c>
      <c r="H23" s="55">
        <f>ROUND('EO Cycle 3'!$F$23/12,2)</f>
        <v>27299.64</v>
      </c>
      <c r="I23" s="165">
        <f>ROUND('EO Cycle 3'!$F$23/12,2)</f>
        <v>27299.64</v>
      </c>
      <c r="J23" s="160">
        <f>ROUND('EO Cycle 3'!$F$23/12,2)</f>
        <v>27299.64</v>
      </c>
      <c r="K23" s="142">
        <f>ROUND('EO Cycle 3'!$F$23/12,2)</f>
        <v>27299.64</v>
      </c>
      <c r="L23" s="79"/>
    </row>
    <row r="24" spans="1:14" x14ac:dyDescent="0.25">
      <c r="A24" s="46" t="s">
        <v>136</v>
      </c>
      <c r="C24" s="97">
        <v>0</v>
      </c>
      <c r="D24" s="109">
        <v>0</v>
      </c>
      <c r="E24" s="109">
        <v>0</v>
      </c>
      <c r="F24" s="110">
        <v>0</v>
      </c>
      <c r="G24" s="16">
        <f>ROUND('EO Cycle 3'!$F$24/12,2)</f>
        <v>21823.4</v>
      </c>
      <c r="H24" s="55">
        <f>ROUND('EO Cycle 3'!$F$24/12,2)</f>
        <v>21823.4</v>
      </c>
      <c r="I24" s="165">
        <f>ROUND('EO Cycle 3'!$F$24/12,2)</f>
        <v>21823.4</v>
      </c>
      <c r="J24" s="160">
        <f>ROUND('EO Cycle 3'!$F$24/12,2)</f>
        <v>21823.4</v>
      </c>
      <c r="K24" s="142">
        <f>ROUND('EO Cycle 3'!$F$24/12,2)</f>
        <v>21823.4</v>
      </c>
      <c r="L24" s="79"/>
      <c r="N24" s="47"/>
    </row>
    <row r="25" spans="1:14" x14ac:dyDescent="0.25">
      <c r="C25" s="99"/>
      <c r="D25" s="18"/>
      <c r="E25" s="18"/>
      <c r="F25" s="18"/>
      <c r="G25" s="91"/>
      <c r="H25" s="18"/>
      <c r="I25" s="166"/>
      <c r="J25" s="56"/>
      <c r="K25" s="56"/>
      <c r="L25" s="13"/>
    </row>
    <row r="26" spans="1:14" ht="15.75" thickBot="1" x14ac:dyDescent="0.3">
      <c r="A26" s="3" t="s">
        <v>14</v>
      </c>
      <c r="B26" s="3"/>
      <c r="C26" s="103">
        <v>0</v>
      </c>
      <c r="D26" s="135">
        <v>0</v>
      </c>
      <c r="E26" s="135">
        <v>0</v>
      </c>
      <c r="F26" s="136">
        <v>0</v>
      </c>
      <c r="G26" s="26">
        <v>-1.2899999999999996</v>
      </c>
      <c r="H26" s="122">
        <v>6.29</v>
      </c>
      <c r="I26" s="172">
        <v>53.03</v>
      </c>
      <c r="J26" s="161">
        <v>129.89000000000001</v>
      </c>
      <c r="K26" s="144">
        <v>183.32</v>
      </c>
      <c r="L26" s="82"/>
    </row>
    <row r="27" spans="1:14" x14ac:dyDescent="0.25">
      <c r="C27" s="64"/>
      <c r="D27" s="148"/>
      <c r="E27" s="148"/>
      <c r="F27" s="149"/>
      <c r="G27" s="64"/>
      <c r="H27" s="33"/>
      <c r="I27" s="173"/>
      <c r="J27" s="34"/>
      <c r="K27" s="34"/>
      <c r="L27" s="60"/>
    </row>
    <row r="28" spans="1:14" x14ac:dyDescent="0.25">
      <c r="A28" s="46" t="s">
        <v>52</v>
      </c>
      <c r="C28" s="65"/>
      <c r="D28" s="149"/>
      <c r="E28" s="149"/>
      <c r="F28" s="149"/>
      <c r="G28" s="65"/>
      <c r="H28" s="35"/>
      <c r="I28" s="174"/>
      <c r="J28" s="34"/>
      <c r="K28" s="34"/>
      <c r="L28" s="60"/>
    </row>
    <row r="29" spans="1:14" x14ac:dyDescent="0.25">
      <c r="A29" s="46" t="s">
        <v>24</v>
      </c>
      <c r="C29" s="100">
        <f t="shared" ref="C29:L32" si="9">C21-C15</f>
        <v>0</v>
      </c>
      <c r="D29" s="41">
        <f t="shared" si="9"/>
        <v>0</v>
      </c>
      <c r="E29" s="41">
        <f t="shared" si="9"/>
        <v>0</v>
      </c>
      <c r="F29" s="108">
        <f t="shared" si="9"/>
        <v>-0.83</v>
      </c>
      <c r="G29" s="40">
        <f t="shared" si="9"/>
        <v>-10593.25</v>
      </c>
      <c r="H29" s="41">
        <f t="shared" si="9"/>
        <v>4580.2400000000198</v>
      </c>
      <c r="I29" s="61">
        <f t="shared" si="9"/>
        <v>33076.290000000008</v>
      </c>
      <c r="J29" s="123">
        <f t="shared" si="9"/>
        <v>42557.189740000016</v>
      </c>
      <c r="K29" s="41">
        <f t="shared" si="9"/>
        <v>6304.4525200000062</v>
      </c>
      <c r="L29" s="61">
        <f t="shared" si="9"/>
        <v>-165566.65608000002</v>
      </c>
    </row>
    <row r="30" spans="1:14" x14ac:dyDescent="0.25">
      <c r="A30" s="46" t="s">
        <v>134</v>
      </c>
      <c r="C30" s="100">
        <f t="shared" si="9"/>
        <v>0</v>
      </c>
      <c r="D30" s="41">
        <f t="shared" si="9"/>
        <v>0</v>
      </c>
      <c r="E30" s="41">
        <f t="shared" si="9"/>
        <v>0</v>
      </c>
      <c r="F30" s="108">
        <f t="shared" si="9"/>
        <v>0</v>
      </c>
      <c r="G30" s="40">
        <f t="shared" si="9"/>
        <v>342.09999999999854</v>
      </c>
      <c r="H30" s="41">
        <f t="shared" si="9"/>
        <v>628.97999999999956</v>
      </c>
      <c r="I30" s="61">
        <f t="shared" si="9"/>
        <v>3669.0099999999984</v>
      </c>
      <c r="J30" s="123">
        <f t="shared" si="9"/>
        <v>4526.4678600000007</v>
      </c>
      <c r="K30" s="41">
        <f t="shared" si="9"/>
        <v>3897.7592599999989</v>
      </c>
      <c r="L30" s="61">
        <f t="shared" si="9"/>
        <v>-25357.253999999997</v>
      </c>
    </row>
    <row r="31" spans="1:14" x14ac:dyDescent="0.25">
      <c r="A31" s="46" t="s">
        <v>135</v>
      </c>
      <c r="C31" s="100">
        <f t="shared" si="9"/>
        <v>0</v>
      </c>
      <c r="D31" s="41">
        <f t="shared" si="9"/>
        <v>0</v>
      </c>
      <c r="E31" s="41">
        <f t="shared" si="9"/>
        <v>0</v>
      </c>
      <c r="F31" s="108">
        <f t="shared" si="9"/>
        <v>0</v>
      </c>
      <c r="G31" s="40">
        <f t="shared" si="9"/>
        <v>3782.7000000000007</v>
      </c>
      <c r="H31" s="41">
        <f t="shared" si="9"/>
        <v>3896.8899999999994</v>
      </c>
      <c r="I31" s="61">
        <f t="shared" si="9"/>
        <v>5024.41</v>
      </c>
      <c r="J31" s="123">
        <f t="shared" si="9"/>
        <v>4887.925220000001</v>
      </c>
      <c r="K31" s="41">
        <f t="shared" si="9"/>
        <v>4284.5011000000013</v>
      </c>
      <c r="L31" s="61">
        <f t="shared" si="9"/>
        <v>-24337.484599999996</v>
      </c>
    </row>
    <row r="32" spans="1:14" x14ac:dyDescent="0.25">
      <c r="A32" s="46" t="s">
        <v>136</v>
      </c>
      <c r="C32" s="100">
        <f t="shared" si="9"/>
        <v>0</v>
      </c>
      <c r="D32" s="41">
        <f t="shared" si="9"/>
        <v>0</v>
      </c>
      <c r="E32" s="41">
        <f t="shared" si="9"/>
        <v>0</v>
      </c>
      <c r="F32" s="108">
        <f t="shared" si="9"/>
        <v>0</v>
      </c>
      <c r="G32" s="40">
        <f t="shared" si="9"/>
        <v>4279.880000000001</v>
      </c>
      <c r="H32" s="41">
        <f t="shared" si="9"/>
        <v>4443.5400000000009</v>
      </c>
      <c r="I32" s="61">
        <f t="shared" si="9"/>
        <v>4383.9700000000012</v>
      </c>
      <c r="J32" s="123">
        <f t="shared" si="9"/>
        <v>2794.1801000000014</v>
      </c>
      <c r="K32" s="41">
        <f t="shared" si="9"/>
        <v>2281.8281000000025</v>
      </c>
      <c r="L32" s="61">
        <f t="shared" si="9"/>
        <v>-20664.342299999997</v>
      </c>
    </row>
    <row r="33" spans="1:12" x14ac:dyDescent="0.25">
      <c r="C33" s="99"/>
      <c r="D33" s="17"/>
      <c r="E33" s="17"/>
      <c r="F33" s="17"/>
      <c r="G33" s="10"/>
      <c r="H33" s="17"/>
      <c r="I33" s="11"/>
      <c r="J33" s="17"/>
      <c r="K33" s="17"/>
      <c r="L33" s="11"/>
    </row>
    <row r="34" spans="1:12" ht="15.75" thickBot="1" x14ac:dyDescent="0.3">
      <c r="A34" s="46" t="s">
        <v>53</v>
      </c>
      <c r="C34" s="99"/>
      <c r="D34" s="17"/>
      <c r="E34" s="17"/>
      <c r="F34" s="17"/>
      <c r="G34" s="10"/>
      <c r="H34" s="17"/>
      <c r="I34" s="11"/>
      <c r="J34" s="17"/>
      <c r="K34" s="17"/>
      <c r="L34" s="11"/>
    </row>
    <row r="35" spans="1:12" x14ac:dyDescent="0.25">
      <c r="A35" s="46" t="s">
        <v>24</v>
      </c>
      <c r="B35" s="116">
        <v>0</v>
      </c>
      <c r="C35" s="100">
        <f t="shared" ref="C35:L38" si="10">B35+C29+B42</f>
        <v>0</v>
      </c>
      <c r="D35" s="41">
        <f t="shared" si="10"/>
        <v>0</v>
      </c>
      <c r="E35" s="41">
        <f t="shared" si="10"/>
        <v>0</v>
      </c>
      <c r="F35" s="108">
        <f t="shared" si="10"/>
        <v>-0.83</v>
      </c>
      <c r="G35" s="40">
        <f t="shared" si="10"/>
        <v>-10594.08</v>
      </c>
      <c r="H35" s="41">
        <f t="shared" si="10"/>
        <v>-6020.0599999999804</v>
      </c>
      <c r="I35" s="61">
        <f t="shared" si="10"/>
        <v>27044.820000000029</v>
      </c>
      <c r="J35" s="123">
        <f t="shared" si="10"/>
        <v>69618.189740000031</v>
      </c>
      <c r="K35" s="41">
        <f t="shared" si="10"/>
        <v>75997.062260000035</v>
      </c>
      <c r="L35" s="61">
        <f t="shared" si="10"/>
        <v>-89457.443819999986</v>
      </c>
    </row>
    <row r="36" spans="1:12" x14ac:dyDescent="0.25">
      <c r="A36" s="46" t="s">
        <v>134</v>
      </c>
      <c r="B36" s="246">
        <v>0</v>
      </c>
      <c r="C36" s="100">
        <f t="shared" si="10"/>
        <v>0</v>
      </c>
      <c r="D36" s="41">
        <f t="shared" si="10"/>
        <v>0</v>
      </c>
      <c r="E36" s="41">
        <f t="shared" si="10"/>
        <v>0</v>
      </c>
      <c r="F36" s="108">
        <f t="shared" si="10"/>
        <v>0</v>
      </c>
      <c r="G36" s="40">
        <f t="shared" si="10"/>
        <v>342.09999999999854</v>
      </c>
      <c r="H36" s="41">
        <f t="shared" si="10"/>
        <v>971.27999999999815</v>
      </c>
      <c r="I36" s="61">
        <f t="shared" si="10"/>
        <v>4641.189999999996</v>
      </c>
      <c r="J36" s="123">
        <f t="shared" si="10"/>
        <v>9171.9778599999954</v>
      </c>
      <c r="K36" s="41">
        <f t="shared" si="10"/>
        <v>13080.377119999994</v>
      </c>
      <c r="L36" s="61">
        <f t="shared" si="10"/>
        <v>-12259.736880000004</v>
      </c>
    </row>
    <row r="37" spans="1:12" x14ac:dyDescent="0.25">
      <c r="A37" s="46" t="s">
        <v>135</v>
      </c>
      <c r="B37" s="246">
        <v>0</v>
      </c>
      <c r="C37" s="100">
        <f t="shared" si="10"/>
        <v>0</v>
      </c>
      <c r="D37" s="41">
        <f t="shared" si="10"/>
        <v>0</v>
      </c>
      <c r="E37" s="41">
        <f t="shared" si="10"/>
        <v>0</v>
      </c>
      <c r="F37" s="108">
        <f t="shared" si="10"/>
        <v>0</v>
      </c>
      <c r="G37" s="40">
        <f t="shared" si="10"/>
        <v>3782.7000000000007</v>
      </c>
      <c r="H37" s="41">
        <f t="shared" si="10"/>
        <v>7681.81</v>
      </c>
      <c r="I37" s="61">
        <f t="shared" si="10"/>
        <v>12714.090000000002</v>
      </c>
      <c r="J37" s="123">
        <f t="shared" si="10"/>
        <v>17617.72522</v>
      </c>
      <c r="K37" s="41">
        <f t="shared" si="10"/>
        <v>21925.586320000002</v>
      </c>
      <c r="L37" s="61">
        <f t="shared" si="10"/>
        <v>-2381.4382799999939</v>
      </c>
    </row>
    <row r="38" spans="1:12" ht="15.75" thickBot="1" x14ac:dyDescent="0.3">
      <c r="A38" s="46" t="s">
        <v>136</v>
      </c>
      <c r="B38" s="117">
        <v>0</v>
      </c>
      <c r="C38" s="100">
        <f t="shared" si="10"/>
        <v>0</v>
      </c>
      <c r="D38" s="41">
        <f t="shared" si="10"/>
        <v>0</v>
      </c>
      <c r="E38" s="41">
        <f t="shared" si="10"/>
        <v>0</v>
      </c>
      <c r="F38" s="108">
        <f t="shared" si="10"/>
        <v>0</v>
      </c>
      <c r="G38" s="40">
        <f t="shared" si="10"/>
        <v>4279.880000000001</v>
      </c>
      <c r="H38" s="41">
        <f t="shared" si="10"/>
        <v>8725.9300000000021</v>
      </c>
      <c r="I38" s="61">
        <f t="shared" si="10"/>
        <v>13118.830000000004</v>
      </c>
      <c r="J38" s="123">
        <f t="shared" si="10"/>
        <v>15929.830100000005</v>
      </c>
      <c r="K38" s="41">
        <f t="shared" si="10"/>
        <v>18234.028200000004</v>
      </c>
      <c r="L38" s="61">
        <f t="shared" si="10"/>
        <v>-2403.9940999999922</v>
      </c>
    </row>
    <row r="39" spans="1:12" x14ac:dyDescent="0.25">
      <c r="C39" s="99"/>
      <c r="D39" s="17"/>
      <c r="E39" s="17"/>
      <c r="F39" s="17"/>
      <c r="G39" s="10"/>
      <c r="H39" s="17"/>
      <c r="I39" s="11"/>
      <c r="J39" s="17"/>
      <c r="K39" s="17"/>
      <c r="L39" s="11"/>
    </row>
    <row r="40" spans="1:12" x14ac:dyDescent="0.25">
      <c r="A40" s="39" t="s">
        <v>88</v>
      </c>
      <c r="B40" s="39"/>
      <c r="C40" s="104"/>
      <c r="D40" s="83">
        <f>+'PCR Cycle 2'!D47</f>
        <v>1.1167499999999999E-3</v>
      </c>
      <c r="E40" s="83">
        <f>+'PCR Cycle 2'!E47</f>
        <v>1.1281900000000001E-3</v>
      </c>
      <c r="F40" s="83">
        <f>+'PCR Cycle 2'!F47</f>
        <v>1.1297799999999999E-3</v>
      </c>
      <c r="G40" s="84">
        <f>+'PCR Cycle 2'!G47</f>
        <v>1.1744100000000001E-3</v>
      </c>
      <c r="H40" s="83">
        <f>+'PCR Cycle 2'!H47</f>
        <v>1.3724799999999999E-3</v>
      </c>
      <c r="I40" s="92">
        <f>+'PCR Cycle 2'!I47</f>
        <v>1.53951E-3</v>
      </c>
      <c r="J40" s="83">
        <f>+'PCR Cycle 2'!J47</f>
        <v>1.53951E-3</v>
      </c>
      <c r="K40" s="83">
        <f>+'PCR Cycle 2'!K47</f>
        <v>1.53951E-3</v>
      </c>
      <c r="L40" s="85"/>
    </row>
    <row r="41" spans="1:12" x14ac:dyDescent="0.25">
      <c r="A41" s="39" t="s">
        <v>37</v>
      </c>
      <c r="B41" s="39"/>
      <c r="C41" s="106"/>
      <c r="D41" s="83"/>
      <c r="E41" s="83"/>
      <c r="F41" s="83"/>
      <c r="G41" s="84"/>
      <c r="H41" s="83"/>
      <c r="I41" s="85"/>
      <c r="J41" s="83"/>
      <c r="K41" s="83"/>
      <c r="L41" s="85"/>
    </row>
    <row r="42" spans="1:12" x14ac:dyDescent="0.25">
      <c r="A42" s="46" t="s">
        <v>24</v>
      </c>
      <c r="C42" s="100">
        <v>0</v>
      </c>
      <c r="D42" s="41">
        <f t="shared" ref="D42:L45" si="11">ROUND((C35+C42+D29/2)*D$40,2)</f>
        <v>0</v>
      </c>
      <c r="E42" s="41">
        <f t="shared" si="11"/>
        <v>0</v>
      </c>
      <c r="F42" s="108">
        <f t="shared" si="11"/>
        <v>0</v>
      </c>
      <c r="G42" s="40">
        <f t="shared" si="11"/>
        <v>-6.22</v>
      </c>
      <c r="H42" s="123">
        <f t="shared" si="11"/>
        <v>-11.41</v>
      </c>
      <c r="I42" s="49">
        <f t="shared" si="11"/>
        <v>16.18</v>
      </c>
      <c r="J42" s="162">
        <f t="shared" si="11"/>
        <v>74.42</v>
      </c>
      <c r="K42" s="108">
        <f t="shared" si="11"/>
        <v>112.15</v>
      </c>
      <c r="L42" s="61">
        <f t="shared" si="11"/>
        <v>0</v>
      </c>
    </row>
    <row r="43" spans="1:12" x14ac:dyDescent="0.25">
      <c r="A43" s="46" t="s">
        <v>134</v>
      </c>
      <c r="C43" s="100">
        <v>0</v>
      </c>
      <c r="D43" s="41">
        <f t="shared" si="11"/>
        <v>0</v>
      </c>
      <c r="E43" s="41">
        <f t="shared" si="11"/>
        <v>0</v>
      </c>
      <c r="F43" s="108">
        <f t="shared" si="11"/>
        <v>0</v>
      </c>
      <c r="G43" s="40">
        <f t="shared" si="11"/>
        <v>0.2</v>
      </c>
      <c r="H43" s="123">
        <f t="shared" si="11"/>
        <v>0.9</v>
      </c>
      <c r="I43" s="49">
        <f t="shared" si="11"/>
        <v>4.32</v>
      </c>
      <c r="J43" s="162">
        <f t="shared" si="11"/>
        <v>10.64</v>
      </c>
      <c r="K43" s="108">
        <f t="shared" si="11"/>
        <v>17.14</v>
      </c>
      <c r="L43" s="61">
        <f t="shared" si="11"/>
        <v>0</v>
      </c>
    </row>
    <row r="44" spans="1:12" x14ac:dyDescent="0.25">
      <c r="A44" s="46" t="s">
        <v>135</v>
      </c>
      <c r="C44" s="100">
        <v>0</v>
      </c>
      <c r="D44" s="41">
        <f t="shared" si="11"/>
        <v>0</v>
      </c>
      <c r="E44" s="41">
        <f t="shared" si="11"/>
        <v>0</v>
      </c>
      <c r="F44" s="108">
        <f t="shared" si="11"/>
        <v>0</v>
      </c>
      <c r="G44" s="40">
        <f t="shared" si="11"/>
        <v>2.2200000000000002</v>
      </c>
      <c r="H44" s="123">
        <f t="shared" si="11"/>
        <v>7.87</v>
      </c>
      <c r="I44" s="49">
        <f t="shared" si="11"/>
        <v>15.71</v>
      </c>
      <c r="J44" s="162">
        <f t="shared" si="11"/>
        <v>23.36</v>
      </c>
      <c r="K44" s="108">
        <f t="shared" si="11"/>
        <v>30.46</v>
      </c>
      <c r="L44" s="61">
        <f t="shared" si="11"/>
        <v>0</v>
      </c>
    </row>
    <row r="45" spans="1:12" ht="15.75" thickBot="1" x14ac:dyDescent="0.3">
      <c r="A45" s="46" t="s">
        <v>136</v>
      </c>
      <c r="C45" s="100">
        <v>0</v>
      </c>
      <c r="D45" s="41">
        <f t="shared" si="11"/>
        <v>0</v>
      </c>
      <c r="E45" s="41">
        <f t="shared" si="11"/>
        <v>0</v>
      </c>
      <c r="F45" s="108">
        <f t="shared" si="11"/>
        <v>0</v>
      </c>
      <c r="G45" s="40">
        <f t="shared" si="11"/>
        <v>2.5099999999999998</v>
      </c>
      <c r="H45" s="123">
        <f t="shared" si="11"/>
        <v>8.93</v>
      </c>
      <c r="I45" s="49">
        <f t="shared" si="11"/>
        <v>16.82</v>
      </c>
      <c r="J45" s="162">
        <f t="shared" si="11"/>
        <v>22.37</v>
      </c>
      <c r="K45" s="108">
        <f t="shared" si="11"/>
        <v>26.32</v>
      </c>
      <c r="L45" s="61">
        <f t="shared" si="11"/>
        <v>0</v>
      </c>
    </row>
    <row r="46" spans="1:12" ht="16.5" thickTop="1" thickBot="1" x14ac:dyDescent="0.3">
      <c r="A46" s="54" t="s">
        <v>22</v>
      </c>
      <c r="B46" s="54"/>
      <c r="C46" s="107">
        <v>0</v>
      </c>
      <c r="D46" s="42">
        <f t="shared" ref="D46:L46" si="12">SUM(D42:D45)+SUM(D35:D38)-D49</f>
        <v>0</v>
      </c>
      <c r="E46" s="42">
        <f t="shared" si="12"/>
        <v>0</v>
      </c>
      <c r="F46" s="50">
        <f t="shared" si="12"/>
        <v>0</v>
      </c>
      <c r="G46" s="146">
        <f t="shared" si="12"/>
        <v>7.2759576141834259E-12</v>
      </c>
      <c r="H46" s="50">
        <f t="shared" si="12"/>
        <v>3.2741809263825417E-11</v>
      </c>
      <c r="I46" s="62">
        <f t="shared" si="12"/>
        <v>0</v>
      </c>
      <c r="J46" s="163">
        <f t="shared" si="12"/>
        <v>0</v>
      </c>
      <c r="K46" s="50">
        <f t="shared" si="12"/>
        <v>0</v>
      </c>
      <c r="L46" s="62">
        <f t="shared" si="12"/>
        <v>0</v>
      </c>
    </row>
    <row r="47" spans="1:12" ht="16.5" thickTop="1" thickBot="1" x14ac:dyDescent="0.3">
      <c r="A47" s="54" t="s">
        <v>23</v>
      </c>
      <c r="B47" s="54"/>
      <c r="C47" s="107">
        <v>0</v>
      </c>
      <c r="D47" s="42">
        <f t="shared" ref="D47:L47" si="13">SUM(D42:D45)-D26</f>
        <v>0</v>
      </c>
      <c r="E47" s="42">
        <f t="shared" si="13"/>
        <v>0</v>
      </c>
      <c r="F47" s="50">
        <f t="shared" si="13"/>
        <v>0</v>
      </c>
      <c r="G47" s="146">
        <f t="shared" si="13"/>
        <v>0</v>
      </c>
      <c r="H47" s="50">
        <f t="shared" si="13"/>
        <v>0</v>
      </c>
      <c r="I47" s="62">
        <f t="shared" si="13"/>
        <v>0</v>
      </c>
      <c r="J47" s="164">
        <f t="shared" si="13"/>
        <v>0.89999999999997726</v>
      </c>
      <c r="K47" s="42">
        <f t="shared" si="13"/>
        <v>2.7500000000000284</v>
      </c>
      <c r="L47" s="42">
        <f t="shared" si="13"/>
        <v>0</v>
      </c>
    </row>
    <row r="48" spans="1:12" ht="16.5" thickTop="1" thickBot="1" x14ac:dyDescent="0.3">
      <c r="C48" s="99"/>
      <c r="D48" s="17"/>
      <c r="E48" s="17"/>
      <c r="F48" s="17"/>
      <c r="G48" s="10"/>
      <c r="H48" s="17"/>
      <c r="I48" s="11"/>
      <c r="J48" s="17"/>
      <c r="K48" s="17"/>
      <c r="L48" s="11"/>
    </row>
    <row r="49" spans="1:12" ht="15.75" thickBot="1" x14ac:dyDescent="0.3">
      <c r="A49" s="46" t="s">
        <v>36</v>
      </c>
      <c r="B49" s="119">
        <f>SUM(B35:B38)</f>
        <v>0</v>
      </c>
      <c r="C49" s="100">
        <f t="shared" ref="C49:L49" si="14">(C12-SUM(C15:C18))+SUM(C42:C45)+B49</f>
        <v>0</v>
      </c>
      <c r="D49" s="41">
        <f t="shared" si="14"/>
        <v>0</v>
      </c>
      <c r="E49" s="41">
        <f t="shared" si="14"/>
        <v>0</v>
      </c>
      <c r="F49" s="108">
        <f t="shared" si="14"/>
        <v>-0.83</v>
      </c>
      <c r="G49" s="40">
        <f t="shared" si="14"/>
        <v>-2190.6900000000069</v>
      </c>
      <c r="H49" s="41">
        <f t="shared" si="14"/>
        <v>11365.249999999989</v>
      </c>
      <c r="I49" s="61">
        <f t="shared" si="14"/>
        <v>57571.959999999977</v>
      </c>
      <c r="J49" s="162">
        <f t="shared" si="14"/>
        <v>112468.51291999998</v>
      </c>
      <c r="K49" s="108">
        <f t="shared" si="14"/>
        <v>129423.12389999998</v>
      </c>
      <c r="L49" s="61">
        <f t="shared" si="14"/>
        <v>-106502.61308000001</v>
      </c>
    </row>
    <row r="50" spans="1:12" x14ac:dyDescent="0.25">
      <c r="A50" s="46" t="s">
        <v>12</v>
      </c>
      <c r="C50" s="120"/>
      <c r="D50" s="17"/>
      <c r="E50" s="17"/>
      <c r="F50" s="17"/>
      <c r="G50" s="10"/>
      <c r="H50" s="17"/>
      <c r="I50" s="11"/>
      <c r="J50" s="17"/>
      <c r="K50" s="17"/>
      <c r="L50" s="11"/>
    </row>
    <row r="51" spans="1:12" ht="15.75" thickBot="1" x14ac:dyDescent="0.3">
      <c r="A51" s="37"/>
      <c r="B51" s="37"/>
      <c r="C51" s="147"/>
      <c r="D51" s="44"/>
      <c r="E51" s="44"/>
      <c r="F51" s="44"/>
      <c r="G51" s="43"/>
      <c r="H51" s="44"/>
      <c r="I51" s="45"/>
      <c r="J51" s="44"/>
      <c r="K51" s="44"/>
      <c r="L51" s="45"/>
    </row>
    <row r="53" spans="1:12" x14ac:dyDescent="0.25">
      <c r="A53" s="69" t="s">
        <v>11</v>
      </c>
      <c r="B53" s="69"/>
      <c r="C53" s="69"/>
    </row>
    <row r="54" spans="1:12" ht="31.5" customHeight="1" x14ac:dyDescent="0.25">
      <c r="A54" s="310" t="s">
        <v>164</v>
      </c>
      <c r="B54" s="310"/>
      <c r="C54" s="310"/>
      <c r="D54" s="310"/>
      <c r="E54" s="310"/>
      <c r="F54" s="310"/>
      <c r="G54" s="310"/>
      <c r="H54" s="310"/>
      <c r="I54" s="310"/>
      <c r="J54" s="294"/>
      <c r="K54" s="294"/>
      <c r="L54" s="294"/>
    </row>
    <row r="55" spans="1:12" ht="32.450000000000003" customHeight="1" x14ac:dyDescent="0.25">
      <c r="A55" s="310" t="s">
        <v>215</v>
      </c>
      <c r="B55" s="310"/>
      <c r="C55" s="310"/>
      <c r="D55" s="310"/>
      <c r="E55" s="310"/>
      <c r="F55" s="310"/>
      <c r="G55" s="310"/>
      <c r="H55" s="310"/>
      <c r="I55" s="310"/>
      <c r="J55" s="294"/>
      <c r="K55" s="294"/>
    </row>
    <row r="56" spans="1:12" ht="18.75" customHeight="1" x14ac:dyDescent="0.25">
      <c r="A56" s="310" t="s">
        <v>165</v>
      </c>
      <c r="B56" s="310"/>
      <c r="C56" s="310"/>
      <c r="D56" s="310"/>
      <c r="E56" s="310"/>
      <c r="F56" s="310"/>
      <c r="G56" s="310"/>
      <c r="H56" s="310"/>
      <c r="I56" s="310"/>
      <c r="J56" s="294"/>
      <c r="K56" s="294"/>
      <c r="L56" s="294"/>
    </row>
    <row r="57" spans="1:12" x14ac:dyDescent="0.25">
      <c r="A57" s="63" t="s">
        <v>31</v>
      </c>
      <c r="B57" s="63"/>
      <c r="C57" s="63"/>
      <c r="D57" s="39"/>
      <c r="E57" s="39"/>
      <c r="F57" s="39"/>
      <c r="G57" s="39"/>
      <c r="H57" s="39"/>
      <c r="I57" s="39"/>
    </row>
    <row r="58" spans="1:12" x14ac:dyDescent="0.25">
      <c r="A58" s="63" t="s">
        <v>186</v>
      </c>
      <c r="B58" s="63"/>
      <c r="C58" s="63"/>
      <c r="D58" s="39"/>
      <c r="E58" s="39"/>
      <c r="F58" s="39"/>
      <c r="G58" s="39"/>
      <c r="H58" s="39"/>
      <c r="I58" s="39"/>
    </row>
    <row r="59" spans="1:12" x14ac:dyDescent="0.25">
      <c r="A59" s="63" t="s">
        <v>95</v>
      </c>
      <c r="B59" s="63"/>
      <c r="C59" s="63"/>
      <c r="D59" s="39"/>
      <c r="E59" s="39"/>
      <c r="F59" s="39"/>
      <c r="G59" s="39"/>
      <c r="H59" s="39"/>
      <c r="I59" s="39"/>
    </row>
    <row r="60" spans="1:12" x14ac:dyDescent="0.25">
      <c r="A60" s="3"/>
      <c r="B60" s="3"/>
      <c r="C60" s="3"/>
    </row>
  </sheetData>
  <mergeCells count="6">
    <mergeCell ref="A56:I56"/>
    <mergeCell ref="D10:F10"/>
    <mergeCell ref="G10:I10"/>
    <mergeCell ref="J10:L10"/>
    <mergeCell ref="A54:I54"/>
    <mergeCell ref="A55:I55"/>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33"/>
  <sheetViews>
    <sheetView workbookViewId="0">
      <selection activeCell="F13" sqref="F13"/>
    </sheetView>
  </sheetViews>
  <sheetFormatPr defaultColWidth="9.140625" defaultRowHeight="15" x14ac:dyDescent="0.25"/>
  <cols>
    <col min="1" max="1" width="43.140625" style="46" customWidth="1"/>
    <col min="2" max="2" width="14.28515625" style="46" bestFit="1" customWidth="1"/>
    <col min="3" max="3" width="14.28515625" style="46" customWidth="1"/>
    <col min="4" max="4" width="13.28515625" style="46" bestFit="1" customWidth="1"/>
    <col min="5" max="5" width="12.28515625" style="46" bestFit="1" customWidth="1"/>
    <col min="6" max="6" width="13.42578125" style="46" bestFit="1" customWidth="1"/>
    <col min="7" max="16384" width="9.140625" style="46"/>
  </cols>
  <sheetData>
    <row r="1" spans="1:4" x14ac:dyDescent="0.25">
      <c r="A1" s="63" t="str">
        <f>+'PPC Cycle 3'!A1</f>
        <v>Evergy Missouri West, Inc. - DSIM Rider Update Filed 06/01/2022</v>
      </c>
    </row>
    <row r="2" spans="1:4" x14ac:dyDescent="0.25">
      <c r="A2" s="9" t="str">
        <f>+'PPC Cycle 3'!A2</f>
        <v>Projections for Cycle 3 July 2022 - June 2023 DSIM</v>
      </c>
    </row>
    <row r="3" spans="1:4" ht="45.75" customHeight="1" x14ac:dyDescent="0.25">
      <c r="B3" s="306" t="s">
        <v>97</v>
      </c>
      <c r="C3" s="306"/>
      <c r="D3" s="306"/>
    </row>
    <row r="4" spans="1:4" x14ac:dyDescent="0.25">
      <c r="B4" s="48" t="s">
        <v>17</v>
      </c>
    </row>
    <row r="5" spans="1:4" x14ac:dyDescent="0.25">
      <c r="A5" s="20" t="s">
        <v>84</v>
      </c>
      <c r="B5" s="297">
        <f>+B8</f>
        <v>-116664.99999999997</v>
      </c>
    </row>
    <row r="6" spans="1:4" x14ac:dyDescent="0.25">
      <c r="A6" s="20" t="s">
        <v>85</v>
      </c>
      <c r="B6" s="297">
        <f>+C8</f>
        <v>-11757.390000000001</v>
      </c>
    </row>
    <row r="7" spans="1:4" ht="30" x14ac:dyDescent="0.25">
      <c r="A7" s="20"/>
      <c r="B7" s="274" t="s">
        <v>84</v>
      </c>
      <c r="C7" s="275" t="s">
        <v>85</v>
      </c>
      <c r="D7" s="275" t="s">
        <v>5</v>
      </c>
    </row>
    <row r="8" spans="1:4" x14ac:dyDescent="0.25">
      <c r="A8" s="20" t="s">
        <v>24</v>
      </c>
      <c r="B8" s="217">
        <f>-'[24]OA Cycle 2'!$E$107</f>
        <v>-116664.99999999997</v>
      </c>
      <c r="C8" s="217">
        <f>-'[24]OA Cycle 2'!$K$107</f>
        <v>-11757.390000000001</v>
      </c>
      <c r="D8" s="217">
        <f>SUM(B8:C8)</f>
        <v>-128422.38999999997</v>
      </c>
    </row>
    <row r="9" spans="1:4" x14ac:dyDescent="0.25">
      <c r="A9" s="20" t="s">
        <v>25</v>
      </c>
      <c r="B9" s="217">
        <v>0</v>
      </c>
      <c r="C9" s="217">
        <v>0</v>
      </c>
      <c r="D9" s="217">
        <f>SUM(B9:C9)</f>
        <v>0</v>
      </c>
    </row>
    <row r="10" spans="1:4" ht="15.75" thickBot="1" x14ac:dyDescent="0.3">
      <c r="A10" s="20" t="s">
        <v>5</v>
      </c>
      <c r="B10" s="218">
        <f>SUM(B8:B9)</f>
        <v>-116664.99999999997</v>
      </c>
      <c r="C10" s="218">
        <f>SUM(C8:C9)</f>
        <v>-11757.390000000001</v>
      </c>
      <c r="D10" s="218">
        <f>SUM(D8:D9)</f>
        <v>-128422.38999999997</v>
      </c>
    </row>
    <row r="11" spans="1:4" ht="16.5" thickTop="1" thickBot="1" x14ac:dyDescent="0.3">
      <c r="B11" s="219">
        <f>+B10-B5</f>
        <v>0</v>
      </c>
      <c r="C11" s="219">
        <f>+C10-B6</f>
        <v>0</v>
      </c>
      <c r="D11" s="219">
        <f>ROUND(B5+B6,2)-D10</f>
        <v>0</v>
      </c>
    </row>
    <row r="12" spans="1:4" ht="30.75" thickTop="1" x14ac:dyDescent="0.25">
      <c r="B12" s="228"/>
      <c r="C12" s="227" t="s">
        <v>110</v>
      </c>
    </row>
    <row r="13" spans="1:4" x14ac:dyDescent="0.25">
      <c r="A13" s="20" t="s">
        <v>107</v>
      </c>
      <c r="B13" s="217">
        <f>ROUND($D$9*C13,2)</f>
        <v>0</v>
      </c>
      <c r="C13" s="225">
        <f>+'PCR Cycle 2'!K8</f>
        <v>0.39209287804949344</v>
      </c>
    </row>
    <row r="14" spans="1:4" x14ac:dyDescent="0.25">
      <c r="A14" s="20" t="s">
        <v>108</v>
      </c>
      <c r="B14" s="217">
        <f>ROUND($D$9*C14,2)</f>
        <v>0</v>
      </c>
      <c r="C14" s="225">
        <f>+'PCR Cycle 2'!K9</f>
        <v>0.45435908608374953</v>
      </c>
    </row>
    <row r="15" spans="1:4" ht="15.75" thickBot="1" x14ac:dyDescent="0.3">
      <c r="A15" s="20" t="s">
        <v>109</v>
      </c>
      <c r="B15" s="217">
        <f>ROUND($D$9*C15,2)</f>
        <v>0</v>
      </c>
      <c r="C15" s="225">
        <f>+'PCR Cycle 2'!K10</f>
        <v>0.15354803586675725</v>
      </c>
    </row>
    <row r="16" spans="1:4" ht="16.5" thickTop="1" thickBot="1" x14ac:dyDescent="0.3">
      <c r="A16" s="20" t="s">
        <v>111</v>
      </c>
      <c r="B16" s="32">
        <f>SUM(B13:B15)</f>
        <v>0</v>
      </c>
      <c r="C16" s="226">
        <f>SUM(C13:C15)</f>
        <v>1.0000000000000002</v>
      </c>
    </row>
    <row r="17" spans="1:5" ht="15.75" thickTop="1" x14ac:dyDescent="0.25"/>
    <row r="18" spans="1:5" x14ac:dyDescent="0.25">
      <c r="A18" s="53" t="s">
        <v>11</v>
      </c>
    </row>
    <row r="19" spans="1:5" s="39" customFormat="1" x14ac:dyDescent="0.25">
      <c r="A19" s="3" t="s">
        <v>216</v>
      </c>
      <c r="B19" s="46"/>
      <c r="C19" s="46"/>
      <c r="D19" s="46"/>
    </row>
    <row r="20" spans="1:5" s="39" customFormat="1" x14ac:dyDescent="0.25">
      <c r="A20" s="3" t="s">
        <v>217</v>
      </c>
      <c r="B20" s="46"/>
      <c r="C20" s="46"/>
      <c r="D20" s="46"/>
    </row>
    <row r="21" spans="1:5" s="39" customFormat="1" x14ac:dyDescent="0.25">
      <c r="A21" s="3"/>
      <c r="B21" s="46"/>
      <c r="C21" s="46"/>
      <c r="D21" s="46"/>
    </row>
    <row r="23" spans="1:5" x14ac:dyDescent="0.25">
      <c r="A23" s="3"/>
      <c r="D23" s="190"/>
    </row>
    <row r="24" spans="1:5" x14ac:dyDescent="0.25">
      <c r="D24" s="190"/>
    </row>
    <row r="25" spans="1:5" x14ac:dyDescent="0.25">
      <c r="B25" s="70"/>
      <c r="D25" s="190"/>
    </row>
    <row r="26" spans="1:5" x14ac:dyDescent="0.25">
      <c r="A26" s="214"/>
      <c r="B26" s="215"/>
      <c r="D26" s="190"/>
    </row>
    <row r="27" spans="1:5" x14ac:dyDescent="0.25">
      <c r="A27" s="214"/>
      <c r="B27" s="215"/>
      <c r="D27" s="190"/>
    </row>
    <row r="28" spans="1:5" x14ac:dyDescent="0.25">
      <c r="A28" s="214"/>
      <c r="B28" s="215"/>
      <c r="D28" s="190"/>
    </row>
    <row r="29" spans="1:5" x14ac:dyDescent="0.25">
      <c r="A29" s="214"/>
      <c r="B29" s="215"/>
      <c r="D29" s="190"/>
      <c r="E29" s="273"/>
    </row>
    <row r="30" spans="1:5" x14ac:dyDescent="0.25">
      <c r="A30" s="214"/>
      <c r="B30" s="191"/>
      <c r="D30" s="190"/>
    </row>
    <row r="31" spans="1:5" x14ac:dyDescent="0.25">
      <c r="A31" s="214"/>
      <c r="B31" s="191"/>
      <c r="D31" s="190"/>
    </row>
    <row r="32" spans="1:5" ht="17.25" x14ac:dyDescent="0.4">
      <c r="A32" s="214"/>
      <c r="B32" s="191"/>
      <c r="D32" s="216"/>
    </row>
    <row r="33" spans="1:4" x14ac:dyDescent="0.25">
      <c r="A33" s="214"/>
      <c r="D33" s="190"/>
    </row>
  </sheetData>
  <mergeCells count="1">
    <mergeCell ref="B3:D3"/>
  </mergeCells>
  <pageMargins left="0.2" right="0.2" top="0.75" bottom="0.25" header="0.3" footer="0.3"/>
  <pageSetup scale="99" orientation="landscape" r:id="rId1"/>
  <headerFooter>
    <oddHeader>&amp;C&amp;F &amp;A&amp;R&amp;"Arial"&amp;10&amp;K000000CONFIDENTIAL</oddHeader>
    <oddFooter>&amp;R&amp;1#&amp;"Calibri"&amp;10&amp;KA80000Internal Use Only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53"/>
  <sheetViews>
    <sheetView tabSelected="1" workbookViewId="0">
      <selection activeCell="D9" sqref="D9"/>
    </sheetView>
  </sheetViews>
  <sheetFormatPr defaultColWidth="9.140625" defaultRowHeight="15" x14ac:dyDescent="0.25"/>
  <cols>
    <col min="1" max="1" width="37.7109375" style="46" customWidth="1"/>
    <col min="2" max="2" width="12.28515625" style="46" bestFit="1" customWidth="1"/>
    <col min="3" max="3" width="12.42578125" style="46" bestFit="1" customWidth="1"/>
    <col min="4" max="4" width="15.42578125" style="46" customWidth="1"/>
    <col min="5" max="5" width="15.85546875" style="46" bestFit="1" customWidth="1"/>
    <col min="6" max="6" width="12.28515625" style="46" bestFit="1" customWidth="1"/>
    <col min="7" max="8" width="13.28515625" style="46" bestFit="1" customWidth="1"/>
    <col min="9" max="9" width="12.28515625" style="46" bestFit="1" customWidth="1"/>
    <col min="10" max="10" width="12.42578125" style="46" customWidth="1"/>
    <col min="11" max="11" width="12.85546875" style="46" customWidth="1"/>
    <col min="12" max="12" width="16" style="46" customWidth="1"/>
    <col min="13" max="13" width="15" style="46" bestFit="1" customWidth="1"/>
    <col min="14" max="14" width="16" style="46" bestFit="1" customWidth="1"/>
    <col min="15" max="15" width="17.85546875" style="46" customWidth="1"/>
    <col min="16" max="16" width="15.28515625" style="46" bestFit="1" customWidth="1"/>
    <col min="17" max="17" width="17.42578125" style="46" bestFit="1" customWidth="1"/>
    <col min="18" max="18" width="16.28515625" style="46" bestFit="1" customWidth="1"/>
    <col min="19" max="19" width="15.28515625" style="46" bestFit="1" customWidth="1"/>
    <col min="20" max="20" width="12.42578125" style="46" customWidth="1"/>
    <col min="21" max="22" width="14.28515625" style="46" bestFit="1" customWidth="1"/>
    <col min="23" max="16384" width="9.140625" style="46"/>
  </cols>
  <sheetData>
    <row r="1" spans="1:35" x14ac:dyDescent="0.25">
      <c r="A1" s="3" t="str">
        <f>+'PPC Cycle 3'!A1</f>
        <v>Evergy Missouri West, Inc. - DSIM Rider Update Filed 06/01/2022</v>
      </c>
      <c r="B1" s="3"/>
      <c r="C1" s="3"/>
    </row>
    <row r="2" spans="1:35" x14ac:dyDescent="0.25">
      <c r="D2" s="3" t="s">
        <v>96</v>
      </c>
    </row>
    <row r="3" spans="1:35" ht="30" x14ac:dyDescent="0.25">
      <c r="D3" s="48" t="s">
        <v>46</v>
      </c>
      <c r="E3" s="70" t="s">
        <v>17</v>
      </c>
      <c r="F3" s="48" t="s">
        <v>3</v>
      </c>
      <c r="G3" s="70" t="s">
        <v>55</v>
      </c>
      <c r="H3" s="48" t="s">
        <v>10</v>
      </c>
      <c r="I3" s="48" t="s">
        <v>18</v>
      </c>
      <c r="S3" s="48"/>
    </row>
    <row r="4" spans="1:35" x14ac:dyDescent="0.25">
      <c r="A4" s="20" t="s">
        <v>24</v>
      </c>
      <c r="B4" s="20"/>
      <c r="C4" s="20"/>
      <c r="D4" s="22">
        <f>SUM(C18:L18)</f>
        <v>0</v>
      </c>
      <c r="E4" s="22">
        <f>SUM(C22:K22)</f>
        <v>0</v>
      </c>
      <c r="F4" s="22">
        <f>E4-D4</f>
        <v>0</v>
      </c>
      <c r="G4" s="22">
        <f>+B32</f>
        <v>0</v>
      </c>
      <c r="H4" s="22">
        <f>SUM(C37:K37)</f>
        <v>0</v>
      </c>
      <c r="I4" s="290">
        <f>SUM(F4:H4)</f>
        <v>0</v>
      </c>
      <c r="J4" s="47">
        <f>+I4-L32</f>
        <v>0</v>
      </c>
      <c r="M4" s="47"/>
    </row>
    <row r="5" spans="1:35" ht="15.75" thickBot="1" x14ac:dyDescent="0.3">
      <c r="A5" s="20" t="s">
        <v>25</v>
      </c>
      <c r="B5" s="20"/>
      <c r="C5" s="20"/>
      <c r="D5" s="22">
        <f>SUM(C19:L19)</f>
        <v>0</v>
      </c>
      <c r="E5" s="22">
        <f>SUM(C23:K23)</f>
        <v>0</v>
      </c>
      <c r="F5" s="22">
        <f>E5-D5</f>
        <v>0</v>
      </c>
      <c r="G5" s="22">
        <f>+B33</f>
        <v>0</v>
      </c>
      <c r="H5" s="22">
        <f>SUM(C38:K38)</f>
        <v>0</v>
      </c>
      <c r="I5" s="290">
        <f>SUM(F5:H5)</f>
        <v>0</v>
      </c>
      <c r="J5" s="47">
        <f>+I5-L33</f>
        <v>0</v>
      </c>
      <c r="M5" s="47"/>
    </row>
    <row r="6" spans="1:35" ht="16.5" thickTop="1" thickBot="1" x14ac:dyDescent="0.3">
      <c r="D6" s="27">
        <f t="shared" ref="D6" si="0">SUM(D4:D5)</f>
        <v>0</v>
      </c>
      <c r="E6" s="27">
        <f>SUM(E4:E5)</f>
        <v>0</v>
      </c>
      <c r="F6" s="27">
        <f>SUM(F4:F5)</f>
        <v>0</v>
      </c>
      <c r="G6" s="27">
        <f>SUM(G4:G5)</f>
        <v>0</v>
      </c>
      <c r="H6" s="27">
        <f>SUM(H4:H5)</f>
        <v>0</v>
      </c>
      <c r="I6" s="27">
        <f>SUM(I4:I5)</f>
        <v>0</v>
      </c>
      <c r="T6" s="5"/>
    </row>
    <row r="7" spans="1:35" ht="45.75" thickTop="1" x14ac:dyDescent="0.25">
      <c r="I7" s="228"/>
      <c r="J7" s="227" t="s">
        <v>122</v>
      </c>
    </row>
    <row r="8" spans="1:35" x14ac:dyDescent="0.25">
      <c r="A8" s="20" t="s">
        <v>107</v>
      </c>
      <c r="I8" s="25">
        <f>ROUND($I$5*J8,2)</f>
        <v>0</v>
      </c>
      <c r="J8" s="225">
        <f>+'PCR Cycle 2'!K8</f>
        <v>0.39209287804949344</v>
      </c>
    </row>
    <row r="9" spans="1:35" x14ac:dyDescent="0.25">
      <c r="A9" s="20" t="s">
        <v>108</v>
      </c>
      <c r="I9" s="25">
        <f t="shared" ref="I9:I10" si="1">ROUND($I$5*J9,2)</f>
        <v>0</v>
      </c>
      <c r="J9" s="225">
        <f>+'PCR Cycle 2'!K9</f>
        <v>0.45435908608374953</v>
      </c>
    </row>
    <row r="10" spans="1:35" ht="15.75" thickBot="1" x14ac:dyDescent="0.3">
      <c r="A10" s="20" t="s">
        <v>109</v>
      </c>
      <c r="I10" s="25">
        <f t="shared" si="1"/>
        <v>0</v>
      </c>
      <c r="J10" s="225">
        <f>+'PCR Cycle 2'!K10</f>
        <v>0.15354803586675725</v>
      </c>
    </row>
    <row r="11" spans="1:35" ht="16.5" thickTop="1" thickBot="1" x14ac:dyDescent="0.3">
      <c r="A11" s="20" t="s">
        <v>111</v>
      </c>
      <c r="I11" s="27">
        <f>SUM(I8:I10)</f>
        <v>0</v>
      </c>
      <c r="J11" s="226">
        <f>SUM(J8:J10)</f>
        <v>1.0000000000000002</v>
      </c>
      <c r="V11" s="4"/>
    </row>
    <row r="12" spans="1:35" ht="16.5" thickTop="1" thickBot="1" x14ac:dyDescent="0.3">
      <c r="V12" s="4"/>
      <c r="W12" s="5"/>
    </row>
    <row r="13" spans="1:35" ht="120.75" thickBot="1" x14ac:dyDescent="0.3">
      <c r="B13" s="118" t="str">
        <f>+'PCR Cycle 2'!B13</f>
        <v>Cumulative Over/Under Carryover From 12/01/2021 Filing</v>
      </c>
      <c r="C13" s="152" t="str">
        <f>+'PCR Cycle 2'!C13</f>
        <v>Reverse November 2021 - April 2022  Forecast From 12/01/2021 Filing</v>
      </c>
      <c r="D13" s="311" t="s">
        <v>33</v>
      </c>
      <c r="E13" s="311"/>
      <c r="F13" s="312"/>
      <c r="G13" s="319" t="s">
        <v>33</v>
      </c>
      <c r="H13" s="320"/>
      <c r="I13" s="321"/>
      <c r="J13" s="307" t="s">
        <v>8</v>
      </c>
      <c r="K13" s="308"/>
      <c r="L13" s="309"/>
    </row>
    <row r="14" spans="1:35" x14ac:dyDescent="0.25">
      <c r="A14" s="46" t="s">
        <v>91</v>
      </c>
      <c r="C14" s="105"/>
      <c r="D14" s="19">
        <f>+'PCR Cycle 2'!D14</f>
        <v>44530</v>
      </c>
      <c r="E14" s="19">
        <f t="shared" ref="E14:L14" si="2">EOMONTH(D14,1)</f>
        <v>44561</v>
      </c>
      <c r="F14" s="19">
        <f t="shared" si="2"/>
        <v>44592</v>
      </c>
      <c r="G14" s="14">
        <f t="shared" si="2"/>
        <v>44620</v>
      </c>
      <c r="H14" s="19">
        <f t="shared" si="2"/>
        <v>44651</v>
      </c>
      <c r="I14" s="15">
        <f t="shared" si="2"/>
        <v>44681</v>
      </c>
      <c r="J14" s="19">
        <f t="shared" si="2"/>
        <v>44712</v>
      </c>
      <c r="K14" s="19">
        <f t="shared" si="2"/>
        <v>44742</v>
      </c>
      <c r="L14" s="15">
        <f t="shared" si="2"/>
        <v>44773</v>
      </c>
      <c r="Z14" s="1"/>
      <c r="AA14" s="1"/>
      <c r="AB14" s="1"/>
      <c r="AC14" s="1"/>
      <c r="AD14" s="1"/>
      <c r="AE14" s="1"/>
      <c r="AF14" s="1"/>
      <c r="AG14" s="1"/>
      <c r="AH14" s="1"/>
      <c r="AI14" s="1"/>
    </row>
    <row r="15" spans="1:35" x14ac:dyDescent="0.25">
      <c r="A15" s="46" t="s">
        <v>5</v>
      </c>
      <c r="C15" s="97">
        <v>0</v>
      </c>
      <c r="D15" s="109">
        <f>SUM(D22:D23)</f>
        <v>0</v>
      </c>
      <c r="E15" s="109">
        <f t="shared" ref="E15:H15" si="3">SUM(E22:E23)</f>
        <v>0</v>
      </c>
      <c r="F15" s="110">
        <f t="shared" si="3"/>
        <v>0</v>
      </c>
      <c r="G15" s="16">
        <f t="shared" si="3"/>
        <v>0</v>
      </c>
      <c r="H15" s="55">
        <f t="shared" si="3"/>
        <v>0</v>
      </c>
      <c r="I15" s="165">
        <f>+I22+I23</f>
        <v>0</v>
      </c>
      <c r="J15" s="158">
        <f t="shared" ref="J15:K15" si="4">+J22+J23</f>
        <v>0</v>
      </c>
      <c r="K15" s="78">
        <f t="shared" si="4"/>
        <v>0</v>
      </c>
      <c r="L15" s="79"/>
    </row>
    <row r="16" spans="1:35" x14ac:dyDescent="0.25">
      <c r="C16" s="99"/>
      <c r="D16" s="17"/>
      <c r="E16" s="17"/>
      <c r="F16" s="17"/>
      <c r="G16" s="28"/>
      <c r="H16" s="17"/>
      <c r="I16" s="11"/>
      <c r="J16" s="31"/>
      <c r="K16" s="31"/>
      <c r="L16" s="29"/>
    </row>
    <row r="17" spans="1:14" x14ac:dyDescent="0.25">
      <c r="A17" s="46" t="s">
        <v>90</v>
      </c>
      <c r="C17" s="99"/>
      <c r="D17" s="18"/>
      <c r="E17" s="18"/>
      <c r="F17" s="18"/>
      <c r="G17" s="291"/>
      <c r="H17" s="18"/>
      <c r="I17" s="166"/>
      <c r="J17" s="31"/>
      <c r="K17" s="31"/>
      <c r="L17" s="29"/>
      <c r="M17" s="3" t="s">
        <v>50</v>
      </c>
      <c r="N17" s="39"/>
    </row>
    <row r="18" spans="1:14" x14ac:dyDescent="0.25">
      <c r="A18" s="46" t="s">
        <v>24</v>
      </c>
      <c r="C18" s="97">
        <v>0</v>
      </c>
      <c r="D18" s="135">
        <v>0</v>
      </c>
      <c r="E18" s="135">
        <v>0</v>
      </c>
      <c r="F18" s="187">
        <v>0</v>
      </c>
      <c r="G18" s="16">
        <v>0</v>
      </c>
      <c r="H18" s="121">
        <v>0</v>
      </c>
      <c r="I18" s="167">
        <v>0</v>
      </c>
      <c r="J18" s="123">
        <f>'PCR Cycle 2'!J26*$M18</f>
        <v>0</v>
      </c>
      <c r="K18" s="41">
        <f>'PCR Cycle 2'!K26*$M18</f>
        <v>0</v>
      </c>
      <c r="L18" s="61">
        <f>'PCR Cycle 2'!L26*$M18</f>
        <v>0</v>
      </c>
      <c r="M18" s="72">
        <v>0</v>
      </c>
      <c r="N18" s="4"/>
    </row>
    <row r="19" spans="1:14" x14ac:dyDescent="0.25">
      <c r="A19" s="46" t="s">
        <v>25</v>
      </c>
      <c r="C19" s="97">
        <v>0</v>
      </c>
      <c r="D19" s="135">
        <v>0</v>
      </c>
      <c r="E19" s="135">
        <v>0</v>
      </c>
      <c r="F19" s="187">
        <v>0</v>
      </c>
      <c r="G19" s="16">
        <v>0</v>
      </c>
      <c r="H19" s="121">
        <v>0</v>
      </c>
      <c r="I19" s="167">
        <v>0</v>
      </c>
      <c r="J19" s="123">
        <f>SUM('PCR Cycle 2'!J27:J29)*$M19</f>
        <v>0</v>
      </c>
      <c r="K19" s="41">
        <f>SUM('PCR Cycle 2'!K27:K29)*$M19</f>
        <v>0</v>
      </c>
      <c r="L19" s="61">
        <f>SUM('PCR Cycle 2'!L27:L29)*$M19</f>
        <v>0</v>
      </c>
      <c r="M19" s="72">
        <v>0</v>
      </c>
      <c r="N19" s="4"/>
    </row>
    <row r="20" spans="1:14" x14ac:dyDescent="0.25">
      <c r="C20" s="67"/>
      <c r="D20" s="68"/>
      <c r="E20" s="68"/>
      <c r="F20" s="68"/>
      <c r="G20" s="98"/>
      <c r="H20" s="68"/>
      <c r="I20" s="168"/>
      <c r="J20" s="56"/>
      <c r="K20" s="56"/>
      <c r="L20" s="13"/>
      <c r="N20" s="4"/>
    </row>
    <row r="21" spans="1:14" x14ac:dyDescent="0.25">
      <c r="A21" s="46" t="s">
        <v>92</v>
      </c>
      <c r="C21" s="36"/>
      <c r="D21" s="37"/>
      <c r="E21" s="37"/>
      <c r="F21" s="37"/>
      <c r="G21" s="36"/>
      <c r="H21" s="37"/>
      <c r="I21" s="171"/>
      <c r="J21" s="52"/>
      <c r="K21" s="52"/>
      <c r="L21" s="38"/>
    </row>
    <row r="22" spans="1:14" x14ac:dyDescent="0.25">
      <c r="A22" s="46" t="s">
        <v>24</v>
      </c>
      <c r="C22" s="97">
        <v>0</v>
      </c>
      <c r="D22" s="109">
        <v>0</v>
      </c>
      <c r="E22" s="109">
        <v>0</v>
      </c>
      <c r="F22" s="110">
        <v>0</v>
      </c>
      <c r="G22" s="16">
        <v>0</v>
      </c>
      <c r="H22" s="55">
        <v>0</v>
      </c>
      <c r="I22" s="165">
        <v>0</v>
      </c>
      <c r="J22" s="160">
        <v>0</v>
      </c>
      <c r="K22" s="142">
        <v>0</v>
      </c>
      <c r="L22" s="79"/>
    </row>
    <row r="23" spans="1:14" x14ac:dyDescent="0.25">
      <c r="A23" s="46" t="s">
        <v>25</v>
      </c>
      <c r="C23" s="97">
        <v>0</v>
      </c>
      <c r="D23" s="109">
        <v>0</v>
      </c>
      <c r="E23" s="109">
        <v>0</v>
      </c>
      <c r="F23" s="110">
        <v>0</v>
      </c>
      <c r="G23" s="16">
        <v>0</v>
      </c>
      <c r="H23" s="55">
        <v>0</v>
      </c>
      <c r="I23" s="165">
        <v>0</v>
      </c>
      <c r="J23" s="160">
        <v>0</v>
      </c>
      <c r="K23" s="142">
        <v>0</v>
      </c>
      <c r="L23" s="79"/>
      <c r="N23" s="47"/>
    </row>
    <row r="24" spans="1:14" x14ac:dyDescent="0.25">
      <c r="C24" s="99"/>
      <c r="D24" s="18"/>
      <c r="E24" s="18"/>
      <c r="F24" s="18"/>
      <c r="G24" s="291"/>
      <c r="H24" s="18"/>
      <c r="I24" s="166"/>
      <c r="J24" s="56"/>
      <c r="K24" s="56"/>
      <c r="L24" s="13"/>
    </row>
    <row r="25" spans="1:14" ht="15.75" thickBot="1" x14ac:dyDescent="0.3">
      <c r="A25" s="3" t="s">
        <v>14</v>
      </c>
      <c r="B25" s="3"/>
      <c r="C25" s="103">
        <v>0</v>
      </c>
      <c r="D25" s="135">
        <v>0</v>
      </c>
      <c r="E25" s="135">
        <v>0</v>
      </c>
      <c r="F25" s="136">
        <v>0</v>
      </c>
      <c r="G25" s="26">
        <v>0</v>
      </c>
      <c r="H25" s="122">
        <v>0</v>
      </c>
      <c r="I25" s="172">
        <v>0</v>
      </c>
      <c r="J25" s="161"/>
      <c r="K25" s="144"/>
      <c r="L25" s="82"/>
    </row>
    <row r="26" spans="1:14" x14ac:dyDescent="0.25">
      <c r="C26" s="64"/>
      <c r="D26" s="148"/>
      <c r="E26" s="148"/>
      <c r="F26" s="149"/>
      <c r="G26" s="64"/>
      <c r="H26" s="33"/>
      <c r="I26" s="173"/>
      <c r="J26" s="34"/>
      <c r="K26" s="34"/>
      <c r="L26" s="60"/>
    </row>
    <row r="27" spans="1:14" x14ac:dyDescent="0.25">
      <c r="A27" s="46" t="s">
        <v>52</v>
      </c>
      <c r="C27" s="65"/>
      <c r="D27" s="149"/>
      <c r="E27" s="149"/>
      <c r="F27" s="149"/>
      <c r="G27" s="292"/>
      <c r="H27" s="35"/>
      <c r="I27" s="174"/>
      <c r="J27" s="34"/>
      <c r="K27" s="34"/>
      <c r="L27" s="60"/>
    </row>
    <row r="28" spans="1:14" x14ac:dyDescent="0.25">
      <c r="A28" s="46" t="s">
        <v>24</v>
      </c>
      <c r="C28" s="100">
        <f t="shared" ref="C28:L28" si="5">C22-C18</f>
        <v>0</v>
      </c>
      <c r="D28" s="41">
        <f t="shared" si="5"/>
        <v>0</v>
      </c>
      <c r="E28" s="41">
        <f t="shared" si="5"/>
        <v>0</v>
      </c>
      <c r="F28" s="108">
        <f t="shared" si="5"/>
        <v>0</v>
      </c>
      <c r="G28" s="40">
        <f t="shared" si="5"/>
        <v>0</v>
      </c>
      <c r="H28" s="41">
        <f t="shared" si="5"/>
        <v>0</v>
      </c>
      <c r="I28" s="61">
        <f t="shared" si="5"/>
        <v>0</v>
      </c>
      <c r="J28" s="123">
        <f t="shared" si="5"/>
        <v>0</v>
      </c>
      <c r="K28" s="41">
        <f t="shared" si="5"/>
        <v>0</v>
      </c>
      <c r="L28" s="61">
        <f t="shared" si="5"/>
        <v>0</v>
      </c>
    </row>
    <row r="29" spans="1:14" x14ac:dyDescent="0.25">
      <c r="A29" s="46" t="s">
        <v>25</v>
      </c>
      <c r="C29" s="100">
        <f t="shared" ref="C29:L29" si="6">C23-C19</f>
        <v>0</v>
      </c>
      <c r="D29" s="41">
        <f t="shared" si="6"/>
        <v>0</v>
      </c>
      <c r="E29" s="41">
        <f t="shared" si="6"/>
        <v>0</v>
      </c>
      <c r="F29" s="108">
        <f t="shared" si="6"/>
        <v>0</v>
      </c>
      <c r="G29" s="40">
        <f t="shared" si="6"/>
        <v>0</v>
      </c>
      <c r="H29" s="41">
        <f t="shared" si="6"/>
        <v>0</v>
      </c>
      <c r="I29" s="61">
        <f t="shared" si="6"/>
        <v>0</v>
      </c>
      <c r="J29" s="123">
        <f t="shared" si="6"/>
        <v>0</v>
      </c>
      <c r="K29" s="41">
        <f t="shared" si="6"/>
        <v>0</v>
      </c>
      <c r="L29" s="61">
        <f t="shared" si="6"/>
        <v>0</v>
      </c>
    </row>
    <row r="30" spans="1:14" x14ac:dyDescent="0.25">
      <c r="C30" s="99"/>
      <c r="D30" s="17"/>
      <c r="E30" s="17"/>
      <c r="F30" s="17"/>
      <c r="G30" s="28"/>
      <c r="H30" s="17"/>
      <c r="I30" s="11"/>
      <c r="J30" s="17"/>
      <c r="K30" s="17"/>
      <c r="L30" s="11"/>
    </row>
    <row r="31" spans="1:14" ht="15.75" thickBot="1" x14ac:dyDescent="0.3">
      <c r="A31" s="46" t="s">
        <v>53</v>
      </c>
      <c r="C31" s="99"/>
      <c r="D31" s="17"/>
      <c r="E31" s="17"/>
      <c r="F31" s="17"/>
      <c r="G31" s="28"/>
      <c r="H31" s="17"/>
      <c r="I31" s="11"/>
      <c r="J31" s="17"/>
      <c r="K31" s="17"/>
      <c r="L31" s="11"/>
    </row>
    <row r="32" spans="1:14" x14ac:dyDescent="0.25">
      <c r="A32" s="46" t="s">
        <v>24</v>
      </c>
      <c r="B32" s="116">
        <v>0</v>
      </c>
      <c r="C32" s="100">
        <f>B32+C28+B37</f>
        <v>0</v>
      </c>
      <c r="D32" s="41">
        <f t="shared" ref="D32:L33" si="7">C32+D28+C37</f>
        <v>0</v>
      </c>
      <c r="E32" s="41">
        <f t="shared" si="7"/>
        <v>0</v>
      </c>
      <c r="F32" s="108">
        <f t="shared" si="7"/>
        <v>0</v>
      </c>
      <c r="G32" s="40">
        <f t="shared" si="7"/>
        <v>0</v>
      </c>
      <c r="H32" s="41">
        <f t="shared" si="7"/>
        <v>0</v>
      </c>
      <c r="I32" s="61">
        <f t="shared" si="7"/>
        <v>0</v>
      </c>
      <c r="J32" s="123">
        <f t="shared" si="7"/>
        <v>0</v>
      </c>
      <c r="K32" s="41">
        <f t="shared" si="7"/>
        <v>0</v>
      </c>
      <c r="L32" s="61">
        <f t="shared" si="7"/>
        <v>0</v>
      </c>
    </row>
    <row r="33" spans="1:12" ht="15.75" thickBot="1" x14ac:dyDescent="0.3">
      <c r="A33" s="46" t="s">
        <v>25</v>
      </c>
      <c r="B33" s="117">
        <v>0</v>
      </c>
      <c r="C33" s="100">
        <f>B33+C29+B38</f>
        <v>0</v>
      </c>
      <c r="D33" s="41">
        <f t="shared" si="7"/>
        <v>0</v>
      </c>
      <c r="E33" s="41">
        <f t="shared" si="7"/>
        <v>0</v>
      </c>
      <c r="F33" s="108">
        <f t="shared" si="7"/>
        <v>0</v>
      </c>
      <c r="G33" s="40">
        <f t="shared" si="7"/>
        <v>0</v>
      </c>
      <c r="H33" s="41">
        <f t="shared" si="7"/>
        <v>0</v>
      </c>
      <c r="I33" s="61">
        <f t="shared" si="7"/>
        <v>0</v>
      </c>
      <c r="J33" s="123">
        <f t="shared" si="7"/>
        <v>0</v>
      </c>
      <c r="K33" s="41">
        <f t="shared" si="7"/>
        <v>0</v>
      </c>
      <c r="L33" s="61">
        <f t="shared" si="7"/>
        <v>0</v>
      </c>
    </row>
    <row r="34" spans="1:12" x14ac:dyDescent="0.25">
      <c r="C34" s="99"/>
      <c r="D34" s="17"/>
      <c r="E34" s="17"/>
      <c r="F34" s="17"/>
      <c r="G34" s="10"/>
      <c r="H34" s="17"/>
      <c r="I34" s="11"/>
      <c r="J34" s="17"/>
      <c r="K34" s="17"/>
      <c r="L34" s="11"/>
    </row>
    <row r="35" spans="1:12" x14ac:dyDescent="0.25">
      <c r="A35" s="39" t="s">
        <v>88</v>
      </c>
      <c r="B35" s="39"/>
      <c r="C35" s="104"/>
      <c r="D35" s="83">
        <f>+'PCR Cycle 2'!D47</f>
        <v>1.1167499999999999E-3</v>
      </c>
      <c r="E35" s="83">
        <f>+'PCR Cycle 2'!E47</f>
        <v>1.1281900000000001E-3</v>
      </c>
      <c r="F35" s="83">
        <f>+'PCR Cycle 2'!F47</f>
        <v>1.1297799999999999E-3</v>
      </c>
      <c r="G35" s="84">
        <f>+'PCR Cycle 2'!G47</f>
        <v>1.1744100000000001E-3</v>
      </c>
      <c r="H35" s="83">
        <f>+'PCR Cycle 2'!H47</f>
        <v>1.3724799999999999E-3</v>
      </c>
      <c r="I35" s="92">
        <f>+'PCR Cycle 2'!I47</f>
        <v>1.53951E-3</v>
      </c>
      <c r="J35" s="83">
        <f>+'PCR Cycle 2'!J47</f>
        <v>1.53951E-3</v>
      </c>
      <c r="K35" s="83">
        <f>+'PCR Cycle 2'!K47</f>
        <v>1.53951E-3</v>
      </c>
      <c r="L35" s="85"/>
    </row>
    <row r="36" spans="1:12" x14ac:dyDescent="0.25">
      <c r="A36" s="39" t="s">
        <v>37</v>
      </c>
      <c r="B36" s="39"/>
      <c r="C36" s="106"/>
      <c r="D36" s="83"/>
      <c r="E36" s="83"/>
      <c r="F36" s="83"/>
      <c r="G36" s="84"/>
      <c r="H36" s="83"/>
      <c r="I36" s="85"/>
      <c r="J36" s="83"/>
      <c r="K36" s="83"/>
      <c r="L36" s="85"/>
    </row>
    <row r="37" spans="1:12" x14ac:dyDescent="0.25">
      <c r="A37" s="46" t="s">
        <v>24</v>
      </c>
      <c r="C37" s="100">
        <v>0</v>
      </c>
      <c r="D37" s="41">
        <f t="shared" ref="D37:L38" si="8">ROUND((C32+C37+D28/2)*D$35,2)</f>
        <v>0</v>
      </c>
      <c r="E37" s="41">
        <f t="shared" si="8"/>
        <v>0</v>
      </c>
      <c r="F37" s="108">
        <f t="shared" si="8"/>
        <v>0</v>
      </c>
      <c r="G37" s="40">
        <f t="shared" si="8"/>
        <v>0</v>
      </c>
      <c r="H37" s="123">
        <f t="shared" si="8"/>
        <v>0</v>
      </c>
      <c r="I37" s="49">
        <f t="shared" si="8"/>
        <v>0</v>
      </c>
      <c r="J37" s="162">
        <f t="shared" si="8"/>
        <v>0</v>
      </c>
      <c r="K37" s="108">
        <f t="shared" si="8"/>
        <v>0</v>
      </c>
      <c r="L37" s="61">
        <f t="shared" si="8"/>
        <v>0</v>
      </c>
    </row>
    <row r="38" spans="1:12" ht="15.75" thickBot="1" x14ac:dyDescent="0.3">
      <c r="A38" s="46" t="s">
        <v>25</v>
      </c>
      <c r="C38" s="100">
        <v>0</v>
      </c>
      <c r="D38" s="41">
        <f t="shared" si="8"/>
        <v>0</v>
      </c>
      <c r="E38" s="41">
        <f t="shared" si="8"/>
        <v>0</v>
      </c>
      <c r="F38" s="108">
        <f t="shared" si="8"/>
        <v>0</v>
      </c>
      <c r="G38" s="40">
        <f t="shared" si="8"/>
        <v>0</v>
      </c>
      <c r="H38" s="123">
        <f t="shared" si="8"/>
        <v>0</v>
      </c>
      <c r="I38" s="49">
        <f t="shared" si="8"/>
        <v>0</v>
      </c>
      <c r="J38" s="162">
        <f t="shared" si="8"/>
        <v>0</v>
      </c>
      <c r="K38" s="108">
        <f t="shared" si="8"/>
        <v>0</v>
      </c>
      <c r="L38" s="61">
        <f t="shared" si="8"/>
        <v>0</v>
      </c>
    </row>
    <row r="39" spans="1:12" ht="16.5" thickTop="1" thickBot="1" x14ac:dyDescent="0.3">
      <c r="A39" s="54" t="s">
        <v>22</v>
      </c>
      <c r="B39" s="54"/>
      <c r="C39" s="107">
        <v>0</v>
      </c>
      <c r="D39" s="42">
        <f t="shared" ref="D39:I39" si="9">SUM(D37:D38)+SUM(D32:D33)-D42</f>
        <v>0</v>
      </c>
      <c r="E39" s="42">
        <f t="shared" si="9"/>
        <v>0</v>
      </c>
      <c r="F39" s="50">
        <f t="shared" ref="F39:H39" si="10">SUM(F37:F38)+SUM(F32:F33)-F42</f>
        <v>0</v>
      </c>
      <c r="G39" s="293">
        <f t="shared" si="10"/>
        <v>0</v>
      </c>
      <c r="H39" s="50">
        <f t="shared" si="10"/>
        <v>0</v>
      </c>
      <c r="I39" s="62">
        <f t="shared" si="9"/>
        <v>0</v>
      </c>
      <c r="J39" s="163">
        <f t="shared" ref="J39:L39" si="11">SUM(J37:J38)+SUM(J32:J33)-J42</f>
        <v>0</v>
      </c>
      <c r="K39" s="50">
        <f t="shared" si="11"/>
        <v>0</v>
      </c>
      <c r="L39" s="62">
        <f t="shared" si="11"/>
        <v>0</v>
      </c>
    </row>
    <row r="40" spans="1:12" ht="16.5" thickTop="1" thickBot="1" x14ac:dyDescent="0.3">
      <c r="A40" s="54" t="s">
        <v>23</v>
      </c>
      <c r="B40" s="54"/>
      <c r="C40" s="107">
        <v>0</v>
      </c>
      <c r="D40" s="42">
        <f t="shared" ref="D40:I40" si="12">SUM(D37:D38)-D25</f>
        <v>0</v>
      </c>
      <c r="E40" s="42">
        <f t="shared" si="12"/>
        <v>0</v>
      </c>
      <c r="F40" s="50">
        <f t="shared" ref="F40:H40" si="13">SUM(F37:F38)-F25</f>
        <v>0</v>
      </c>
      <c r="G40" s="293">
        <f t="shared" si="13"/>
        <v>0</v>
      </c>
      <c r="H40" s="50">
        <f t="shared" si="13"/>
        <v>0</v>
      </c>
      <c r="I40" s="62">
        <f t="shared" si="12"/>
        <v>0</v>
      </c>
      <c r="J40" s="164">
        <f t="shared" ref="J40:L40" si="14">SUM(J37:J38)-J25</f>
        <v>0</v>
      </c>
      <c r="K40" s="42">
        <f t="shared" si="14"/>
        <v>0</v>
      </c>
      <c r="L40" s="42">
        <f t="shared" si="14"/>
        <v>0</v>
      </c>
    </row>
    <row r="41" spans="1:12" ht="16.5" thickTop="1" thickBot="1" x14ac:dyDescent="0.3">
      <c r="C41" s="99"/>
      <c r="D41" s="17"/>
      <c r="E41" s="17"/>
      <c r="F41" s="17"/>
      <c r="G41" s="10"/>
      <c r="H41" s="17"/>
      <c r="I41" s="11"/>
      <c r="J41" s="17"/>
      <c r="K41" s="17"/>
      <c r="L41" s="11"/>
    </row>
    <row r="42" spans="1:12" ht="15.75" thickBot="1" x14ac:dyDescent="0.3">
      <c r="A42" s="46" t="s">
        <v>36</v>
      </c>
      <c r="B42" s="119">
        <v>0</v>
      </c>
      <c r="C42" s="100">
        <f t="shared" ref="C42:L42" si="15">(C15-SUM(C18:C19))+SUM(C37:C38)+B42</f>
        <v>0</v>
      </c>
      <c r="D42" s="41">
        <f t="shared" si="15"/>
        <v>0</v>
      </c>
      <c r="E42" s="41">
        <f t="shared" si="15"/>
        <v>0</v>
      </c>
      <c r="F42" s="108">
        <f t="shared" si="15"/>
        <v>0</v>
      </c>
      <c r="G42" s="40">
        <f t="shared" si="15"/>
        <v>0</v>
      </c>
      <c r="H42" s="41">
        <f t="shared" si="15"/>
        <v>0</v>
      </c>
      <c r="I42" s="61">
        <f t="shared" si="15"/>
        <v>0</v>
      </c>
      <c r="J42" s="162">
        <f t="shared" si="15"/>
        <v>0</v>
      </c>
      <c r="K42" s="108">
        <f t="shared" si="15"/>
        <v>0</v>
      </c>
      <c r="L42" s="61">
        <f t="shared" si="15"/>
        <v>0</v>
      </c>
    </row>
    <row r="43" spans="1:12" x14ac:dyDescent="0.25">
      <c r="A43" s="46" t="s">
        <v>12</v>
      </c>
      <c r="C43" s="120"/>
      <c r="D43" s="17"/>
      <c r="E43" s="17"/>
      <c r="F43" s="17"/>
      <c r="G43" s="10"/>
      <c r="H43" s="17"/>
      <c r="I43" s="11"/>
      <c r="J43" s="17"/>
      <c r="K43" s="17"/>
      <c r="L43" s="11"/>
    </row>
    <row r="44" spans="1:12" ht="15.75" thickBot="1" x14ac:dyDescent="0.3">
      <c r="A44" s="37"/>
      <c r="B44" s="37"/>
      <c r="C44" s="147"/>
      <c r="D44" s="44"/>
      <c r="E44" s="44"/>
      <c r="F44" s="44"/>
      <c r="G44" s="43"/>
      <c r="H44" s="44"/>
      <c r="I44" s="45"/>
      <c r="J44" s="44"/>
      <c r="K44" s="44"/>
      <c r="L44" s="45"/>
    </row>
    <row r="46" spans="1:12" x14ac:dyDescent="0.25">
      <c r="A46" s="69" t="s">
        <v>11</v>
      </c>
      <c r="B46" s="69"/>
      <c r="C46" s="69"/>
    </row>
    <row r="47" spans="1:12" x14ac:dyDescent="0.25">
      <c r="A47" s="323" t="s">
        <v>218</v>
      </c>
      <c r="B47" s="323"/>
      <c r="C47" s="323"/>
      <c r="D47" s="323"/>
      <c r="E47" s="323"/>
      <c r="F47" s="323"/>
      <c r="G47" s="323"/>
      <c r="H47" s="323"/>
      <c r="I47" s="323"/>
      <c r="J47" s="181"/>
      <c r="K47" s="181"/>
      <c r="L47" s="181"/>
    </row>
    <row r="48" spans="1:12" ht="32.25" customHeight="1" x14ac:dyDescent="0.25">
      <c r="A48" s="323" t="s">
        <v>197</v>
      </c>
      <c r="B48" s="323"/>
      <c r="C48" s="323"/>
      <c r="D48" s="323"/>
      <c r="E48" s="323"/>
      <c r="F48" s="323"/>
      <c r="G48" s="323"/>
      <c r="H48" s="323"/>
      <c r="I48" s="323"/>
      <c r="J48" s="181"/>
      <c r="K48" s="181"/>
    </row>
    <row r="49" spans="1:12" ht="18.75" customHeight="1" x14ac:dyDescent="0.25">
      <c r="A49" s="3" t="s">
        <v>198</v>
      </c>
      <c r="B49" s="3"/>
      <c r="C49" s="3"/>
      <c r="I49" s="4"/>
      <c r="J49" s="181"/>
      <c r="K49" s="181"/>
      <c r="L49" s="181"/>
    </row>
    <row r="50" spans="1:12" x14ac:dyDescent="0.25">
      <c r="A50" s="3" t="s">
        <v>155</v>
      </c>
      <c r="B50" s="3"/>
      <c r="C50" s="3"/>
      <c r="I50" s="4"/>
    </row>
    <row r="51" spans="1:12" x14ac:dyDescent="0.25">
      <c r="A51" s="3" t="s">
        <v>125</v>
      </c>
      <c r="B51" s="3"/>
      <c r="C51" s="3"/>
      <c r="I51" s="4"/>
    </row>
    <row r="52" spans="1:12" x14ac:dyDescent="0.25">
      <c r="A52" s="3" t="s">
        <v>156</v>
      </c>
      <c r="B52" s="63"/>
      <c r="C52" s="63"/>
      <c r="D52" s="39"/>
      <c r="E52" s="39"/>
      <c r="F52" s="39"/>
      <c r="G52" s="39"/>
      <c r="H52" s="39"/>
      <c r="I52" s="39"/>
    </row>
    <row r="53" spans="1:12" x14ac:dyDescent="0.25">
      <c r="A53" s="3"/>
      <c r="B53" s="3"/>
      <c r="C53" s="3"/>
    </row>
  </sheetData>
  <mergeCells count="5">
    <mergeCell ref="D13:F13"/>
    <mergeCell ref="G13:I13"/>
    <mergeCell ref="J13:L13"/>
    <mergeCell ref="A47:I47"/>
    <mergeCell ref="A48:I48"/>
  </mergeCells>
  <pageMargins left="0.2" right="0.2" top="0.75" bottom="0.25" header="0.3" footer="0.3"/>
  <pageSetup scale="62" orientation="landscape" r:id="rId1"/>
  <headerFooter>
    <oddHeader>&amp;C&amp;F &amp;A&amp;R&amp;"Arial"&amp;10&amp;K000000CONFIDENTIAL</oddHead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1282B-6B2C-4D8B-A4CA-BF566046BB6E}">
  <dimension ref="A1:I32"/>
  <sheetViews>
    <sheetView workbookViewId="0">
      <selection activeCell="G5" sqref="G5:K16"/>
    </sheetView>
  </sheetViews>
  <sheetFormatPr defaultRowHeight="15" x14ac:dyDescent="0.25"/>
  <cols>
    <col min="1" max="1" width="24.7109375" customWidth="1"/>
    <col min="2" max="3" width="16" bestFit="1" customWidth="1"/>
    <col min="4" max="5" width="13.7109375" bestFit="1" customWidth="1"/>
    <col min="6" max="6" width="17.28515625" bestFit="1" customWidth="1"/>
  </cols>
  <sheetData>
    <row r="1" spans="1:9" x14ac:dyDescent="0.25">
      <c r="A1" s="3" t="str">
        <f>+'PPC Cycle 3'!A1</f>
        <v>Evergy Missouri West, Inc. - DSIM Rider Update Filed 06/01/2022</v>
      </c>
    </row>
    <row r="3" spans="1:9" ht="15.75" thickBot="1" x14ac:dyDescent="0.3"/>
    <row r="4" spans="1:9" ht="15.75" thickBot="1" x14ac:dyDescent="0.3">
      <c r="B4" s="88" t="s">
        <v>160</v>
      </c>
      <c r="C4" s="89" t="s">
        <v>161</v>
      </c>
      <c r="D4" s="89" t="s">
        <v>162</v>
      </c>
    </row>
    <row r="5" spans="1:9" ht="54.75" thickBot="1" x14ac:dyDescent="0.3">
      <c r="A5" s="87" t="s">
        <v>7</v>
      </c>
      <c r="B5" s="89" t="s">
        <v>28</v>
      </c>
      <c r="C5" s="89" t="s">
        <v>28</v>
      </c>
      <c r="D5" s="89" t="s">
        <v>28</v>
      </c>
      <c r="E5" s="89" t="s">
        <v>163</v>
      </c>
    </row>
    <row r="6" spans="1:9" ht="15.75" thickBot="1" x14ac:dyDescent="0.3">
      <c r="A6" s="90" t="s">
        <v>24</v>
      </c>
      <c r="B6" s="133">
        <f>+'tariff tables'!H4</f>
        <v>3.9899999999999996E-3</v>
      </c>
      <c r="C6" s="133">
        <v>6.3E-3</v>
      </c>
      <c r="D6" s="133">
        <f>+B6-C6</f>
        <v>-2.3100000000000004E-3</v>
      </c>
      <c r="E6" s="268">
        <f>+D6*1000</f>
        <v>-2.3100000000000005</v>
      </c>
      <c r="G6" s="269"/>
      <c r="I6" s="234"/>
    </row>
    <row r="7" spans="1:9" ht="15.75" thickBot="1" x14ac:dyDescent="0.3">
      <c r="A7" s="90" t="s">
        <v>107</v>
      </c>
      <c r="B7" s="133">
        <f>+'tariff tables'!H5</f>
        <v>5.1700000000000001E-3</v>
      </c>
      <c r="C7" s="133">
        <v>4.45E-3</v>
      </c>
      <c r="D7" s="133">
        <f t="shared" ref="D7:D9" si="0">+B7-C7</f>
        <v>7.2000000000000015E-4</v>
      </c>
      <c r="E7" s="268">
        <f t="shared" ref="E7:E9" si="1">+D7*1000</f>
        <v>0.7200000000000002</v>
      </c>
      <c r="G7" s="269"/>
      <c r="I7" s="234"/>
    </row>
    <row r="8" spans="1:9" ht="15.75" thickBot="1" x14ac:dyDescent="0.3">
      <c r="A8" s="90" t="s">
        <v>108</v>
      </c>
      <c r="B8" s="133">
        <f>+'tariff tables'!H6</f>
        <v>6.0299999999999998E-3</v>
      </c>
      <c r="C8" s="133">
        <v>6.2700000000000004E-3</v>
      </c>
      <c r="D8" s="133">
        <f t="shared" si="0"/>
        <v>-2.4000000000000063E-4</v>
      </c>
      <c r="E8" s="268">
        <f t="shared" si="1"/>
        <v>-0.24000000000000063</v>
      </c>
      <c r="G8" s="269"/>
      <c r="I8" s="234"/>
    </row>
    <row r="9" spans="1:9" ht="15.75" thickBot="1" x14ac:dyDescent="0.3">
      <c r="A9" s="90" t="s">
        <v>109</v>
      </c>
      <c r="B9" s="133">
        <f>+'tariff tables'!H7</f>
        <v>3.6700000000000001E-3</v>
      </c>
      <c r="C9" s="133">
        <v>3.8999999999999998E-3</v>
      </c>
      <c r="D9" s="133">
        <f t="shared" si="0"/>
        <v>-2.2999999999999974E-4</v>
      </c>
      <c r="E9" s="268">
        <f t="shared" si="1"/>
        <v>-0.22999999999999973</v>
      </c>
      <c r="G9" s="269"/>
      <c r="I9" s="234"/>
    </row>
    <row r="11" spans="1:9" ht="15.75" thickBot="1" x14ac:dyDescent="0.3"/>
    <row r="12" spans="1:9" ht="15.75" thickBot="1" x14ac:dyDescent="0.3">
      <c r="A12" s="87" t="s">
        <v>7</v>
      </c>
      <c r="B12" s="130" t="s">
        <v>19</v>
      </c>
      <c r="C12" s="130" t="s">
        <v>20</v>
      </c>
      <c r="D12" s="130" t="s">
        <v>57</v>
      </c>
      <c r="E12" s="130" t="s">
        <v>21</v>
      </c>
      <c r="F12" s="130" t="s">
        <v>38</v>
      </c>
    </row>
    <row r="13" spans="1:9" ht="15.75" thickBot="1" x14ac:dyDescent="0.3">
      <c r="A13" s="90" t="s">
        <v>24</v>
      </c>
      <c r="B13" s="128">
        <f t="shared" ref="B13:E16" si="2">B21+B29</f>
        <v>-2285910.2899999982</v>
      </c>
      <c r="C13" s="129">
        <f t="shared" si="2"/>
        <v>-4820135.7636699993</v>
      </c>
      <c r="D13" s="129">
        <f t="shared" si="2"/>
        <v>-874318.53847999987</v>
      </c>
      <c r="E13" s="129">
        <f t="shared" si="2"/>
        <v>-128422.38999999997</v>
      </c>
      <c r="F13" s="132">
        <f>+'tariff tables'!G4-'[1]tariff tables'!G4</f>
        <v>26092512</v>
      </c>
      <c r="G13" s="269"/>
    </row>
    <row r="14" spans="1:9" ht="15.75" thickBot="1" x14ac:dyDescent="0.3">
      <c r="A14" s="90" t="s">
        <v>107</v>
      </c>
      <c r="B14" s="128">
        <f t="shared" si="2"/>
        <v>1865585.05</v>
      </c>
      <c r="C14" s="129">
        <f t="shared" si="2"/>
        <v>-693109.63370000001</v>
      </c>
      <c r="D14" s="129">
        <f t="shared" si="2"/>
        <v>-370992.39688000001</v>
      </c>
      <c r="E14" s="129">
        <f t="shared" si="2"/>
        <v>0</v>
      </c>
      <c r="F14" s="132">
        <f>+'tariff tables'!G5-'[1]tariff tables'!G5</f>
        <v>-5499253</v>
      </c>
      <c r="G14" s="269"/>
    </row>
    <row r="15" spans="1:9" ht="15.75" thickBot="1" x14ac:dyDescent="0.3">
      <c r="A15" s="90" t="s">
        <v>108</v>
      </c>
      <c r="B15" s="128">
        <f t="shared" si="2"/>
        <v>624986.31000000017</v>
      </c>
      <c r="C15" s="129">
        <f t="shared" si="2"/>
        <v>-797960.44523000019</v>
      </c>
      <c r="D15" s="129">
        <f t="shared" si="2"/>
        <v>-388384.83828000003</v>
      </c>
      <c r="E15" s="129">
        <f t="shared" si="2"/>
        <v>0</v>
      </c>
      <c r="F15" s="132">
        <f>+'tariff tables'!G6-'[1]tariff tables'!G6</f>
        <v>-47107737</v>
      </c>
      <c r="G15" s="269"/>
    </row>
    <row r="16" spans="1:9" ht="15.75" thickBot="1" x14ac:dyDescent="0.3">
      <c r="A16" s="90" t="s">
        <v>109</v>
      </c>
      <c r="B16" s="128">
        <f t="shared" si="2"/>
        <v>169288.37000000052</v>
      </c>
      <c r="C16" s="129">
        <f t="shared" si="2"/>
        <v>-171632.57467</v>
      </c>
      <c r="D16" s="129">
        <f t="shared" si="2"/>
        <v>-182782.13410000002</v>
      </c>
      <c r="E16" s="129">
        <f t="shared" si="2"/>
        <v>0</v>
      </c>
      <c r="F16" s="132">
        <f>+'tariff tables'!G7-'[1]tariff tables'!G7</f>
        <v>238210</v>
      </c>
      <c r="G16" s="269"/>
    </row>
    <row r="17" spans="1:6" x14ac:dyDescent="0.25">
      <c r="A17" s="46"/>
      <c r="B17" s="127"/>
      <c r="C17" s="127"/>
      <c r="D17" s="127"/>
      <c r="E17" s="127"/>
      <c r="F17" s="126"/>
    </row>
    <row r="18" spans="1:6" x14ac:dyDescent="0.25">
      <c r="A18" s="46"/>
      <c r="B18" s="127"/>
      <c r="C18" s="127"/>
      <c r="D18" s="127"/>
      <c r="E18" s="127"/>
      <c r="F18" s="126"/>
    </row>
    <row r="19" spans="1:6" ht="15.75" thickBot="1" x14ac:dyDescent="0.3">
      <c r="A19" s="46"/>
      <c r="B19" s="127"/>
      <c r="C19" s="127"/>
      <c r="D19" s="127"/>
      <c r="E19" s="127"/>
      <c r="F19" s="126"/>
    </row>
    <row r="20" spans="1:6" ht="15.75" thickBot="1" x14ac:dyDescent="0.3">
      <c r="A20" s="87" t="s">
        <v>7</v>
      </c>
      <c r="B20" s="131" t="s">
        <v>6</v>
      </c>
      <c r="C20" s="131" t="s">
        <v>16</v>
      </c>
      <c r="D20" s="131" t="s">
        <v>58</v>
      </c>
      <c r="E20" s="131" t="s">
        <v>17</v>
      </c>
      <c r="F20" s="126"/>
    </row>
    <row r="21" spans="1:6" ht="15.75" thickBot="1" x14ac:dyDescent="0.3">
      <c r="A21" s="90" t="s">
        <v>24</v>
      </c>
      <c r="B21" s="129">
        <f>+'tariff tables'!C12-'[1]tariff tables'!C12</f>
        <v>-644927.6099999994</v>
      </c>
      <c r="C21" s="129">
        <f>+'tariff tables'!D12-'[1]tariff tables'!D12</f>
        <v>-3576260.540000001</v>
      </c>
      <c r="D21" s="129">
        <f>+'tariff tables'!E12-'[1]tariff tables'!E12</f>
        <v>-801517.40999999968</v>
      </c>
      <c r="E21" s="128">
        <f>+'tariff tables'!F12-'[1]tariff tables'!F12</f>
        <v>-128422.38999999997</v>
      </c>
      <c r="F21" s="126"/>
    </row>
    <row r="22" spans="1:6" ht="15.75" thickBot="1" x14ac:dyDescent="0.3">
      <c r="A22" s="90" t="s">
        <v>107</v>
      </c>
      <c r="B22" s="129">
        <f>+'tariff tables'!C13-'[1]tariff tables'!C13</f>
        <v>1479737.6400000001</v>
      </c>
      <c r="C22" s="129">
        <f>+'tariff tables'!D13-'[1]tariff tables'!D13</f>
        <v>-565913.77</v>
      </c>
      <c r="D22" s="129">
        <f>+'tariff tables'!E13-'[1]tariff tables'!E13</f>
        <v>-395065.72</v>
      </c>
      <c r="E22" s="128">
        <f>+'tariff tables'!F13-'[1]tariff tables'!F13</f>
        <v>0</v>
      </c>
      <c r="F22" s="126"/>
    </row>
    <row r="23" spans="1:6" ht="15.75" thickBot="1" x14ac:dyDescent="0.3">
      <c r="A23" s="90" t="s">
        <v>108</v>
      </c>
      <c r="B23" s="129">
        <f>+'tariff tables'!C14-'[1]tariff tables'!C14</f>
        <v>580391.04999999981</v>
      </c>
      <c r="C23" s="129">
        <f>+'tariff tables'!D14-'[1]tariff tables'!D14</f>
        <v>-691351.39000000013</v>
      </c>
      <c r="D23" s="129">
        <f>+'tariff tables'!E14-'[1]tariff tables'!E14</f>
        <v>-428106.33</v>
      </c>
      <c r="E23" s="128">
        <f>+'tariff tables'!F14-'[1]tariff tables'!F14</f>
        <v>0</v>
      </c>
      <c r="F23" s="126"/>
    </row>
    <row r="24" spans="1:6" ht="15.75" thickBot="1" x14ac:dyDescent="0.3">
      <c r="A24" s="90" t="s">
        <v>109</v>
      </c>
      <c r="B24" s="129">
        <f>+'tariff tables'!C15-'[1]tariff tables'!C15</f>
        <v>-12132.189999999944</v>
      </c>
      <c r="C24" s="129">
        <f>+'tariff tables'!D15-'[1]tariff tables'!D15</f>
        <v>-142686.82</v>
      </c>
      <c r="D24" s="129">
        <f>+'tariff tables'!E15-'[1]tariff tables'!E15</f>
        <v>-194606.58000000002</v>
      </c>
      <c r="E24" s="128">
        <f>+'tariff tables'!F15-'[1]tariff tables'!F15</f>
        <v>0</v>
      </c>
      <c r="F24" s="126"/>
    </row>
    <row r="25" spans="1:6" x14ac:dyDescent="0.25">
      <c r="A25" s="46"/>
      <c r="B25" s="127"/>
      <c r="C25" s="127"/>
      <c r="D25" s="127"/>
      <c r="E25" s="127"/>
      <c r="F25" s="126"/>
    </row>
    <row r="26" spans="1:6" x14ac:dyDescent="0.25">
      <c r="A26" s="46"/>
      <c r="B26" s="127"/>
      <c r="C26" s="127"/>
      <c r="D26" s="127"/>
      <c r="E26" s="127"/>
      <c r="F26" s="126"/>
    </row>
    <row r="27" spans="1:6" ht="15.75" thickBot="1" x14ac:dyDescent="0.3">
      <c r="A27" s="46"/>
      <c r="B27" s="127"/>
      <c r="C27" s="127"/>
      <c r="D27" s="127"/>
      <c r="E27" s="127"/>
      <c r="F27" s="126"/>
    </row>
    <row r="28" spans="1:6" ht="15.75" thickBot="1" x14ac:dyDescent="0.3">
      <c r="A28" s="87" t="s">
        <v>7</v>
      </c>
      <c r="B28" s="131" t="s">
        <v>4</v>
      </c>
      <c r="C28" s="131" t="s">
        <v>9</v>
      </c>
      <c r="D28" s="131" t="s">
        <v>59</v>
      </c>
      <c r="E28" s="131" t="s">
        <v>18</v>
      </c>
      <c r="F28" s="126"/>
    </row>
    <row r="29" spans="1:6" ht="15.75" thickBot="1" x14ac:dyDescent="0.3">
      <c r="A29" s="90" t="s">
        <v>24</v>
      </c>
      <c r="B29" s="129">
        <f>+'tariff tables'!C20-'[1]tariff tables'!C20</f>
        <v>-1640982.6799999988</v>
      </c>
      <c r="C29" s="129">
        <f>+'tariff tables'!D20-'[1]tariff tables'!D20</f>
        <v>-1243875.2236699986</v>
      </c>
      <c r="D29" s="129">
        <f>+'tariff tables'!E20-'[1]tariff tables'!E20</f>
        <v>-72801.12848000013</v>
      </c>
      <c r="E29" s="128">
        <f>+'tariff tables'!F20-'[1]tariff tables'!F20</f>
        <v>0</v>
      </c>
      <c r="F29" s="126"/>
    </row>
    <row r="30" spans="1:6" ht="15.75" thickBot="1" x14ac:dyDescent="0.3">
      <c r="A30" s="90" t="s">
        <v>107</v>
      </c>
      <c r="B30" s="129">
        <f>+'tariff tables'!C21-'[1]tariff tables'!C21</f>
        <v>385847.40999999992</v>
      </c>
      <c r="C30" s="129">
        <f>+'tariff tables'!D21-'[1]tariff tables'!D21</f>
        <v>-127195.86369999996</v>
      </c>
      <c r="D30" s="129">
        <f>+'tariff tables'!E21-'[1]tariff tables'!E21</f>
        <v>24073.323119999986</v>
      </c>
      <c r="E30" s="128">
        <f>+'tariff tables'!F21-'[1]tariff tables'!F21</f>
        <v>0</v>
      </c>
      <c r="F30" s="126"/>
    </row>
    <row r="31" spans="1:6" ht="15.75" thickBot="1" x14ac:dyDescent="0.3">
      <c r="A31" s="90" t="s">
        <v>108</v>
      </c>
      <c r="B31" s="129">
        <f>+'tariff tables'!C22-'[1]tariff tables'!C22</f>
        <v>44595.260000000359</v>
      </c>
      <c r="C31" s="129">
        <f>+'tariff tables'!D22-'[1]tariff tables'!D22</f>
        <v>-106609.05523000006</v>
      </c>
      <c r="D31" s="129">
        <f>+'tariff tables'!E22-'[1]tariff tables'!E22</f>
        <v>39721.49172000002</v>
      </c>
      <c r="E31" s="128">
        <f>+'tariff tables'!F22-'[1]tariff tables'!F22</f>
        <v>0</v>
      </c>
      <c r="F31" s="126"/>
    </row>
    <row r="32" spans="1:6" ht="15.75" thickBot="1" x14ac:dyDescent="0.3">
      <c r="A32" s="90" t="s">
        <v>109</v>
      </c>
      <c r="B32" s="129">
        <f>+'tariff tables'!C23-'[1]tariff tables'!C23</f>
        <v>181420.56000000046</v>
      </c>
      <c r="C32" s="129">
        <f>+'tariff tables'!D23-'[1]tariff tables'!D23</f>
        <v>-28945.754669999988</v>
      </c>
      <c r="D32" s="129">
        <f>+'tariff tables'!E23-'[1]tariff tables'!E23</f>
        <v>11824.445900000006</v>
      </c>
      <c r="E32" s="128">
        <f>+'tariff tables'!F23-'[1]tariff tables'!F23</f>
        <v>0</v>
      </c>
      <c r="F32" s="126"/>
    </row>
  </sheetData>
  <pageMargins left="0.7" right="0.7" top="0.75" bottom="0.75" header="0.3" footer="0.3"/>
  <pageSetup orientation="portrait" r:id="rId1"/>
  <headerFoot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dimension ref="A2:G29"/>
  <sheetViews>
    <sheetView topLeftCell="A10" workbookViewId="0">
      <selection activeCell="I15" sqref="I15"/>
    </sheetView>
  </sheetViews>
  <sheetFormatPr defaultRowHeight="15" x14ac:dyDescent="0.25"/>
  <cols>
    <col min="1" max="1" width="59.42578125" bestFit="1" customWidth="1"/>
    <col min="2" max="2" width="11.28515625" bestFit="1" customWidth="1"/>
    <col min="3" max="3" width="10.140625" bestFit="1" customWidth="1"/>
    <col min="4" max="5" width="11.28515625" bestFit="1" customWidth="1"/>
    <col min="6" max="6" width="10.140625" bestFit="1" customWidth="1"/>
    <col min="7" max="7" width="8.28515625" bestFit="1" customWidth="1"/>
  </cols>
  <sheetData>
    <row r="2" spans="1:6" x14ac:dyDescent="0.25">
      <c r="A2" s="3" t="str">
        <f>+'tariff tables'!A1</f>
        <v>Evergy Missouri West, Inc. - DSIM Rider Update Filed 06/01/2022</v>
      </c>
    </row>
    <row r="3" spans="1:6" ht="15.75" thickBot="1" x14ac:dyDescent="0.3">
      <c r="A3" s="3" t="s">
        <v>126</v>
      </c>
    </row>
    <row r="4" spans="1:6" ht="27.75" thickBot="1" x14ac:dyDescent="0.3">
      <c r="A4" s="87" t="s">
        <v>133</v>
      </c>
      <c r="B4" s="130" t="s">
        <v>132</v>
      </c>
      <c r="C4" s="130" t="s">
        <v>131</v>
      </c>
      <c r="D4" s="130" t="s">
        <v>130</v>
      </c>
      <c r="E4" s="130" t="s">
        <v>129</v>
      </c>
      <c r="F4" s="89" t="s">
        <v>28</v>
      </c>
    </row>
    <row r="5" spans="1:6" ht="15.75" thickBot="1" x14ac:dyDescent="0.3">
      <c r="A5" s="90" t="s">
        <v>24</v>
      </c>
      <c r="B5" s="237">
        <f>+'tariff tables'!S12+'tariff tables'!S20</f>
        <v>0</v>
      </c>
      <c r="C5" s="238">
        <f>+'tariff tables'!T12+'tariff tables'!T20</f>
        <v>4.0999999999999999E-4</v>
      </c>
      <c r="D5" s="238">
        <f>+'tariff tables'!U12+'tariff tables'!U20</f>
        <v>-5.0000000000000009E-5</v>
      </c>
      <c r="E5" s="238">
        <f>+'tariff tables'!V12+'tariff tables'!V20</f>
        <v>-4.0000000000000003E-5</v>
      </c>
      <c r="F5" s="236">
        <f>SUM(B5:E5)</f>
        <v>3.1999999999999997E-4</v>
      </c>
    </row>
    <row r="6" spans="1:6" ht="15.75" thickBot="1" x14ac:dyDescent="0.3">
      <c r="A6" s="90" t="s">
        <v>107</v>
      </c>
      <c r="B6" s="237">
        <f>+'tariff tables'!S13+'tariff tables'!S21</f>
        <v>-5.0000000000000002E-5</v>
      </c>
      <c r="C6" s="238">
        <f>+'tariff tables'!T13+'tariff tables'!T21</f>
        <v>5.6999999999999998E-4</v>
      </c>
      <c r="D6" s="238">
        <f>+'tariff tables'!U13+'tariff tables'!U21</f>
        <v>2.7E-4</v>
      </c>
      <c r="E6" s="238">
        <f>+'tariff tables'!V13+'tariff tables'!V21</f>
        <v>0</v>
      </c>
      <c r="F6" s="236">
        <f t="shared" ref="F6:F8" si="0">SUM(B6:E6)</f>
        <v>7.899999999999999E-4</v>
      </c>
    </row>
    <row r="7" spans="1:6" ht="15.75" thickBot="1" x14ac:dyDescent="0.3">
      <c r="A7" s="90" t="s">
        <v>108</v>
      </c>
      <c r="B7" s="237">
        <f>+'tariff tables'!S14+'tariff tables'!S22</f>
        <v>-6.0000000000000002E-5</v>
      </c>
      <c r="C7" s="238">
        <f>+'tariff tables'!T14+'tariff tables'!T22</f>
        <v>5.2999999999999998E-4</v>
      </c>
      <c r="D7" s="238">
        <f>+'tariff tables'!U14+'tariff tables'!U22</f>
        <v>3.3E-4</v>
      </c>
      <c r="E7" s="238">
        <f>+'tariff tables'!V14+'tariff tables'!V22</f>
        <v>0</v>
      </c>
      <c r="F7" s="236">
        <f t="shared" si="0"/>
        <v>7.9999999999999993E-4</v>
      </c>
    </row>
    <row r="8" spans="1:6" ht="15.75" thickBot="1" x14ac:dyDescent="0.3">
      <c r="A8" s="90" t="s">
        <v>109</v>
      </c>
      <c r="B8" s="237">
        <f>+'tariff tables'!S15+'tariff tables'!S23</f>
        <v>-3.0000000000000001E-5</v>
      </c>
      <c r="C8" s="238">
        <f>+'tariff tables'!T15+'tariff tables'!T23</f>
        <v>1.6000000000000001E-4</v>
      </c>
      <c r="D8" s="238">
        <f>+'tariff tables'!U15+'tariff tables'!U23</f>
        <v>1.3000000000000002E-4</v>
      </c>
      <c r="E8" s="238">
        <f>+'tariff tables'!V15+'tariff tables'!V23</f>
        <v>0</v>
      </c>
      <c r="F8" s="236">
        <f t="shared" si="0"/>
        <v>2.6000000000000003E-4</v>
      </c>
    </row>
    <row r="11" spans="1:6" ht="15.75" thickBot="1" x14ac:dyDescent="0.3">
      <c r="A11" s="3" t="s">
        <v>127</v>
      </c>
      <c r="B11" s="46"/>
      <c r="C11" s="46"/>
      <c r="D11" s="46"/>
      <c r="E11" s="46"/>
      <c r="F11" s="46"/>
    </row>
    <row r="12" spans="1:6" ht="27.75" thickBot="1" x14ac:dyDescent="0.3">
      <c r="A12" s="87" t="s">
        <v>133</v>
      </c>
      <c r="B12" s="130" t="s">
        <v>132</v>
      </c>
      <c r="C12" s="130" t="s">
        <v>131</v>
      </c>
      <c r="D12" s="130" t="s">
        <v>130</v>
      </c>
      <c r="E12" s="130" t="s">
        <v>129</v>
      </c>
      <c r="F12" s="89" t="s">
        <v>28</v>
      </c>
    </row>
    <row r="13" spans="1:6" ht="15.75" thickBot="1" x14ac:dyDescent="0.3">
      <c r="A13" s="90" t="s">
        <v>24</v>
      </c>
      <c r="B13" s="237">
        <f>+'tariff tables'!X12+'tariff tables'!X20</f>
        <v>2.81E-3</v>
      </c>
      <c r="C13" s="238">
        <f>+'tariff tables'!Y12+'tariff tables'!Y20</f>
        <v>6.2E-4</v>
      </c>
      <c r="D13" s="238">
        <f>+'tariff tables'!Z12+'tariff tables'!Z20</f>
        <v>2.3999999999999998E-4</v>
      </c>
      <c r="E13" s="238">
        <f>+'tariff tables'!AA12+'tariff tables'!AA20</f>
        <v>0</v>
      </c>
      <c r="F13" s="236">
        <f>SUM(B13:E13)</f>
        <v>3.6699999999999997E-3</v>
      </c>
    </row>
    <row r="14" spans="1:6" ht="15.75" thickBot="1" x14ac:dyDescent="0.3">
      <c r="A14" s="90" t="s">
        <v>107</v>
      </c>
      <c r="B14" s="237">
        <f>+'tariff tables'!X13+'tariff tables'!X21</f>
        <v>3.6900000000000001E-3</v>
      </c>
      <c r="C14" s="238">
        <f>+'tariff tables'!Y13+'tariff tables'!Y21</f>
        <v>5.2000000000000006E-4</v>
      </c>
      <c r="D14" s="238">
        <f>+'tariff tables'!Z13+'tariff tables'!Z21</f>
        <v>1.7000000000000001E-4</v>
      </c>
      <c r="E14" s="238">
        <f>+'tariff tables'!AA13+'tariff tables'!AA21</f>
        <v>0</v>
      </c>
      <c r="F14" s="236">
        <f t="shared" ref="F14:F16" si="1">SUM(B14:E14)</f>
        <v>4.3800000000000002E-3</v>
      </c>
    </row>
    <row r="15" spans="1:6" ht="15.75" thickBot="1" x14ac:dyDescent="0.3">
      <c r="A15" s="90" t="s">
        <v>108</v>
      </c>
      <c r="B15" s="237">
        <f>+'tariff tables'!X14+'tariff tables'!X22</f>
        <v>4.5500000000000002E-3</v>
      </c>
      <c r="C15" s="238">
        <f>+'tariff tables'!Y14+'tariff tables'!Y22</f>
        <v>5.0999999999999993E-4</v>
      </c>
      <c r="D15" s="238">
        <f>+'tariff tables'!Z14+'tariff tables'!Z22</f>
        <v>1.7000000000000001E-4</v>
      </c>
      <c r="E15" s="238">
        <f>+'tariff tables'!AA14+'tariff tables'!AA22</f>
        <v>0</v>
      </c>
      <c r="F15" s="236">
        <f t="shared" si="1"/>
        <v>5.2300000000000003E-3</v>
      </c>
    </row>
    <row r="16" spans="1:6" ht="15.75" thickBot="1" x14ac:dyDescent="0.3">
      <c r="A16" s="90" t="s">
        <v>109</v>
      </c>
      <c r="B16" s="237">
        <f>+'tariff tables'!X15+'tariff tables'!X23</f>
        <v>3.0899999999999999E-3</v>
      </c>
      <c r="C16" s="238">
        <f>+'tariff tables'!Y15+'tariff tables'!Y23</f>
        <v>1.4000000000000001E-4</v>
      </c>
      <c r="D16" s="238">
        <f>+'tariff tables'!Z15+'tariff tables'!Z23</f>
        <v>1.8000000000000001E-4</v>
      </c>
      <c r="E16" s="238">
        <f>+'tariff tables'!AA15+'tariff tables'!AA23</f>
        <v>0</v>
      </c>
      <c r="F16" s="236">
        <f t="shared" si="1"/>
        <v>3.4099999999999998E-3</v>
      </c>
    </row>
    <row r="19" spans="1:7" ht="15.75" thickBot="1" x14ac:dyDescent="0.3">
      <c r="A19" s="3" t="s">
        <v>128</v>
      </c>
      <c r="B19" s="46"/>
      <c r="C19" s="46"/>
      <c r="D19" s="46"/>
      <c r="E19" s="46"/>
      <c r="F19" s="46"/>
    </row>
    <row r="20" spans="1:7" ht="27.75" thickBot="1" x14ac:dyDescent="0.3">
      <c r="A20" s="87" t="s">
        <v>133</v>
      </c>
      <c r="B20" s="130" t="s">
        <v>132</v>
      </c>
      <c r="C20" s="130" t="s">
        <v>131</v>
      </c>
      <c r="D20" s="130" t="s">
        <v>130</v>
      </c>
      <c r="E20" s="130" t="s">
        <v>129</v>
      </c>
      <c r="F20" s="89" t="s">
        <v>28</v>
      </c>
    </row>
    <row r="21" spans="1:7" ht="15.75" thickBot="1" x14ac:dyDescent="0.3">
      <c r="A21" s="90" t="s">
        <v>24</v>
      </c>
      <c r="B21" s="237">
        <f t="shared" ref="B21:E24" si="2">+B5+B13</f>
        <v>2.81E-3</v>
      </c>
      <c r="C21" s="238">
        <f t="shared" si="2"/>
        <v>1.0300000000000001E-3</v>
      </c>
      <c r="D21" s="238">
        <f t="shared" si="2"/>
        <v>1.8999999999999996E-4</v>
      </c>
      <c r="E21" s="238">
        <f t="shared" si="2"/>
        <v>-4.0000000000000003E-5</v>
      </c>
      <c r="F21" s="236">
        <f>SUM(B21:E21)</f>
        <v>3.9899999999999996E-3</v>
      </c>
      <c r="G21" s="239">
        <f>+F21-'tariff tables'!H4</f>
        <v>0</v>
      </c>
    </row>
    <row r="22" spans="1:7" ht="15.75" thickBot="1" x14ac:dyDescent="0.3">
      <c r="A22" s="90" t="s">
        <v>107</v>
      </c>
      <c r="B22" s="237">
        <f t="shared" si="2"/>
        <v>3.64E-3</v>
      </c>
      <c r="C22" s="238">
        <f t="shared" si="2"/>
        <v>1.09E-3</v>
      </c>
      <c r="D22" s="238">
        <f t="shared" si="2"/>
        <v>4.4000000000000002E-4</v>
      </c>
      <c r="E22" s="238">
        <f t="shared" si="2"/>
        <v>0</v>
      </c>
      <c r="F22" s="236">
        <f t="shared" ref="F22:F24" si="3">SUM(B22:E22)</f>
        <v>5.1700000000000001E-3</v>
      </c>
      <c r="G22" s="239">
        <f>+F22-'tariff tables'!H5</f>
        <v>0</v>
      </c>
    </row>
    <row r="23" spans="1:7" ht="15.75" thickBot="1" x14ac:dyDescent="0.3">
      <c r="A23" s="90" t="s">
        <v>108</v>
      </c>
      <c r="B23" s="237">
        <f t="shared" si="2"/>
        <v>4.4900000000000001E-3</v>
      </c>
      <c r="C23" s="238">
        <f t="shared" si="2"/>
        <v>1.0399999999999999E-3</v>
      </c>
      <c r="D23" s="238">
        <f t="shared" si="2"/>
        <v>5.0000000000000001E-4</v>
      </c>
      <c r="E23" s="238">
        <f t="shared" si="2"/>
        <v>0</v>
      </c>
      <c r="F23" s="236">
        <f t="shared" si="3"/>
        <v>6.0300000000000006E-3</v>
      </c>
      <c r="G23" s="239">
        <f>+F23-'tariff tables'!H6</f>
        <v>0</v>
      </c>
    </row>
    <row r="24" spans="1:7" ht="15.75" thickBot="1" x14ac:dyDescent="0.3">
      <c r="A24" s="90" t="s">
        <v>109</v>
      </c>
      <c r="B24" s="237">
        <f t="shared" si="2"/>
        <v>3.0599999999999998E-3</v>
      </c>
      <c r="C24" s="238">
        <f t="shared" si="2"/>
        <v>3.0000000000000003E-4</v>
      </c>
      <c r="D24" s="238">
        <f t="shared" si="2"/>
        <v>3.1000000000000005E-4</v>
      </c>
      <c r="E24" s="238">
        <f t="shared" si="2"/>
        <v>0</v>
      </c>
      <c r="F24" s="236">
        <f t="shared" si="3"/>
        <v>3.6699999999999997E-3</v>
      </c>
      <c r="G24" s="239">
        <f>+F24-'tariff tables'!H7</f>
        <v>0</v>
      </c>
    </row>
    <row r="26" spans="1:7" x14ac:dyDescent="0.25">
      <c r="B26" s="239">
        <f>+B21-'tariff tables'!J4</f>
        <v>0</v>
      </c>
      <c r="C26" s="239">
        <f>+C21-'tariff tables'!K4</f>
        <v>0</v>
      </c>
      <c r="D26" s="239">
        <f>+D21-'tariff tables'!L4</f>
        <v>0</v>
      </c>
      <c r="E26" s="239">
        <f>+E21-'tariff tables'!M4</f>
        <v>0</v>
      </c>
      <c r="F26" s="239"/>
    </row>
    <row r="27" spans="1:7" x14ac:dyDescent="0.25">
      <c r="B27" s="239">
        <f>+B22-'tariff tables'!J5</f>
        <v>0</v>
      </c>
      <c r="C27" s="239">
        <f>+C22-'tariff tables'!K5</f>
        <v>0</v>
      </c>
      <c r="D27" s="239">
        <f>+D22-'tariff tables'!L5</f>
        <v>0</v>
      </c>
      <c r="E27" s="239">
        <f>+E22-'tariff tables'!M5</f>
        <v>0</v>
      </c>
      <c r="F27" s="239"/>
    </row>
    <row r="28" spans="1:7" x14ac:dyDescent="0.25">
      <c r="B28" s="239">
        <f>+B23-'tariff tables'!J6</f>
        <v>0</v>
      </c>
      <c r="C28" s="239">
        <f>+C23-'tariff tables'!K6</f>
        <v>0</v>
      </c>
      <c r="D28" s="239">
        <f>+D23-'tariff tables'!L6</f>
        <v>0</v>
      </c>
      <c r="E28" s="239">
        <f>+E23-'tariff tables'!M6</f>
        <v>0</v>
      </c>
      <c r="F28" s="239"/>
    </row>
    <row r="29" spans="1:7" x14ac:dyDescent="0.25">
      <c r="B29" s="239">
        <f>+B24-'tariff tables'!J7</f>
        <v>0</v>
      </c>
      <c r="C29" s="239">
        <f>+C24-'tariff tables'!K7</f>
        <v>0</v>
      </c>
      <c r="D29" s="239">
        <f>+D24-'tariff tables'!L7</f>
        <v>0</v>
      </c>
      <c r="E29" s="239">
        <f>+E24-'tariff tables'!M7</f>
        <v>0</v>
      </c>
      <c r="F29" s="239"/>
    </row>
  </sheetData>
  <pageMargins left="0.7" right="0.7" top="0.75" bottom="0.75" header="0.3" footer="0.3"/>
  <pageSetup orientation="portrait" r:id="rId1"/>
  <headerFoot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C4F0-FFC7-44B5-9D2D-BC0992E47F43}">
  <sheetPr>
    <pageSetUpPr fitToPage="1"/>
  </sheetPr>
  <dimension ref="A1:Y49"/>
  <sheetViews>
    <sheetView workbookViewId="0">
      <selection activeCell="F5" sqref="F5:M11"/>
    </sheetView>
  </sheetViews>
  <sheetFormatPr defaultColWidth="9.140625" defaultRowHeight="15" x14ac:dyDescent="0.25"/>
  <cols>
    <col min="1" max="1" width="20.85546875" style="46" customWidth="1"/>
    <col min="2" max="2" width="22" style="46" customWidth="1"/>
    <col min="3" max="3" width="17.28515625" style="46" customWidth="1"/>
    <col min="4" max="4" width="12.5703125" style="46" bestFit="1" customWidth="1"/>
    <col min="5" max="5" width="11.5703125" style="46" bestFit="1" customWidth="1"/>
    <col min="6" max="16384" width="9.140625" style="46"/>
  </cols>
  <sheetData>
    <row r="1" spans="1:25" x14ac:dyDescent="0.25">
      <c r="A1" s="63" t="s">
        <v>180</v>
      </c>
    </row>
    <row r="2" spans="1:25" x14ac:dyDescent="0.25">
      <c r="A2" s="9" t="s">
        <v>181</v>
      </c>
    </row>
    <row r="3" spans="1:25" ht="35.25" customHeight="1" x14ac:dyDescent="0.25">
      <c r="B3" s="306" t="s">
        <v>112</v>
      </c>
      <c r="C3" s="306"/>
    </row>
    <row r="4" spans="1:25" ht="75" x14ac:dyDescent="0.25">
      <c r="B4" s="270" t="s">
        <v>44</v>
      </c>
      <c r="C4" s="233" t="s">
        <v>26</v>
      </c>
      <c r="D4" s="296" t="s">
        <v>195</v>
      </c>
      <c r="E4" s="296" t="s">
        <v>196</v>
      </c>
    </row>
    <row r="5" spans="1:25" x14ac:dyDescent="0.25">
      <c r="A5" s="20" t="s">
        <v>24</v>
      </c>
      <c r="B5" s="271">
        <f>SUM('[2]Billed kWh Sales'!D34:E34)</f>
        <v>3590885837</v>
      </c>
      <c r="C5" s="231">
        <f>SUM(D5:E5)</f>
        <v>10661210.75</v>
      </c>
      <c r="D5" s="231">
        <f>ROUND(SUM('[3]Monthly Program Costs'!$AL290:$AW290),2)</f>
        <v>6339310.7000000002</v>
      </c>
      <c r="E5" s="231">
        <f>ROUND('[4]Settlement Proposal Budget'!$P$22*0.5,2)</f>
        <v>4321900.05</v>
      </c>
      <c r="G5" s="269"/>
      <c r="H5" s="269"/>
    </row>
    <row r="6" spans="1:25" x14ac:dyDescent="0.25">
      <c r="A6" s="20" t="s">
        <v>107</v>
      </c>
      <c r="B6" s="271">
        <f>SUM('[2]Billed kWh Sales'!D35:E35)</f>
        <v>1152261617</v>
      </c>
      <c r="C6" s="231">
        <f t="shared" ref="C6:C8" si="0">SUM(D6:E6)</f>
        <v>4043686.68</v>
      </c>
      <c r="D6" s="231">
        <f>ROUND(SUM('[3]Monthly Program Costs'!$AL291:$AW291),2)</f>
        <v>2759847.1</v>
      </c>
      <c r="E6" s="231">
        <f>ROUND('[4]Settlement Proposal Budget'!$Q$22*0.5,2)</f>
        <v>1283839.58</v>
      </c>
      <c r="F6" s="269"/>
      <c r="G6" s="269"/>
      <c r="H6" s="269"/>
      <c r="I6" s="269"/>
    </row>
    <row r="7" spans="1:25" x14ac:dyDescent="0.25">
      <c r="A7" s="20" t="s">
        <v>108</v>
      </c>
      <c r="B7" s="271">
        <f>SUM('[2]Billed kWh Sales'!D36:E36)</f>
        <v>1105922161</v>
      </c>
      <c r="C7" s="231">
        <f t="shared" si="0"/>
        <v>4451487.43</v>
      </c>
      <c r="D7" s="231">
        <f>ROUND(SUM('[3]Monthly Program Costs'!$AL293:$AW293),2)</f>
        <v>2684280.96</v>
      </c>
      <c r="E7" s="231">
        <f>ROUND('[4]Settlement Proposal Budget'!$S$22*0.5,2)</f>
        <v>1767206.47</v>
      </c>
      <c r="F7" s="269"/>
      <c r="G7" s="269"/>
      <c r="H7" s="269"/>
      <c r="I7" s="269"/>
    </row>
    <row r="8" spans="1:25" x14ac:dyDescent="0.25">
      <c r="A8" s="20" t="s">
        <v>109</v>
      </c>
      <c r="B8" s="271">
        <f>SUM('[2]Billed kWh Sales'!D37:E37)</f>
        <v>813809115</v>
      </c>
      <c r="C8" s="231">
        <f t="shared" si="0"/>
        <v>2910018.87</v>
      </c>
      <c r="D8" s="231">
        <f>ROUND(SUM('[3]Monthly Program Costs'!$AL294:$AW294),2)</f>
        <v>1939537.29</v>
      </c>
      <c r="E8" s="231">
        <f>ROUND('[4]Settlement Proposal Budget'!$T$22*0.5,2)</f>
        <v>970481.58</v>
      </c>
      <c r="F8" s="269"/>
      <c r="G8" s="269"/>
      <c r="H8" s="269"/>
      <c r="I8" s="269"/>
      <c r="P8" s="1"/>
      <c r="Q8" s="1"/>
      <c r="R8" s="1"/>
      <c r="S8" s="1"/>
      <c r="T8" s="1"/>
      <c r="U8" s="1"/>
      <c r="V8" s="1"/>
      <c r="W8" s="1"/>
      <c r="X8" s="1"/>
      <c r="Y8" s="1"/>
    </row>
    <row r="9" spans="1:25" x14ac:dyDescent="0.25">
      <c r="A9" s="30" t="s">
        <v>111</v>
      </c>
      <c r="B9" s="272">
        <f>SUM(B5:B8)</f>
        <v>6662878730</v>
      </c>
      <c r="C9" s="232">
        <f>SUM(C5:C8)</f>
        <v>22066403.73</v>
      </c>
      <c r="D9" s="232">
        <f t="shared" ref="D9:E9" si="1">SUM(D5:D8)</f>
        <v>13722976.050000001</v>
      </c>
      <c r="E9" s="232">
        <f t="shared" si="1"/>
        <v>8343427.6799999997</v>
      </c>
      <c r="P9" s="1"/>
      <c r="Q9" s="1"/>
      <c r="R9" s="1"/>
      <c r="S9" s="1"/>
      <c r="T9" s="1"/>
      <c r="U9" s="1"/>
      <c r="V9" s="1"/>
      <c r="W9" s="1"/>
      <c r="X9" s="1"/>
      <c r="Y9" s="1"/>
    </row>
    <row r="11" spans="1:25" x14ac:dyDescent="0.25">
      <c r="A11" s="53" t="s">
        <v>11</v>
      </c>
    </row>
    <row r="12" spans="1:25" ht="29.25" customHeight="1" x14ac:dyDescent="0.25">
      <c r="A12" s="305" t="s">
        <v>184</v>
      </c>
      <c r="B12" s="305"/>
      <c r="C12" s="305"/>
      <c r="D12" s="305"/>
      <c r="E12" s="305"/>
      <c r="F12" s="298"/>
      <c r="G12" s="305"/>
      <c r="H12" s="305"/>
      <c r="I12" s="305"/>
    </row>
    <row r="13" spans="1:25" ht="18.75" customHeight="1" x14ac:dyDescent="0.25">
      <c r="A13" s="305" t="s">
        <v>199</v>
      </c>
      <c r="B13" s="305"/>
      <c r="C13" s="305"/>
      <c r="D13" s="305"/>
      <c r="E13" s="305"/>
    </row>
    <row r="14" spans="1:25" ht="28.5" customHeight="1" x14ac:dyDescent="0.25">
      <c r="A14" s="305" t="s">
        <v>200</v>
      </c>
      <c r="B14" s="305"/>
      <c r="C14" s="305"/>
      <c r="D14" s="305"/>
      <c r="E14" s="305"/>
    </row>
    <row r="15" spans="1:25" ht="28.5" customHeight="1" x14ac:dyDescent="0.25">
      <c r="A15" s="305" t="s">
        <v>201</v>
      </c>
      <c r="B15" s="305"/>
      <c r="C15" s="305"/>
      <c r="D15" s="305"/>
      <c r="E15" s="305"/>
    </row>
    <row r="16" spans="1:25" ht="32.25" customHeight="1" x14ac:dyDescent="0.25"/>
    <row r="23" spans="3:3" x14ac:dyDescent="0.25">
      <c r="C23" s="2"/>
    </row>
    <row r="45" spans="2:3" x14ac:dyDescent="0.25">
      <c r="B45" s="8"/>
      <c r="C45" s="8"/>
    </row>
    <row r="49" spans="2:3" x14ac:dyDescent="0.25">
      <c r="B49" s="8"/>
      <c r="C49" s="8"/>
    </row>
  </sheetData>
  <mergeCells count="6">
    <mergeCell ref="A15:E15"/>
    <mergeCell ref="B3:C3"/>
    <mergeCell ref="G12:I12"/>
    <mergeCell ref="A12:E12"/>
    <mergeCell ref="A13:E13"/>
    <mergeCell ref="A14:E14"/>
  </mergeCells>
  <pageMargins left="0.2" right="0.2" top="0.75" bottom="0.25" header="0.3" footer="0.3"/>
  <pageSetup scale="80" orientation="landscape" r:id="rId1"/>
  <headerFooter>
    <oddHeader>&amp;C&amp;F &amp;A&amp;R&amp;"Arial"&amp;10&amp;K000000CONFIDENTIAL</oddHead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74"/>
  <sheetViews>
    <sheetView topLeftCell="G1" workbookViewId="0">
      <selection activeCell="O1" sqref="O1:O1048576"/>
    </sheetView>
  </sheetViews>
  <sheetFormatPr defaultColWidth="9.140625" defaultRowHeight="15" x14ac:dyDescent="0.25"/>
  <cols>
    <col min="1" max="1" width="54.5703125" style="46" customWidth="1"/>
    <col min="2" max="2" width="14.7109375" style="46" customWidth="1"/>
    <col min="3" max="3" width="15" style="46" customWidth="1"/>
    <col min="4" max="4" width="15.28515625" style="46" customWidth="1"/>
    <col min="5" max="5" width="15.85546875" style="46" customWidth="1"/>
    <col min="6" max="6" width="17.5703125" style="46" customWidth="1"/>
    <col min="7" max="8" width="13.28515625" style="46" customWidth="1"/>
    <col min="9" max="9" width="15.7109375" style="46" customWidth="1"/>
    <col min="10" max="11" width="12.5703125" style="46" bestFit="1" customWidth="1"/>
    <col min="12" max="12" width="14.42578125" style="46" customWidth="1"/>
    <col min="13" max="13" width="15" style="46" bestFit="1" customWidth="1"/>
    <col min="14" max="14" width="16.28515625" style="46" bestFit="1" customWidth="1"/>
    <col min="15" max="15" width="16.140625" style="46" customWidth="1"/>
    <col min="16" max="16" width="17.28515625" style="46" bestFit="1" customWidth="1"/>
    <col min="17" max="17" width="17.42578125" style="46" customWidth="1"/>
    <col min="18" max="18" width="15.5703125" style="46" customWidth="1"/>
    <col min="19" max="19" width="13" style="46" customWidth="1"/>
    <col min="20" max="20" width="9.140625" style="46"/>
    <col min="21" max="21" width="14.28515625" style="46" bestFit="1" customWidth="1"/>
    <col min="22" max="16384" width="9.140625" style="46"/>
  </cols>
  <sheetData>
    <row r="1" spans="1:34" x14ac:dyDescent="0.25">
      <c r="A1" s="3" t="str">
        <f>+'PPC Cycle 3'!A1</f>
        <v>Evergy Missouri West, Inc. - DSIM Rider Update Filed 06/01/2022</v>
      </c>
      <c r="B1" s="3"/>
      <c r="C1" s="3"/>
    </row>
    <row r="2" spans="1:34" x14ac:dyDescent="0.25">
      <c r="D2" s="3" t="s">
        <v>60</v>
      </c>
    </row>
    <row r="3" spans="1:34" ht="30" x14ac:dyDescent="0.25">
      <c r="D3" s="48" t="s">
        <v>46</v>
      </c>
      <c r="E3" s="48" t="s">
        <v>45</v>
      </c>
      <c r="F3" s="70" t="s">
        <v>2</v>
      </c>
      <c r="G3" s="48" t="s">
        <v>3</v>
      </c>
      <c r="H3" s="70" t="s">
        <v>55</v>
      </c>
      <c r="I3" s="48" t="s">
        <v>10</v>
      </c>
      <c r="J3" s="48" t="s">
        <v>4</v>
      </c>
    </row>
    <row r="4" spans="1:34" x14ac:dyDescent="0.25">
      <c r="A4" s="20" t="s">
        <v>24</v>
      </c>
      <c r="D4" s="22">
        <f>SUM(C32:L32)</f>
        <v>12295.89</v>
      </c>
      <c r="E4" s="137">
        <f>SUM(C26:L26)</f>
        <v>1755512092.0718</v>
      </c>
      <c r="F4" s="22">
        <f>SUM(C22:K22)</f>
        <v>0</v>
      </c>
      <c r="G4" s="22">
        <f>F4-D4</f>
        <v>-12295.89</v>
      </c>
      <c r="H4" s="22">
        <f>+B44</f>
        <v>12282.312319999859</v>
      </c>
      <c r="I4" s="22">
        <f>SUM(C49:K49)</f>
        <v>13.339999999999998</v>
      </c>
      <c r="J4" s="25">
        <f>SUM(G4:I4)</f>
        <v>-0.23768000014039181</v>
      </c>
      <c r="K4" s="47">
        <f>+J4-L44</f>
        <v>-8.7574392182432348E-13</v>
      </c>
    </row>
    <row r="5" spans="1:34" ht="15.75" thickBot="1" x14ac:dyDescent="0.3">
      <c r="A5" s="20" t="s">
        <v>25</v>
      </c>
      <c r="D5" s="22">
        <f>SUM(C33:L35)</f>
        <v>-95393.099999999991</v>
      </c>
      <c r="E5" s="137">
        <f>SUM(C27:L29)</f>
        <v>1485904724.7983003</v>
      </c>
      <c r="F5" s="22">
        <f>SUM(C23:K23)</f>
        <v>0</v>
      </c>
      <c r="G5" s="22">
        <f>F5-D5</f>
        <v>95393.099999999991</v>
      </c>
      <c r="H5" s="22">
        <f>+B45</f>
        <v>-238152.90896000015</v>
      </c>
      <c r="I5" s="22">
        <f>SUM(C50:K50)</f>
        <v>-1762.28</v>
      </c>
      <c r="J5" s="25">
        <f>SUM(G5:I5)</f>
        <v>-144522.08896000017</v>
      </c>
      <c r="K5" s="47">
        <f>+J5-L45</f>
        <v>0</v>
      </c>
    </row>
    <row r="6" spans="1:34" ht="16.5" thickTop="1" thickBot="1" x14ac:dyDescent="0.3">
      <c r="D6" s="27">
        <f t="shared" ref="D6" si="0">SUM(D4:D5)</f>
        <v>-83097.209999999992</v>
      </c>
      <c r="E6" s="27">
        <f t="shared" ref="E6:H6" si="1">SUM(E4:E5)</f>
        <v>3241416816.8701</v>
      </c>
      <c r="F6" s="27">
        <f t="shared" si="1"/>
        <v>0</v>
      </c>
      <c r="G6" s="27">
        <f t="shared" si="1"/>
        <v>83097.209999999992</v>
      </c>
      <c r="H6" s="27">
        <f t="shared" si="1"/>
        <v>-225870.59664000029</v>
      </c>
      <c r="I6" s="27">
        <f>SUM(I4:I5)</f>
        <v>-1748.94</v>
      </c>
      <c r="J6" s="27">
        <f>SUM(J4:J5)</f>
        <v>-144522.3266400003</v>
      </c>
    </row>
    <row r="7" spans="1:34" ht="45.75" thickTop="1" x14ac:dyDescent="0.25">
      <c r="D7" s="229"/>
      <c r="E7" s="230"/>
      <c r="F7" s="229"/>
      <c r="G7" s="229"/>
      <c r="H7" s="229"/>
      <c r="I7" s="228"/>
      <c r="J7" s="228"/>
      <c r="K7" s="227" t="s">
        <v>122</v>
      </c>
    </row>
    <row r="8" spans="1:34" x14ac:dyDescent="0.25">
      <c r="A8" s="20" t="s">
        <v>107</v>
      </c>
      <c r="D8" s="229"/>
      <c r="E8" s="230"/>
      <c r="F8" s="229"/>
      <c r="G8" s="229"/>
      <c r="H8" s="229"/>
      <c r="I8" s="228"/>
      <c r="J8" s="25">
        <f>ROUND($J$5*K8,2)</f>
        <v>-56666.080000000002</v>
      </c>
      <c r="K8" s="225">
        <f>+'[5]Monthly TD Calc'!$CY$44</f>
        <v>0.39209287804949344</v>
      </c>
    </row>
    <row r="9" spans="1:34" x14ac:dyDescent="0.25">
      <c r="A9" s="20" t="s">
        <v>108</v>
      </c>
      <c r="D9" s="229"/>
      <c r="E9" s="230"/>
      <c r="F9" s="229"/>
      <c r="G9" s="229"/>
      <c r="H9" s="229"/>
      <c r="I9" s="228"/>
      <c r="J9" s="25">
        <f t="shared" ref="J9:J10" si="2">ROUND($J$5*K9,2)</f>
        <v>-65664.92</v>
      </c>
      <c r="K9" s="225">
        <f>+'[5]Monthly TD Calc'!$DA$44</f>
        <v>0.45435908608374953</v>
      </c>
    </row>
    <row r="10" spans="1:34" ht="15.75" thickBot="1" x14ac:dyDescent="0.3">
      <c r="A10" s="20" t="s">
        <v>109</v>
      </c>
      <c r="D10" s="229"/>
      <c r="E10" s="230"/>
      <c r="F10" s="229"/>
      <c r="G10" s="229"/>
      <c r="H10" s="229"/>
      <c r="I10" s="228"/>
      <c r="J10" s="25">
        <f t="shared" si="2"/>
        <v>-22191.08</v>
      </c>
      <c r="K10" s="225">
        <f>+'[5]Monthly TD Calc'!$DB$44</f>
        <v>0.15354803586675725</v>
      </c>
    </row>
    <row r="11" spans="1:34" ht="16.5" thickTop="1" thickBot="1" x14ac:dyDescent="0.3">
      <c r="A11" s="20" t="s">
        <v>111</v>
      </c>
      <c r="D11" s="229"/>
      <c r="E11" s="230"/>
      <c r="F11" s="229"/>
      <c r="G11" s="229"/>
      <c r="H11" s="229"/>
      <c r="I11" s="228"/>
      <c r="J11" s="27">
        <f>SUM(J8:J10)</f>
        <v>-144522.08000000002</v>
      </c>
      <c r="K11" s="226">
        <f>SUM(K8:K10)</f>
        <v>1.0000000000000002</v>
      </c>
    </row>
    <row r="12" spans="1:34" ht="16.5" thickTop="1" thickBot="1" x14ac:dyDescent="0.3"/>
    <row r="13" spans="1:34" ht="90.75" thickBot="1" x14ac:dyDescent="0.3">
      <c r="B13" s="118" t="s">
        <v>182</v>
      </c>
      <c r="C13" s="152" t="s">
        <v>183</v>
      </c>
      <c r="D13" s="311" t="s">
        <v>33</v>
      </c>
      <c r="E13" s="311"/>
      <c r="F13" s="312"/>
      <c r="G13" s="313" t="s">
        <v>33</v>
      </c>
      <c r="H13" s="314"/>
      <c r="I13" s="315"/>
      <c r="J13" s="307" t="s">
        <v>8</v>
      </c>
      <c r="K13" s="308"/>
      <c r="L13" s="309"/>
    </row>
    <row r="14" spans="1:34" x14ac:dyDescent="0.25">
      <c r="A14" s="46" t="s">
        <v>32</v>
      </c>
      <c r="C14" s="14"/>
      <c r="D14" s="19">
        <v>44530</v>
      </c>
      <c r="E14" s="19">
        <f>EOMONTH(D14,1)</f>
        <v>44561</v>
      </c>
      <c r="F14" s="19">
        <f t="shared" ref="F14:L14" si="3">EOMONTH(E14,1)</f>
        <v>44592</v>
      </c>
      <c r="G14" s="14">
        <f t="shared" si="3"/>
        <v>44620</v>
      </c>
      <c r="H14" s="19">
        <f t="shared" si="3"/>
        <v>44651</v>
      </c>
      <c r="I14" s="15">
        <f t="shared" si="3"/>
        <v>44681</v>
      </c>
      <c r="J14" s="19">
        <f t="shared" si="3"/>
        <v>44712</v>
      </c>
      <c r="K14" s="19">
        <f t="shared" si="3"/>
        <v>44742</v>
      </c>
      <c r="L14" s="95">
        <f t="shared" si="3"/>
        <v>44773</v>
      </c>
      <c r="Y14" s="1"/>
      <c r="Z14" s="1"/>
      <c r="AA14" s="1"/>
      <c r="AB14" s="1"/>
      <c r="AC14" s="1"/>
      <c r="AD14" s="1"/>
      <c r="AE14" s="1"/>
      <c r="AF14" s="1"/>
      <c r="AG14" s="1"/>
      <c r="AH14" s="1"/>
    </row>
    <row r="15" spans="1:34" x14ac:dyDescent="0.25">
      <c r="A15" s="46" t="s">
        <v>24</v>
      </c>
      <c r="C15" s="97">
        <v>0</v>
      </c>
      <c r="D15" s="109">
        <v>0</v>
      </c>
      <c r="E15" s="109">
        <v>0</v>
      </c>
      <c r="F15" s="110">
        <v>0</v>
      </c>
      <c r="G15" s="16">
        <v>0</v>
      </c>
      <c r="H15" s="55">
        <v>0</v>
      </c>
      <c r="I15" s="165">
        <v>0</v>
      </c>
      <c r="J15" s="175">
        <v>0</v>
      </c>
      <c r="K15" s="139">
        <v>0</v>
      </c>
      <c r="L15" s="76"/>
    </row>
    <row r="16" spans="1:34" x14ac:dyDescent="0.25">
      <c r="A16" s="46" t="s">
        <v>25</v>
      </c>
      <c r="C16" s="97">
        <v>0</v>
      </c>
      <c r="D16" s="109">
        <v>0</v>
      </c>
      <c r="E16" s="109">
        <v>0</v>
      </c>
      <c r="F16" s="110">
        <v>0</v>
      </c>
      <c r="G16" s="16">
        <v>0</v>
      </c>
      <c r="H16" s="55">
        <v>0</v>
      </c>
      <c r="I16" s="165">
        <v>0</v>
      </c>
      <c r="J16" s="175">
        <v>0</v>
      </c>
      <c r="K16" s="139">
        <v>0</v>
      </c>
      <c r="L16" s="76"/>
      <c r="M16" s="63" t="s">
        <v>27</v>
      </c>
    </row>
    <row r="17" spans="1:14" x14ac:dyDescent="0.25">
      <c r="A17" s="46" t="s">
        <v>0</v>
      </c>
      <c r="C17" s="97">
        <v>0</v>
      </c>
      <c r="D17" s="109">
        <v>0</v>
      </c>
      <c r="E17" s="109">
        <v>0</v>
      </c>
      <c r="F17" s="110">
        <v>0</v>
      </c>
      <c r="G17" s="16">
        <v>0</v>
      </c>
      <c r="H17" s="55">
        <v>0</v>
      </c>
      <c r="I17" s="165">
        <v>0</v>
      </c>
      <c r="J17" s="175">
        <v>0</v>
      </c>
      <c r="K17" s="139">
        <v>0</v>
      </c>
      <c r="L17" s="76"/>
      <c r="M17" s="73">
        <v>0.5</v>
      </c>
    </row>
    <row r="18" spans="1:14" x14ac:dyDescent="0.25">
      <c r="A18" s="46" t="s">
        <v>1</v>
      </c>
      <c r="C18" s="97">
        <v>0</v>
      </c>
      <c r="D18" s="109">
        <v>0</v>
      </c>
      <c r="E18" s="109">
        <v>0</v>
      </c>
      <c r="F18" s="110">
        <v>0</v>
      </c>
      <c r="G18" s="16">
        <v>0</v>
      </c>
      <c r="H18" s="55">
        <v>0</v>
      </c>
      <c r="I18" s="165">
        <v>0</v>
      </c>
      <c r="J18" s="175">
        <v>0</v>
      </c>
      <c r="K18" s="139">
        <v>0</v>
      </c>
      <c r="L18" s="76"/>
      <c r="M18" s="63"/>
    </row>
    <row r="19" spans="1:14" x14ac:dyDescent="0.25">
      <c r="C19" s="98"/>
      <c r="D19" s="31"/>
      <c r="E19" s="31"/>
      <c r="F19" s="31"/>
      <c r="G19" s="28"/>
      <c r="H19" s="31"/>
      <c r="I19" s="11"/>
      <c r="J19" s="31"/>
      <c r="K19" s="31"/>
      <c r="L19" s="29"/>
    </row>
    <row r="20" spans="1:14" x14ac:dyDescent="0.25">
      <c r="C20" s="98"/>
      <c r="D20" s="31"/>
      <c r="E20" s="31"/>
      <c r="F20" s="31"/>
      <c r="G20" s="28"/>
      <c r="H20" s="31"/>
      <c r="I20" s="11"/>
      <c r="J20" s="31"/>
      <c r="K20" s="31"/>
      <c r="L20" s="29"/>
    </row>
    <row r="21" spans="1:14" x14ac:dyDescent="0.25">
      <c r="A21" s="46" t="s">
        <v>35</v>
      </c>
      <c r="C21" s="99"/>
      <c r="D21" s="31"/>
      <c r="E21" s="31"/>
      <c r="F21" s="31"/>
      <c r="G21" s="28"/>
      <c r="H21" s="31"/>
      <c r="I21" s="166"/>
      <c r="J21" s="17"/>
      <c r="K21" s="17"/>
      <c r="L21" s="11"/>
    </row>
    <row r="22" spans="1:14" x14ac:dyDescent="0.25">
      <c r="A22" s="46" t="s">
        <v>24</v>
      </c>
      <c r="C22" s="40">
        <f t="shared" ref="C22:K22" si="4">C15+($M$17*C$17)+($M$17*C$18)</f>
        <v>0</v>
      </c>
      <c r="D22" s="41">
        <f t="shared" si="4"/>
        <v>0</v>
      </c>
      <c r="E22" s="41">
        <f t="shared" si="4"/>
        <v>0</v>
      </c>
      <c r="F22" s="108">
        <f t="shared" si="4"/>
        <v>0</v>
      </c>
      <c r="G22" s="40">
        <f t="shared" si="4"/>
        <v>0</v>
      </c>
      <c r="H22" s="41">
        <f t="shared" si="4"/>
        <v>0</v>
      </c>
      <c r="I22" s="61">
        <f t="shared" si="4"/>
        <v>0</v>
      </c>
      <c r="J22" s="123">
        <f t="shared" si="4"/>
        <v>0</v>
      </c>
      <c r="K22" s="41">
        <f t="shared" si="4"/>
        <v>0</v>
      </c>
      <c r="L22" s="61">
        <f t="shared" ref="L22" si="5">L15+($M$17*L$17)+($M$17*L$18)+L$19*(1-$M$19)</f>
        <v>0</v>
      </c>
    </row>
    <row r="23" spans="1:14" x14ac:dyDescent="0.25">
      <c r="A23" s="46" t="s">
        <v>25</v>
      </c>
      <c r="C23" s="40">
        <f t="shared" ref="C23:K23" si="6">(C$16+$M$17*C$17)+C$18*$M$17</f>
        <v>0</v>
      </c>
      <c r="D23" s="41">
        <f t="shared" si="6"/>
        <v>0</v>
      </c>
      <c r="E23" s="41">
        <f t="shared" si="6"/>
        <v>0</v>
      </c>
      <c r="F23" s="108">
        <f t="shared" si="6"/>
        <v>0</v>
      </c>
      <c r="G23" s="40">
        <f t="shared" si="6"/>
        <v>0</v>
      </c>
      <c r="H23" s="41">
        <f t="shared" si="6"/>
        <v>0</v>
      </c>
      <c r="I23" s="61">
        <f t="shared" si="6"/>
        <v>0</v>
      </c>
      <c r="J23" s="123">
        <f t="shared" si="6"/>
        <v>0</v>
      </c>
      <c r="K23" s="41">
        <f t="shared" si="6"/>
        <v>0</v>
      </c>
      <c r="L23" s="61">
        <f t="shared" ref="L23" si="7">(L$16+$M$17*L$17+L$19*$M$19)+L$18*$M$17</f>
        <v>0</v>
      </c>
    </row>
    <row r="24" spans="1:14" x14ac:dyDescent="0.25">
      <c r="C24" s="99"/>
      <c r="D24" s="31"/>
      <c r="E24" s="31"/>
      <c r="F24" s="31"/>
      <c r="G24" s="28"/>
      <c r="H24" s="31"/>
      <c r="I24" s="11"/>
      <c r="J24" s="17"/>
      <c r="K24" s="17"/>
      <c r="L24" s="11"/>
    </row>
    <row r="25" spans="1:14" x14ac:dyDescent="0.25">
      <c r="A25" s="39" t="s">
        <v>47</v>
      </c>
      <c r="B25" s="39"/>
      <c r="C25" s="101"/>
      <c r="D25" s="31"/>
      <c r="E25" s="31"/>
      <c r="F25" s="31"/>
      <c r="G25" s="28"/>
      <c r="H25" s="31"/>
      <c r="I25" s="11"/>
      <c r="J25" s="17"/>
      <c r="K25" s="17"/>
      <c r="L25" s="11"/>
    </row>
    <row r="26" spans="1:14" x14ac:dyDescent="0.25">
      <c r="A26" s="46" t="s">
        <v>24</v>
      </c>
      <c r="C26" s="102">
        <v>-922559458</v>
      </c>
      <c r="D26" s="111">
        <f>+'[6]Nov 2021'!$F108</f>
        <v>213754358.93200004</v>
      </c>
      <c r="E26" s="111">
        <f>+'[6]Dec 2021'!$F108</f>
        <v>265983469.20469999</v>
      </c>
      <c r="F26" s="111">
        <f>+'[6]Jan 2022'!$F108</f>
        <v>361160747.1372999</v>
      </c>
      <c r="G26" s="185">
        <f>+'[6]Feb 2022'!$F108</f>
        <v>350017110.45929998</v>
      </c>
      <c r="H26" s="188">
        <f>+'[6]Mar 2022'!$F108</f>
        <v>313874319.61389995</v>
      </c>
      <c r="I26" s="180">
        <f>+'[6]Apr 2022'!$F108</f>
        <v>245959273.72460008</v>
      </c>
      <c r="J26" s="176">
        <f>+'[2]Billed kWh Sales'!C25</f>
        <v>223399953</v>
      </c>
      <c r="K26" s="140">
        <f>+'[2]Billed kWh Sales'!D25</f>
        <v>309715994</v>
      </c>
      <c r="L26" s="77">
        <f>+'[2]Billed kWh Sales'!E25</f>
        <v>394206324</v>
      </c>
    </row>
    <row r="27" spans="1:14" x14ac:dyDescent="0.25">
      <c r="A27" s="46" t="s">
        <v>107</v>
      </c>
      <c r="C27" s="102">
        <v>-278159814</v>
      </c>
      <c r="D27" s="111">
        <f>+'[6]Nov 2021'!$F109</f>
        <v>86970274.872600019</v>
      </c>
      <c r="E27" s="111">
        <f>+'[6]Dec 2021'!$F109</f>
        <v>93814130.378200024</v>
      </c>
      <c r="F27" s="111">
        <f>+'[6]Jan 2022'!$F109</f>
        <v>109349241.64030001</v>
      </c>
      <c r="G27" s="185">
        <f>+'[6]Feb 2022'!$F109</f>
        <v>105988382.94010003</v>
      </c>
      <c r="H27" s="188">
        <f>+'[6]Mar 2022'!$F109</f>
        <v>105045291.18460003</v>
      </c>
      <c r="I27" s="180">
        <f>+'[6]Apr 2022'!$F109</f>
        <v>93123921.764600009</v>
      </c>
      <c r="J27" s="176">
        <f>+'[2]Billed kWh Sales'!C26</f>
        <v>89810739</v>
      </c>
      <c r="K27" s="140">
        <f>+'[2]Billed kWh Sales'!D26</f>
        <v>92228849</v>
      </c>
      <c r="L27" s="77">
        <f>+'[2]Billed kWh Sales'!E26</f>
        <v>97527900</v>
      </c>
    </row>
    <row r="28" spans="1:14" x14ac:dyDescent="0.25">
      <c r="A28" s="46" t="s">
        <v>108</v>
      </c>
      <c r="C28" s="102">
        <v>-277023167</v>
      </c>
      <c r="D28" s="111">
        <f>+'[6]Nov 2021'!$F110</f>
        <v>87322967.743900001</v>
      </c>
      <c r="E28" s="111">
        <f>+'[6]Dec 2021'!$F110</f>
        <v>87608807.915299997</v>
      </c>
      <c r="F28" s="111">
        <f>+'[6]Jan 2022'!$F110</f>
        <v>96747934.608500004</v>
      </c>
      <c r="G28" s="185">
        <f>+'[6]Feb 2022'!$F110</f>
        <v>90790463.036300033</v>
      </c>
      <c r="H28" s="188">
        <f>+'[6]Mar 2022'!$F110</f>
        <v>89506757.944700003</v>
      </c>
      <c r="I28" s="180">
        <f>+'[6]Apr 2022'!$F110</f>
        <v>85672749.556400001</v>
      </c>
      <c r="J28" s="176">
        <f>+'[2]Billed kWh Sales'!C27</f>
        <v>86198903</v>
      </c>
      <c r="K28" s="140">
        <f>+'[2]Billed kWh Sales'!D27</f>
        <v>88519765</v>
      </c>
      <c r="L28" s="77">
        <f>+'[2]Billed kWh Sales'!E27</f>
        <v>93605710</v>
      </c>
    </row>
    <row r="29" spans="1:14" x14ac:dyDescent="0.25">
      <c r="A29" s="46" t="s">
        <v>109</v>
      </c>
      <c r="C29" s="102">
        <v>-195465867</v>
      </c>
      <c r="D29" s="111">
        <f>+'[6]Nov 2021'!$F111</f>
        <v>61151612.916400023</v>
      </c>
      <c r="E29" s="111">
        <f>+'[6]Dec 2021'!$F111</f>
        <v>59640585.517399997</v>
      </c>
      <c r="F29" s="111">
        <f>+'[6]Jan 2022'!$F111</f>
        <v>59724245.750200003</v>
      </c>
      <c r="G29" s="185">
        <f>+'[6]Feb 2022'!$F111</f>
        <v>58985778.347800009</v>
      </c>
      <c r="H29" s="188">
        <f>+'[6]Mar 2022'!$F111</f>
        <v>59375183.620199993</v>
      </c>
      <c r="I29" s="180">
        <f>+'[6]Apr 2022'!$F111</f>
        <v>60392930.060800016</v>
      </c>
      <c r="J29" s="176">
        <f>+'[2]Billed kWh Sales'!C28</f>
        <v>63430733</v>
      </c>
      <c r="K29" s="140">
        <f>+'[2]Billed kWh Sales'!D28</f>
        <v>65138573</v>
      </c>
      <c r="L29" s="77">
        <f>+'[2]Billed kWh Sales'!E28</f>
        <v>68881141</v>
      </c>
    </row>
    <row r="30" spans="1:14" x14ac:dyDescent="0.25">
      <c r="C30" s="99"/>
      <c r="D30" s="31"/>
      <c r="E30" s="31"/>
      <c r="F30" s="31"/>
      <c r="G30" s="28"/>
      <c r="H30" s="31"/>
      <c r="I30" s="11"/>
      <c r="J30" s="17"/>
      <c r="K30" s="17"/>
      <c r="L30" s="11"/>
    </row>
    <row r="31" spans="1:14" x14ac:dyDescent="0.25">
      <c r="A31" s="46" t="s">
        <v>34</v>
      </c>
      <c r="C31" s="99"/>
      <c r="D31" s="18"/>
      <c r="E31" s="18"/>
      <c r="F31" s="18"/>
      <c r="G31" s="91"/>
      <c r="H31" s="18"/>
      <c r="I31" s="11"/>
      <c r="J31" s="57"/>
      <c r="K31" s="57"/>
      <c r="L31" s="58"/>
      <c r="M31" s="63" t="s">
        <v>50</v>
      </c>
      <c r="N31" s="39"/>
    </row>
    <row r="32" spans="1:14" x14ac:dyDescent="0.25">
      <c r="A32" s="46" t="s">
        <v>24</v>
      </c>
      <c r="C32" s="97">
        <v>0</v>
      </c>
      <c r="D32" s="109">
        <f>ROUND(+'[6]Nov 2021'!$F36+'[6]Nov 2021'!$F44,2)</f>
        <v>267.81</v>
      </c>
      <c r="E32" s="109">
        <f>ROUND(+'[6]Dec 2021'!$F36+'[6]Dec 2021'!$F44,2)</f>
        <v>18.52</v>
      </c>
      <c r="F32" s="111">
        <f>ROUND(+'[6]Jan 2022'!$F36+'[6]Jan 2022'!$F44,2)</f>
        <v>9.23</v>
      </c>
      <c r="G32" s="186">
        <f>ROUND(+'[6]Feb 2022'!$F36+'[6]Feb 2022'!$F44,2)</f>
        <v>12000.33</v>
      </c>
      <c r="H32" s="55">
        <f>ROUND(+'[6]Mar 2022'!$F36+'[6]Mar 2022'!$F44,2)</f>
        <v>0</v>
      </c>
      <c r="I32" s="178">
        <f>ROUND(+'[6]Apr 2022'!$F36+'[6]Apr 2022'!$F44,2)</f>
        <v>0</v>
      </c>
      <c r="J32" s="123">
        <f t="shared" ref="J32:L35" si="8">ROUND(J26*$M32,2)</f>
        <v>0</v>
      </c>
      <c r="K32" s="41">
        <f t="shared" si="8"/>
        <v>0</v>
      </c>
      <c r="L32" s="61">
        <f t="shared" si="8"/>
        <v>0</v>
      </c>
      <c r="M32" s="72">
        <v>0</v>
      </c>
    </row>
    <row r="33" spans="1:13" x14ac:dyDescent="0.25">
      <c r="A33" s="46" t="s">
        <v>107</v>
      </c>
      <c r="C33" s="97">
        <v>13907.98</v>
      </c>
      <c r="D33" s="109">
        <f>ROUND(+'[6]Nov 2021'!$F37+'[6]Nov 2021'!$F45,2)</f>
        <v>-3479.39</v>
      </c>
      <c r="E33" s="109">
        <f>ROUND(+'[6]Dec 2021'!$F37+'[6]Dec 2021'!$F45,2)</f>
        <v>-3654.42</v>
      </c>
      <c r="F33" s="111">
        <f>ROUND(+'[6]Jan 2022'!$F37+'[6]Jan 2022'!$F45,2)</f>
        <v>-4282.96</v>
      </c>
      <c r="G33" s="186">
        <f>ROUND(+'[6]Feb 2022'!$F37+'[6]Feb 2022'!$F45,2)</f>
        <v>-7260.97</v>
      </c>
      <c r="H33" s="55">
        <f>ROUND(+'[6]Mar 2022'!$F37+'[6]Mar 2022'!$F45,2)</f>
        <v>-5953.39</v>
      </c>
      <c r="I33" s="178">
        <f>ROUND(+'[6]Apr 2022'!$F37+'[6]Apr 2022'!$F45,2)</f>
        <v>-5967.07</v>
      </c>
      <c r="J33" s="123">
        <f t="shared" si="8"/>
        <v>-7184.86</v>
      </c>
      <c r="K33" s="41">
        <f t="shared" si="8"/>
        <v>-7378.31</v>
      </c>
      <c r="L33" s="61">
        <f t="shared" si="8"/>
        <v>-7802.23</v>
      </c>
      <c r="M33" s="72">
        <v>-8.0000000000000007E-5</v>
      </c>
    </row>
    <row r="34" spans="1:13" x14ac:dyDescent="0.25">
      <c r="A34" s="46" t="s">
        <v>108</v>
      </c>
      <c r="C34" s="97">
        <v>13851.16</v>
      </c>
      <c r="D34" s="109">
        <f>ROUND(+'[6]Nov 2021'!$F38+'[6]Nov 2021'!$F46,2)</f>
        <v>-3476.58</v>
      </c>
      <c r="E34" s="109">
        <f>ROUND(+'[6]Dec 2021'!$F38+'[6]Dec 2021'!$F46,2)</f>
        <v>-3382.07</v>
      </c>
      <c r="F34" s="111">
        <f>ROUND(+'[6]Jan 2022'!$F38+'[6]Jan 2022'!$F46,2)</f>
        <v>-3774.06</v>
      </c>
      <c r="G34" s="186">
        <f>ROUND(+'[6]Feb 2022'!$F38+'[6]Feb 2022'!$F46,2)</f>
        <v>-8061.49</v>
      </c>
      <c r="H34" s="55">
        <f>ROUND(+'[6]Mar 2022'!$F38+'[6]Mar 2022'!$F46,2)</f>
        <v>-8029.23</v>
      </c>
      <c r="I34" s="178">
        <f>ROUND(+'[6]Apr 2022'!$F38+'[6]Apr 2022'!$F46,2)</f>
        <v>-7237.67</v>
      </c>
      <c r="J34" s="123">
        <f t="shared" si="8"/>
        <v>-8619.89</v>
      </c>
      <c r="K34" s="41">
        <f t="shared" si="8"/>
        <v>-8851.98</v>
      </c>
      <c r="L34" s="61">
        <f t="shared" si="8"/>
        <v>-9360.57</v>
      </c>
      <c r="M34" s="72">
        <v>-1E-4</v>
      </c>
    </row>
    <row r="35" spans="1:13" x14ac:dyDescent="0.25">
      <c r="A35" s="46" t="s">
        <v>109</v>
      </c>
      <c r="C35" s="97">
        <v>5863.9699999999993</v>
      </c>
      <c r="D35" s="109">
        <f>ROUND(+'[6]Nov 2021'!$F39+'[6]Nov 2021'!$F47,2)</f>
        <v>-1668.82</v>
      </c>
      <c r="E35" s="109">
        <f>ROUND(+'[6]Dec 2021'!$F39+'[6]Dec 2021'!$F47,2)</f>
        <v>-1521.57</v>
      </c>
      <c r="F35" s="111">
        <f>ROUND(+'[6]Jan 2022'!$F39+'[6]Jan 2022'!$F47,2)</f>
        <v>-1531.39</v>
      </c>
      <c r="G35" s="186">
        <f>ROUND(+'[6]Feb 2022'!$F39+'[6]Feb 2022'!$F47,2)</f>
        <v>-2726.59</v>
      </c>
      <c r="H35" s="55">
        <f>ROUND(+'[6]Mar 2022'!$F39+'[6]Mar 2022'!$F47,2)</f>
        <v>1354.99</v>
      </c>
      <c r="I35" s="178">
        <f>ROUND(+'[6]Apr 2022'!$F39+'[6]Apr 2022'!$F47,2)</f>
        <v>706.84</v>
      </c>
      <c r="J35" s="123">
        <f t="shared" si="8"/>
        <v>-3171.54</v>
      </c>
      <c r="K35" s="41">
        <f t="shared" si="8"/>
        <v>-3256.93</v>
      </c>
      <c r="L35" s="61">
        <f t="shared" si="8"/>
        <v>-3444.06</v>
      </c>
      <c r="M35" s="72">
        <v>-5.0000000000000002E-5</v>
      </c>
    </row>
    <row r="36" spans="1:13" x14ac:dyDescent="0.25">
      <c r="C36" s="67"/>
      <c r="D36" s="18"/>
      <c r="E36" s="18"/>
      <c r="F36" s="18"/>
      <c r="G36" s="91"/>
      <c r="H36" s="18"/>
      <c r="I36" s="11"/>
      <c r="J36" s="56"/>
      <c r="K36" s="56"/>
      <c r="L36" s="13"/>
      <c r="M36" s="4"/>
    </row>
    <row r="37" spans="1:13" ht="15.75" thickBot="1" x14ac:dyDescent="0.3">
      <c r="A37" s="46" t="s">
        <v>14</v>
      </c>
      <c r="C37" s="103">
        <v>551.98</v>
      </c>
      <c r="D37" s="112">
        <v>-284.5</v>
      </c>
      <c r="E37" s="112">
        <v>-278.21000000000004</v>
      </c>
      <c r="F37" s="113">
        <v>-268.69</v>
      </c>
      <c r="G37" s="26">
        <v>-277.48</v>
      </c>
      <c r="H37" s="122">
        <v>-303.61</v>
      </c>
      <c r="I37" s="179">
        <v>-321.69</v>
      </c>
      <c r="J37" s="177">
        <v>-297.5</v>
      </c>
      <c r="K37" s="141">
        <v>-267.44</v>
      </c>
      <c r="L37" s="81"/>
    </row>
    <row r="38" spans="1:13" x14ac:dyDescent="0.25">
      <c r="C38" s="99"/>
      <c r="D38" s="31"/>
      <c r="E38" s="31"/>
      <c r="F38" s="31"/>
      <c r="G38" s="28"/>
      <c r="H38" s="31"/>
      <c r="I38" s="11"/>
      <c r="J38" s="17"/>
      <c r="K38" s="17"/>
      <c r="L38" s="11"/>
    </row>
    <row r="39" spans="1:13" x14ac:dyDescent="0.25">
      <c r="A39" s="46" t="s">
        <v>52</v>
      </c>
      <c r="C39" s="99"/>
      <c r="D39" s="31"/>
      <c r="E39" s="31"/>
      <c r="F39" s="31"/>
      <c r="G39" s="28"/>
      <c r="H39" s="31"/>
      <c r="I39" s="11"/>
      <c r="J39" s="17"/>
      <c r="K39" s="17"/>
      <c r="L39" s="11"/>
    </row>
    <row r="40" spans="1:13" x14ac:dyDescent="0.25">
      <c r="A40" s="46" t="s">
        <v>24</v>
      </c>
      <c r="C40" s="40">
        <f t="shared" ref="C40:L40" si="9">C22-C32</f>
        <v>0</v>
      </c>
      <c r="D40" s="41">
        <f t="shared" si="9"/>
        <v>-267.81</v>
      </c>
      <c r="E40" s="41">
        <f t="shared" si="9"/>
        <v>-18.52</v>
      </c>
      <c r="F40" s="108">
        <f t="shared" si="9"/>
        <v>-9.23</v>
      </c>
      <c r="G40" s="40">
        <f t="shared" si="9"/>
        <v>-12000.33</v>
      </c>
      <c r="H40" s="41">
        <f t="shared" si="9"/>
        <v>0</v>
      </c>
      <c r="I40" s="61">
        <f t="shared" si="9"/>
        <v>0</v>
      </c>
      <c r="J40" s="123">
        <f t="shared" si="9"/>
        <v>0</v>
      </c>
      <c r="K40" s="41">
        <f t="shared" si="9"/>
        <v>0</v>
      </c>
      <c r="L40" s="49">
        <f t="shared" si="9"/>
        <v>0</v>
      </c>
    </row>
    <row r="41" spans="1:13" x14ac:dyDescent="0.25">
      <c r="A41" s="46" t="s">
        <v>25</v>
      </c>
      <c r="C41" s="40">
        <f>C23-SUM(C33:C35)</f>
        <v>-33623.11</v>
      </c>
      <c r="D41" s="41">
        <f t="shared" ref="D41:L41" si="10">D23-SUM(D33:D35)</f>
        <v>8624.7899999999991</v>
      </c>
      <c r="E41" s="41">
        <f t="shared" si="10"/>
        <v>8558.06</v>
      </c>
      <c r="F41" s="108">
        <f t="shared" si="10"/>
        <v>9588.41</v>
      </c>
      <c r="G41" s="40">
        <f t="shared" si="10"/>
        <v>18049.05</v>
      </c>
      <c r="H41" s="41">
        <f t="shared" si="10"/>
        <v>12627.63</v>
      </c>
      <c r="I41" s="61">
        <f t="shared" si="10"/>
        <v>12497.9</v>
      </c>
      <c r="J41" s="123">
        <f t="shared" si="10"/>
        <v>18976.29</v>
      </c>
      <c r="K41" s="41">
        <f t="shared" si="10"/>
        <v>19487.22</v>
      </c>
      <c r="L41" s="49">
        <f t="shared" si="10"/>
        <v>20606.86</v>
      </c>
    </row>
    <row r="42" spans="1:13" x14ac:dyDescent="0.25">
      <c r="C42" s="99"/>
      <c r="D42" s="31"/>
      <c r="E42" s="31"/>
      <c r="F42" s="31"/>
      <c r="G42" s="28"/>
      <c r="H42" s="31"/>
      <c r="I42" s="11"/>
      <c r="J42" s="17"/>
      <c r="K42" s="17"/>
      <c r="L42" s="11"/>
    </row>
    <row r="43" spans="1:13" ht="15.75" thickBot="1" x14ac:dyDescent="0.3">
      <c r="A43" s="46" t="s">
        <v>53</v>
      </c>
      <c r="C43" s="104"/>
      <c r="D43" s="31"/>
      <c r="E43" s="31"/>
      <c r="F43" s="31"/>
      <c r="G43" s="28"/>
      <c r="H43" s="31"/>
      <c r="I43" s="11"/>
      <c r="J43" s="17"/>
      <c r="K43" s="17"/>
      <c r="L43" s="11"/>
    </row>
    <row r="44" spans="1:13" x14ac:dyDescent="0.25">
      <c r="A44" s="46" t="s">
        <v>24</v>
      </c>
      <c r="B44" s="116">
        <v>12282.312319999859</v>
      </c>
      <c r="C44" s="41">
        <f>B44+C40+B49</f>
        <v>12282.312319999859</v>
      </c>
      <c r="D44" s="41">
        <f t="shared" ref="D44:L44" si="11">C44+D40+C49</f>
        <v>11987.222319999859</v>
      </c>
      <c r="E44" s="41">
        <f t="shared" si="11"/>
        <v>11982.242319999859</v>
      </c>
      <c r="F44" s="108">
        <f t="shared" si="11"/>
        <v>11986.54231999986</v>
      </c>
      <c r="G44" s="40">
        <f t="shared" si="11"/>
        <v>-0.23768000013951607</v>
      </c>
      <c r="H44" s="41">
        <f t="shared" si="11"/>
        <v>-0.23768000013951607</v>
      </c>
      <c r="I44" s="61">
        <f t="shared" si="11"/>
        <v>-0.23768000013951607</v>
      </c>
      <c r="J44" s="123">
        <f t="shared" si="11"/>
        <v>-0.23768000013951607</v>
      </c>
      <c r="K44" s="41">
        <f t="shared" si="11"/>
        <v>-0.23768000013951607</v>
      </c>
      <c r="L44" s="49">
        <f t="shared" si="11"/>
        <v>-0.23768000013951607</v>
      </c>
    </row>
    <row r="45" spans="1:13" ht="15.75" thickBot="1" x14ac:dyDescent="0.3">
      <c r="A45" s="46" t="s">
        <v>25</v>
      </c>
      <c r="B45" s="117">
        <v>-238152.90896000015</v>
      </c>
      <c r="C45" s="41">
        <f>B45+C41+B50</f>
        <v>-271776.01896000013</v>
      </c>
      <c r="D45" s="41">
        <f t="shared" ref="D45:L45" si="12">C45+D41+C50</f>
        <v>-262571.96896000014</v>
      </c>
      <c r="E45" s="41">
        <f t="shared" si="12"/>
        <v>-254311.94896000015</v>
      </c>
      <c r="F45" s="108">
        <f t="shared" si="12"/>
        <v>-245015.27896000014</v>
      </c>
      <c r="G45" s="40">
        <f t="shared" si="12"/>
        <v>-227248.45896000016</v>
      </c>
      <c r="H45" s="41">
        <f t="shared" si="12"/>
        <v>-214898.30896000017</v>
      </c>
      <c r="I45" s="61">
        <f t="shared" si="12"/>
        <v>-202704.01896000016</v>
      </c>
      <c r="J45" s="123">
        <f t="shared" si="12"/>
        <v>-184049.41896000016</v>
      </c>
      <c r="K45" s="41">
        <f t="shared" si="12"/>
        <v>-164860.14896000017</v>
      </c>
      <c r="L45" s="49">
        <f t="shared" si="12"/>
        <v>-144522.08896000014</v>
      </c>
    </row>
    <row r="46" spans="1:13" x14ac:dyDescent="0.25">
      <c r="C46" s="99"/>
      <c r="D46" s="31"/>
      <c r="E46" s="31"/>
      <c r="F46" s="31"/>
      <c r="G46" s="28"/>
      <c r="H46" s="31"/>
      <c r="I46" s="11"/>
      <c r="J46" s="17"/>
      <c r="K46" s="17"/>
      <c r="L46" s="11"/>
    </row>
    <row r="47" spans="1:13" x14ac:dyDescent="0.25">
      <c r="A47" s="39" t="s">
        <v>49</v>
      </c>
      <c r="B47" s="39"/>
      <c r="C47" s="104"/>
      <c r="D47" s="83">
        <f>+'[7]Nov 2021'!$E$42</f>
        <v>1.1167499999999999E-3</v>
      </c>
      <c r="E47" s="83">
        <f>+'[7]Dec 2021'!$E$43</f>
        <v>1.1281900000000001E-3</v>
      </c>
      <c r="F47" s="83">
        <f>+'[7]Jan 2022'!$E$43</f>
        <v>1.1297799999999999E-3</v>
      </c>
      <c r="G47" s="84">
        <f>+'[7]Feb 2022'!$E$43</f>
        <v>1.1744100000000001E-3</v>
      </c>
      <c r="H47" s="83">
        <f>+'[7]Mar 2022'!$E$43</f>
        <v>1.3724799999999999E-3</v>
      </c>
      <c r="I47" s="92">
        <f>+'[7]Apr 2022'!$E$42</f>
        <v>1.53951E-3</v>
      </c>
      <c r="J47" s="83">
        <f>+I47</f>
        <v>1.53951E-3</v>
      </c>
      <c r="K47" s="83">
        <f>+J47</f>
        <v>1.53951E-3</v>
      </c>
      <c r="L47" s="92"/>
    </row>
    <row r="48" spans="1:13" x14ac:dyDescent="0.25">
      <c r="A48" s="39" t="s">
        <v>37</v>
      </c>
      <c r="B48" s="39"/>
      <c r="C48" s="99"/>
      <c r="D48" s="31"/>
      <c r="E48" s="31"/>
      <c r="F48" s="31"/>
      <c r="G48" s="28"/>
      <c r="H48" s="31"/>
      <c r="I48" s="11"/>
      <c r="J48" s="17"/>
      <c r="K48" s="17"/>
      <c r="L48" s="11"/>
      <c r="M48" s="71"/>
    </row>
    <row r="49" spans="1:12" x14ac:dyDescent="0.25">
      <c r="A49" s="46" t="s">
        <v>24</v>
      </c>
      <c r="C49" s="40">
        <v>-27.28</v>
      </c>
      <c r="D49" s="41">
        <f t="shared" ref="D49" si="13">ROUND((C44+C49+D40/2)*D$47,2)</f>
        <v>13.54</v>
      </c>
      <c r="E49" s="41">
        <f t="shared" ref="E49:E50" si="14">ROUND((D44+D49+E40/2)*E$47,2)</f>
        <v>13.53</v>
      </c>
      <c r="F49" s="108">
        <f t="shared" ref="F49:F50" si="15">ROUND((E44+E49+F40/2)*F$47,2)</f>
        <v>13.55</v>
      </c>
      <c r="G49" s="40">
        <f>ROUND((F44+F49+G40/2)*G$47,2)*0</f>
        <v>0</v>
      </c>
      <c r="H49" s="123">
        <f t="shared" ref="H49:I50" si="16">ROUND((G44+G49+H40/2)*H$47,2)</f>
        <v>0</v>
      </c>
      <c r="I49" s="61">
        <f t="shared" si="16"/>
        <v>0</v>
      </c>
      <c r="J49" s="123">
        <f t="shared" ref="J49:J50" si="17">ROUND((I44+I49+J40/2)*J$47,2)</f>
        <v>0</v>
      </c>
      <c r="K49" s="123">
        <f t="shared" ref="K49:K50" si="18">ROUND((J44+J49+K40/2)*K$47,2)</f>
        <v>0</v>
      </c>
      <c r="L49" s="49"/>
    </row>
    <row r="50" spans="1:12" ht="15.75" thickBot="1" x14ac:dyDescent="0.3">
      <c r="A50" s="46" t="s">
        <v>25</v>
      </c>
      <c r="C50" s="114">
        <v>579.26</v>
      </c>
      <c r="D50" s="41">
        <f>ROUND((C45+C50+D41/2)*D$47,2)</f>
        <v>-298.04000000000002</v>
      </c>
      <c r="E50" s="41">
        <f t="shared" si="14"/>
        <v>-291.74</v>
      </c>
      <c r="F50" s="108">
        <f t="shared" si="15"/>
        <v>-282.23</v>
      </c>
      <c r="G50" s="40">
        <f t="shared" ref="G50" si="19">ROUND((F45+F50+G41/2)*G$47,2)</f>
        <v>-277.48</v>
      </c>
      <c r="H50" s="123">
        <f t="shared" si="16"/>
        <v>-303.61</v>
      </c>
      <c r="I50" s="61">
        <f t="shared" si="16"/>
        <v>-321.69</v>
      </c>
      <c r="J50" s="123">
        <f t="shared" si="17"/>
        <v>-297.95</v>
      </c>
      <c r="K50" s="123">
        <f t="shared" si="18"/>
        <v>-268.8</v>
      </c>
      <c r="L50" s="49"/>
    </row>
    <row r="51" spans="1:12" ht="16.5" thickTop="1" thickBot="1" x14ac:dyDescent="0.3">
      <c r="A51" s="54" t="s">
        <v>22</v>
      </c>
      <c r="B51" s="54"/>
      <c r="C51" s="115">
        <v>0</v>
      </c>
      <c r="D51" s="32">
        <f t="shared" ref="D51:L51" si="20">SUM(D49:D50)+SUM(D44:D45)-D54</f>
        <v>0</v>
      </c>
      <c r="E51" s="32">
        <f t="shared" si="20"/>
        <v>0</v>
      </c>
      <c r="F51" s="50">
        <f t="shared" si="20"/>
        <v>0</v>
      </c>
      <c r="G51" s="124">
        <f t="shared" si="20"/>
        <v>0</v>
      </c>
      <c r="H51" s="32">
        <f t="shared" si="20"/>
        <v>0</v>
      </c>
      <c r="I51" s="62">
        <f t="shared" si="20"/>
        <v>0</v>
      </c>
      <c r="J51" s="164">
        <f t="shared" si="20"/>
        <v>0</v>
      </c>
      <c r="K51" s="32">
        <f t="shared" si="20"/>
        <v>0</v>
      </c>
      <c r="L51" s="96">
        <f t="shared" si="20"/>
        <v>0</v>
      </c>
    </row>
    <row r="52" spans="1:12" ht="16.5" thickTop="1" thickBot="1" x14ac:dyDescent="0.3">
      <c r="A52" s="54" t="s">
        <v>23</v>
      </c>
      <c r="B52" s="54"/>
      <c r="C52" s="107">
        <v>0</v>
      </c>
      <c r="D52" s="32">
        <f t="shared" ref="D52:L52" si="21">SUM(D49:D50)-D37</f>
        <v>0</v>
      </c>
      <c r="E52" s="32">
        <f t="shared" si="21"/>
        <v>0</v>
      </c>
      <c r="F52" s="50">
        <f t="shared" si="21"/>
        <v>9.9999999999909051E-3</v>
      </c>
      <c r="G52" s="51">
        <f t="shared" si="21"/>
        <v>0</v>
      </c>
      <c r="H52" s="32">
        <f t="shared" si="21"/>
        <v>0</v>
      </c>
      <c r="I52" s="62">
        <f t="shared" si="21"/>
        <v>0</v>
      </c>
      <c r="J52" s="164">
        <f t="shared" si="21"/>
        <v>-0.44999999999998863</v>
      </c>
      <c r="K52" s="32">
        <f t="shared" si="21"/>
        <v>-1.3600000000000136</v>
      </c>
      <c r="L52" s="96">
        <f t="shared" si="21"/>
        <v>0</v>
      </c>
    </row>
    <row r="53" spans="1:12" ht="16.5" thickTop="1" thickBot="1" x14ac:dyDescent="0.3">
      <c r="C53" s="99"/>
      <c r="D53" s="17"/>
      <c r="E53" s="17"/>
      <c r="F53" s="17"/>
      <c r="G53" s="10"/>
      <c r="H53" s="17"/>
      <c r="I53" s="11"/>
      <c r="J53" s="17"/>
      <c r="K53" s="17"/>
      <c r="L53" s="11"/>
    </row>
    <row r="54" spans="1:12" ht="15.75" thickBot="1" x14ac:dyDescent="0.3">
      <c r="A54" s="46" t="s">
        <v>36</v>
      </c>
      <c r="B54" s="119">
        <f>+B44+B45</f>
        <v>-225870.59664000029</v>
      </c>
      <c r="C54" s="40">
        <f t="shared" ref="C54:L54" si="22">(SUM(C15:C19)-SUM(C32:C35))+SUM(C49:C50)+B54</f>
        <v>-258941.7266400003</v>
      </c>
      <c r="D54" s="41">
        <f t="shared" si="22"/>
        <v>-250869.24664000029</v>
      </c>
      <c r="E54" s="41">
        <f t="shared" si="22"/>
        <v>-242607.9166400003</v>
      </c>
      <c r="F54" s="108">
        <f t="shared" si="22"/>
        <v>-233297.4166400003</v>
      </c>
      <c r="G54" s="40">
        <f t="shared" si="22"/>
        <v>-227526.17664000031</v>
      </c>
      <c r="H54" s="41">
        <f t="shared" si="22"/>
        <v>-215202.15664000032</v>
      </c>
      <c r="I54" s="61">
        <f t="shared" si="22"/>
        <v>-203025.94664000033</v>
      </c>
      <c r="J54" s="123">
        <f t="shared" si="22"/>
        <v>-184347.60664000033</v>
      </c>
      <c r="K54" s="41">
        <f t="shared" si="22"/>
        <v>-165129.18664000032</v>
      </c>
      <c r="L54" s="61">
        <f t="shared" si="22"/>
        <v>-144522.32664000033</v>
      </c>
    </row>
    <row r="55" spans="1:12" x14ac:dyDescent="0.25">
      <c r="A55" s="46" t="s">
        <v>12</v>
      </c>
      <c r="C55" s="120"/>
      <c r="D55" s="56"/>
      <c r="E55" s="56"/>
      <c r="F55" s="56"/>
      <c r="G55" s="12"/>
      <c r="H55" s="56"/>
      <c r="I55" s="11"/>
      <c r="J55" s="17"/>
      <c r="K55" s="17"/>
      <c r="L55" s="11"/>
    </row>
    <row r="56" spans="1:12" ht="15.75" thickBot="1" x14ac:dyDescent="0.3">
      <c r="B56" s="17"/>
      <c r="C56" s="43"/>
      <c r="D56" s="44"/>
      <c r="E56" s="44"/>
      <c r="F56" s="44"/>
      <c r="G56" s="43"/>
      <c r="H56" s="44"/>
      <c r="I56" s="45"/>
      <c r="J56" s="44"/>
      <c r="K56" s="44"/>
      <c r="L56" s="45"/>
    </row>
    <row r="58" spans="1:12" x14ac:dyDescent="0.25">
      <c r="A58" s="69" t="s">
        <v>11</v>
      </c>
      <c r="B58" s="69"/>
      <c r="C58" s="69"/>
    </row>
    <row r="59" spans="1:12" ht="42.75" customHeight="1" x14ac:dyDescent="0.25">
      <c r="A59" s="310" t="s">
        <v>174</v>
      </c>
      <c r="B59" s="310"/>
      <c r="C59" s="310"/>
      <c r="D59" s="310"/>
      <c r="E59" s="310"/>
      <c r="F59" s="310"/>
      <c r="G59" s="310"/>
      <c r="H59" s="310"/>
      <c r="I59" s="310"/>
      <c r="J59" s="145"/>
      <c r="K59" s="145"/>
      <c r="L59" s="145"/>
    </row>
    <row r="60" spans="1:12" ht="33.75" customHeight="1" x14ac:dyDescent="0.25">
      <c r="A60" s="310" t="s">
        <v>202</v>
      </c>
      <c r="B60" s="310"/>
      <c r="C60" s="310"/>
      <c r="D60" s="310"/>
      <c r="E60" s="310"/>
      <c r="F60" s="310"/>
      <c r="G60" s="310"/>
      <c r="H60" s="310"/>
      <c r="I60" s="310"/>
      <c r="J60" s="145"/>
      <c r="K60" s="145"/>
      <c r="L60" s="145"/>
    </row>
    <row r="61" spans="1:12" ht="33.75" customHeight="1" x14ac:dyDescent="0.25">
      <c r="A61" s="310" t="s">
        <v>203</v>
      </c>
      <c r="B61" s="310"/>
      <c r="C61" s="310"/>
      <c r="D61" s="310"/>
      <c r="E61" s="310"/>
      <c r="F61" s="310"/>
      <c r="G61" s="310"/>
      <c r="H61" s="310"/>
      <c r="I61" s="310"/>
      <c r="J61" s="145"/>
      <c r="K61" s="145"/>
      <c r="L61" s="145"/>
    </row>
    <row r="62" spans="1:12" x14ac:dyDescent="0.25">
      <c r="A62" s="3" t="s">
        <v>31</v>
      </c>
      <c r="B62" s="3"/>
      <c r="C62" s="3"/>
      <c r="I62" s="4"/>
    </row>
    <row r="63" spans="1:12" x14ac:dyDescent="0.25">
      <c r="A63" s="63" t="s">
        <v>186</v>
      </c>
      <c r="B63" s="3"/>
      <c r="C63" s="3"/>
      <c r="I63" s="4"/>
    </row>
    <row r="64" spans="1:12" x14ac:dyDescent="0.25">
      <c r="A64" s="3" t="s">
        <v>51</v>
      </c>
      <c r="B64" s="3"/>
      <c r="C64" s="3"/>
      <c r="I64" s="4"/>
    </row>
    <row r="65" spans="1:13" x14ac:dyDescent="0.25">
      <c r="A65" s="3" t="s">
        <v>193</v>
      </c>
    </row>
    <row r="74" spans="1:13" x14ac:dyDescent="0.25">
      <c r="M74" s="8"/>
    </row>
  </sheetData>
  <mergeCells count="6">
    <mergeCell ref="J13:L13"/>
    <mergeCell ref="A61:I61"/>
    <mergeCell ref="D13:F13"/>
    <mergeCell ref="A59:I59"/>
    <mergeCell ref="A60:I60"/>
    <mergeCell ref="G13:I13"/>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AI74"/>
  <sheetViews>
    <sheetView topLeftCell="G1" workbookViewId="0">
      <selection activeCell="P1" sqref="P1:P1048576"/>
    </sheetView>
  </sheetViews>
  <sheetFormatPr defaultColWidth="9.140625" defaultRowHeight="15" outlineLevelCol="1" x14ac:dyDescent="0.25"/>
  <cols>
    <col min="1" max="1" width="54.5703125" style="46" customWidth="1"/>
    <col min="2" max="2" width="14.7109375" style="46" customWidth="1"/>
    <col min="3" max="3" width="15" style="46" customWidth="1"/>
    <col min="4" max="4" width="15" style="46" hidden="1" customWidth="1" outlineLevel="1"/>
    <col min="5" max="5" width="15.28515625" style="46" customWidth="1" collapsed="1"/>
    <col min="6" max="6" width="15.85546875" style="46" customWidth="1"/>
    <col min="7" max="7" width="17.5703125" style="46" customWidth="1"/>
    <col min="8" max="9" width="13.28515625" style="46" customWidth="1"/>
    <col min="10" max="10" width="15.7109375" style="46" customWidth="1"/>
    <col min="11" max="12" width="12.5703125" style="46" bestFit="1" customWidth="1"/>
    <col min="13" max="13" width="14.42578125" style="46" customWidth="1"/>
    <col min="14" max="14" width="15" style="46" bestFit="1" customWidth="1"/>
    <col min="15" max="15" width="16.28515625" style="46" bestFit="1" customWidth="1"/>
    <col min="16" max="16" width="16.140625" style="46" customWidth="1"/>
    <col min="17" max="17" width="17.28515625" style="46" bestFit="1" customWidth="1"/>
    <col min="18" max="18" width="17.42578125" style="46" customWidth="1"/>
    <col min="19" max="19" width="15.5703125" style="46" customWidth="1"/>
    <col min="20" max="20" width="13" style="46" customWidth="1"/>
    <col min="21" max="21" width="9.140625" style="46"/>
    <col min="22" max="22" width="14.28515625" style="46" bestFit="1" customWidth="1"/>
    <col min="23" max="16384" width="9.140625" style="46"/>
  </cols>
  <sheetData>
    <row r="1" spans="1:35" x14ac:dyDescent="0.25">
      <c r="A1" s="3" t="str">
        <f>+'PPC Cycle 3'!A1</f>
        <v>Evergy Missouri West, Inc. - DSIM Rider Update Filed 06/01/2022</v>
      </c>
      <c r="B1" s="3"/>
      <c r="C1" s="3"/>
      <c r="D1" s="3"/>
    </row>
    <row r="2" spans="1:35" x14ac:dyDescent="0.25">
      <c r="E2" s="3" t="s">
        <v>137</v>
      </c>
    </row>
    <row r="3" spans="1:35" ht="30" x14ac:dyDescent="0.25">
      <c r="E3" s="48" t="s">
        <v>46</v>
      </c>
      <c r="F3" s="48" t="s">
        <v>45</v>
      </c>
      <c r="G3" s="70" t="s">
        <v>2</v>
      </c>
      <c r="H3" s="48" t="s">
        <v>3</v>
      </c>
      <c r="I3" s="70" t="s">
        <v>55</v>
      </c>
      <c r="J3" s="48" t="s">
        <v>10</v>
      </c>
      <c r="K3" s="48" t="s">
        <v>4</v>
      </c>
    </row>
    <row r="4" spans="1:35" x14ac:dyDescent="0.25">
      <c r="A4" s="20" t="s">
        <v>24</v>
      </c>
      <c r="E4" s="22">
        <f>SUM(C26:M26)</f>
        <v>6165130.1399999987</v>
      </c>
      <c r="F4" s="137">
        <f>SUM(C20:M20)</f>
        <v>1755512092.0718</v>
      </c>
      <c r="G4" s="22">
        <f>SUM(C14:L14)</f>
        <v>4529316.53</v>
      </c>
      <c r="H4" s="22">
        <f>G4-E4</f>
        <v>-1635813.6099999985</v>
      </c>
      <c r="I4" s="22">
        <f>+B40</f>
        <v>1036453.4299999995</v>
      </c>
      <c r="J4" s="22">
        <f>SUM(C47:L47)</f>
        <v>7113.4800000000005</v>
      </c>
      <c r="K4" s="25">
        <f>SUM(H4:J4)</f>
        <v>-592246.69999999902</v>
      </c>
      <c r="L4" s="47">
        <f>+K4-M40</f>
        <v>1.1641532182693481E-9</v>
      </c>
    </row>
    <row r="5" spans="1:35" x14ac:dyDescent="0.25">
      <c r="A5" s="20" t="s">
        <v>107</v>
      </c>
      <c r="E5" s="22">
        <f>SUM(C27:M27)</f>
        <v>1236369.1600000001</v>
      </c>
      <c r="F5" s="137">
        <f>SUM(C21:M21)</f>
        <v>595698916.78040016</v>
      </c>
      <c r="G5" s="22">
        <f>SUM(C15:L15)</f>
        <v>1584456.71</v>
      </c>
      <c r="H5" s="22">
        <f>G5-E5</f>
        <v>348087.54999999981</v>
      </c>
      <c r="I5" s="22">
        <f>+B41</f>
        <v>-140150.51999999996</v>
      </c>
      <c r="J5" s="22">
        <f>SUM(C48:L48)</f>
        <v>1047.8799999999999</v>
      </c>
      <c r="K5" s="25">
        <f>SUM(H5:J5)</f>
        <v>208984.90999999986</v>
      </c>
      <c r="L5" s="47">
        <f t="shared" ref="L5:L6" si="0">+K5-M41</f>
        <v>0</v>
      </c>
    </row>
    <row r="6" spans="1:35" x14ac:dyDescent="0.25">
      <c r="A6" s="20" t="s">
        <v>108</v>
      </c>
      <c r="E6" s="22">
        <f>SUM(C28:M28)</f>
        <v>2054879.7199999997</v>
      </c>
      <c r="F6" s="137">
        <f>SUM(C22:M22)</f>
        <v>528950891.80510002</v>
      </c>
      <c r="G6" s="22">
        <f>SUM(C16:L16)</f>
        <v>2047130.35</v>
      </c>
      <c r="H6" s="22">
        <f>G6-E6</f>
        <v>-7749.3699999996461</v>
      </c>
      <c r="I6" s="22">
        <f>+B42</f>
        <v>587213.50999999989</v>
      </c>
      <c r="J6" s="22">
        <f>SUM(C49:L49)</f>
        <v>9802.61</v>
      </c>
      <c r="K6" s="25">
        <f>SUM(H6:J6)</f>
        <v>589266.75000000023</v>
      </c>
      <c r="L6" s="47">
        <f t="shared" si="0"/>
        <v>0</v>
      </c>
    </row>
    <row r="7" spans="1:35" ht="15.75" thickBot="1" x14ac:dyDescent="0.3">
      <c r="A7" s="20" t="s">
        <v>109</v>
      </c>
      <c r="E7" s="22">
        <f>SUM(C29:M29)</f>
        <v>1059479.2</v>
      </c>
      <c r="F7" s="137">
        <f>SUM(C23:M23)</f>
        <v>361254916.21280003</v>
      </c>
      <c r="G7" s="22">
        <f>SUM(C17:L17)</f>
        <v>1228456.7900000003</v>
      </c>
      <c r="H7" s="22">
        <f>G7-E7</f>
        <v>168977.59000000032</v>
      </c>
      <c r="I7" s="22">
        <f>+B43</f>
        <v>-564405.5</v>
      </c>
      <c r="J7" s="22">
        <f>SUM(C50:L50)</f>
        <v>-1933.8600000000001</v>
      </c>
      <c r="K7" s="25">
        <f>SUM(H7:J7)</f>
        <v>-397361.76999999967</v>
      </c>
      <c r="L7" s="47">
        <f>+K7-M43</f>
        <v>0</v>
      </c>
    </row>
    <row r="8" spans="1:35" ht="16.5" thickTop="1" thickBot="1" x14ac:dyDescent="0.3">
      <c r="E8" s="27">
        <f t="shared" ref="E8:K8" si="1">SUM(E4:E7)</f>
        <v>10515858.219999999</v>
      </c>
      <c r="F8" s="27">
        <f t="shared" si="1"/>
        <v>3241416816.8701</v>
      </c>
      <c r="G8" s="27">
        <f t="shared" si="1"/>
        <v>9389360.3800000008</v>
      </c>
      <c r="H8" s="27">
        <f t="shared" si="1"/>
        <v>-1126497.839999998</v>
      </c>
      <c r="I8" s="27">
        <f t="shared" si="1"/>
        <v>919110.91999999946</v>
      </c>
      <c r="J8" s="27">
        <f t="shared" si="1"/>
        <v>16030.11</v>
      </c>
      <c r="K8" s="27">
        <f t="shared" si="1"/>
        <v>-191356.8099999986</v>
      </c>
    </row>
    <row r="9" spans="1:35" ht="16.5" thickTop="1" thickBot="1" x14ac:dyDescent="0.3"/>
    <row r="10" spans="1:35" ht="90.75" thickBot="1" x14ac:dyDescent="0.3">
      <c r="B10" s="118" t="str">
        <f>+'PCR Cycle 2'!B13</f>
        <v>Cumulative Over/Under Carryover From 12/01/2021 Filing</v>
      </c>
      <c r="C10" s="152" t="str">
        <f>+'PCR Cycle 2'!C13</f>
        <v>Reverse November 2021 - April 2022  Forecast From 12/01/2021 Filing</v>
      </c>
      <c r="D10" s="285"/>
      <c r="E10" s="311" t="s">
        <v>33</v>
      </c>
      <c r="F10" s="311"/>
      <c r="G10" s="312"/>
      <c r="H10" s="313" t="s">
        <v>33</v>
      </c>
      <c r="I10" s="314"/>
      <c r="J10" s="315"/>
      <c r="K10" s="307" t="s">
        <v>8</v>
      </c>
      <c r="L10" s="308"/>
      <c r="M10" s="309"/>
    </row>
    <row r="11" spans="1:35" x14ac:dyDescent="0.25">
      <c r="C11" s="14"/>
      <c r="D11" s="19"/>
      <c r="E11" s="19">
        <f>+'PCR Cycle 2'!D14</f>
        <v>44530</v>
      </c>
      <c r="F11" s="19">
        <f>+'PCR Cycle 2'!E14</f>
        <v>44561</v>
      </c>
      <c r="G11" s="19">
        <f>+'PCR Cycle 2'!F14</f>
        <v>44592</v>
      </c>
      <c r="H11" s="14">
        <f>+'PCR Cycle 2'!G14</f>
        <v>44620</v>
      </c>
      <c r="I11" s="19">
        <f>+'PCR Cycle 2'!H14</f>
        <v>44651</v>
      </c>
      <c r="J11" s="15">
        <f>+'PCR Cycle 2'!I14</f>
        <v>44681</v>
      </c>
      <c r="K11" s="19">
        <f>+'PCR Cycle 2'!J14</f>
        <v>44712</v>
      </c>
      <c r="L11" s="19">
        <f>+'PCR Cycle 2'!K14</f>
        <v>44742</v>
      </c>
      <c r="M11" s="95">
        <f>+'PCR Cycle 2'!L14</f>
        <v>44773</v>
      </c>
      <c r="Z11" s="1"/>
      <c r="AA11" s="1"/>
      <c r="AB11" s="1"/>
      <c r="AC11" s="1"/>
      <c r="AD11" s="1"/>
      <c r="AE11" s="1"/>
      <c r="AF11" s="1"/>
      <c r="AG11" s="1"/>
      <c r="AH11" s="1"/>
      <c r="AI11" s="1"/>
    </row>
    <row r="12" spans="1:35" x14ac:dyDescent="0.25">
      <c r="C12" s="98"/>
      <c r="D12" s="276"/>
      <c r="E12" s="31"/>
      <c r="F12" s="31"/>
      <c r="G12" s="31"/>
      <c r="H12" s="28"/>
      <c r="I12" s="31"/>
      <c r="J12" s="11"/>
      <c r="K12" s="31"/>
      <c r="L12" s="31"/>
      <c r="M12" s="29"/>
    </row>
    <row r="13" spans="1:35" x14ac:dyDescent="0.25">
      <c r="A13" s="46" t="s">
        <v>138</v>
      </c>
      <c r="C13" s="99"/>
      <c r="D13" s="150"/>
      <c r="E13" s="31"/>
      <c r="F13" s="31"/>
      <c r="G13" s="31"/>
      <c r="H13" s="28"/>
      <c r="I13" s="31"/>
      <c r="J13" s="166"/>
      <c r="K13" s="17"/>
      <c r="L13" s="17"/>
      <c r="M13" s="11"/>
    </row>
    <row r="14" spans="1:35" x14ac:dyDescent="0.25">
      <c r="A14" s="46" t="s">
        <v>24</v>
      </c>
      <c r="C14" s="97">
        <v>-1966078.27</v>
      </c>
      <c r="D14" s="277"/>
      <c r="E14" s="109">
        <f>+[8]Pivot!$N$27</f>
        <v>887510.06</v>
      </c>
      <c r="F14" s="109">
        <f>+[9]Pivot!$N$27</f>
        <v>596467.26</v>
      </c>
      <c r="G14" s="110">
        <f>+[10]Pivot!$N$27</f>
        <v>497326.76999999996</v>
      </c>
      <c r="H14" s="16">
        <f>+[11]Pivot!$N$27</f>
        <v>909926.61</v>
      </c>
      <c r="I14" s="55">
        <f>+[12]Pivot!$N$27</f>
        <v>649336.06999999995</v>
      </c>
      <c r="J14" s="165">
        <f>+[13]Pivot!$N$27</f>
        <v>1199677.4600000002</v>
      </c>
      <c r="K14" s="175">
        <f>ROUND('[3]Monthly Program Costs'!AJ290,2)</f>
        <v>751468.42</v>
      </c>
      <c r="L14" s="139">
        <f>ROUND('[3]Monthly Program Costs'!AK290,2)</f>
        <v>1003682.15</v>
      </c>
      <c r="M14" s="76"/>
    </row>
    <row r="15" spans="1:35" x14ac:dyDescent="0.25">
      <c r="A15" s="46" t="s">
        <v>107</v>
      </c>
      <c r="C15" s="97">
        <v>-373933.54000000004</v>
      </c>
      <c r="D15" s="277"/>
      <c r="E15" s="109">
        <f>+[8]Pivot!$O$27</f>
        <v>169752.38</v>
      </c>
      <c r="F15" s="109">
        <f>+[9]Pivot!$O$27</f>
        <v>413980.70999999996</v>
      </c>
      <c r="G15" s="110">
        <f>+[10]Pivot!$O$27</f>
        <v>54405.789999999994</v>
      </c>
      <c r="H15" s="16">
        <f>+[11]Pivot!$O$27</f>
        <v>155196.72</v>
      </c>
      <c r="I15" s="55">
        <f>+[12]Pivot!$O$27</f>
        <v>199178.63</v>
      </c>
      <c r="J15" s="165">
        <f>+[13]Pivot!$O$27</f>
        <v>187561.25</v>
      </c>
      <c r="K15" s="175">
        <f>ROUND('[3]Monthly Program Costs'!AJ291,2)</f>
        <v>351326.47</v>
      </c>
      <c r="L15" s="139">
        <f>ROUND('[3]Monthly Program Costs'!AK291,2)</f>
        <v>426988.3</v>
      </c>
      <c r="M15" s="76"/>
    </row>
    <row r="16" spans="1:35" x14ac:dyDescent="0.25">
      <c r="A16" s="46" t="s">
        <v>108</v>
      </c>
      <c r="C16" s="97">
        <v>-556650.03</v>
      </c>
      <c r="D16" s="277"/>
      <c r="E16" s="109">
        <f>+[8]Pivot!$Q$27</f>
        <v>455133.24</v>
      </c>
      <c r="F16" s="109">
        <f>+[9]Pivot!$Q$27</f>
        <v>885612.59</v>
      </c>
      <c r="G16" s="110">
        <f>+[10]Pivot!$Q$27</f>
        <v>50131.53</v>
      </c>
      <c r="H16" s="16">
        <f>+[11]Pivot!$Q$27</f>
        <v>95877.89</v>
      </c>
      <c r="I16" s="55">
        <f>+[12]Pivot!$Q$27</f>
        <v>269007.03999999998</v>
      </c>
      <c r="J16" s="165">
        <f>+[13]Pivot!$Q$27</f>
        <v>93623.8</v>
      </c>
      <c r="K16" s="175">
        <f>ROUND('[3]Monthly Program Costs'!AJ293,2)</f>
        <v>340890.97</v>
      </c>
      <c r="L16" s="139">
        <f>ROUND('[3]Monthly Program Costs'!AK293,2)</f>
        <v>413503.32</v>
      </c>
      <c r="M16" s="76"/>
    </row>
    <row r="17" spans="1:15" x14ac:dyDescent="0.25">
      <c r="A17" s="46" t="s">
        <v>109</v>
      </c>
      <c r="C17" s="97">
        <v>-418369.37</v>
      </c>
      <c r="D17" s="277"/>
      <c r="E17" s="109">
        <f>+[8]Pivot!$R$27</f>
        <v>75396.359999999986</v>
      </c>
      <c r="F17" s="109">
        <f>+[9]Pivot!$R$27</f>
        <v>651938.96000000008</v>
      </c>
      <c r="G17" s="110">
        <f>+[10]Pivot!$R$27</f>
        <v>113507.49000000012</v>
      </c>
      <c r="H17" s="16">
        <f>+[11]Pivot!$R$27</f>
        <v>92215.810000000012</v>
      </c>
      <c r="I17" s="55">
        <f>+[12]Pivot!$R$27</f>
        <v>129755.85</v>
      </c>
      <c r="J17" s="165">
        <f>+[13]Pivot!$R$27</f>
        <v>36212.950000000004</v>
      </c>
      <c r="K17" s="175">
        <f>ROUND('[3]Monthly Program Costs'!AJ294,2)</f>
        <v>247181.91</v>
      </c>
      <c r="L17" s="139">
        <f>ROUND('[3]Monthly Program Costs'!AK294,2)</f>
        <v>300616.83</v>
      </c>
      <c r="M17" s="76"/>
    </row>
    <row r="18" spans="1:15" x14ac:dyDescent="0.25">
      <c r="C18" s="99"/>
      <c r="D18" s="150"/>
      <c r="E18" s="31"/>
      <c r="F18" s="31"/>
      <c r="G18" s="31"/>
      <c r="H18" s="28"/>
      <c r="I18" s="31"/>
      <c r="J18" s="11"/>
      <c r="K18" s="17"/>
      <c r="L18" s="17"/>
      <c r="M18" s="11"/>
    </row>
    <row r="19" spans="1:15" x14ac:dyDescent="0.25">
      <c r="A19" s="39" t="s">
        <v>47</v>
      </c>
      <c r="B19" s="39"/>
      <c r="C19" s="101"/>
      <c r="D19" s="278"/>
      <c r="E19" s="31"/>
      <c r="F19" s="31"/>
      <c r="G19" s="31"/>
      <c r="H19" s="28"/>
      <c r="I19" s="31"/>
      <c r="J19" s="11"/>
      <c r="K19" s="17"/>
      <c r="L19" s="17"/>
      <c r="M19" s="11"/>
    </row>
    <row r="20" spans="1:15" x14ac:dyDescent="0.25">
      <c r="A20" s="46" t="s">
        <v>24</v>
      </c>
      <c r="C20" s="102">
        <v>-922559458</v>
      </c>
      <c r="D20" s="279"/>
      <c r="E20" s="111">
        <f>+'PCR Cycle 2'!D26</f>
        <v>213754358.93200004</v>
      </c>
      <c r="F20" s="111">
        <f>+'PCR Cycle 2'!E26</f>
        <v>265983469.20469999</v>
      </c>
      <c r="G20" s="111">
        <f>+'PCR Cycle 2'!F26</f>
        <v>361160747.1372999</v>
      </c>
      <c r="H20" s="185">
        <f>+'PCR Cycle 2'!G26</f>
        <v>350017110.45929998</v>
      </c>
      <c r="I20" s="188">
        <f>+'PCR Cycle 2'!H26</f>
        <v>313874319.61389995</v>
      </c>
      <c r="J20" s="180">
        <f>+'PCR Cycle 2'!I26</f>
        <v>245959273.72460008</v>
      </c>
      <c r="K20" s="176">
        <f>+'PCR Cycle 2'!J26</f>
        <v>223399953</v>
      </c>
      <c r="L20" s="140">
        <f>+'PCR Cycle 2'!K26</f>
        <v>309715994</v>
      </c>
      <c r="M20" s="77">
        <f>+'PCR Cycle 2'!L26</f>
        <v>394206324</v>
      </c>
    </row>
    <row r="21" spans="1:15" x14ac:dyDescent="0.25">
      <c r="A21" s="46" t="s">
        <v>107</v>
      </c>
      <c r="C21" s="102">
        <v>-278159814</v>
      </c>
      <c r="D21" s="279"/>
      <c r="E21" s="111">
        <f>+'PCR Cycle 2'!D27</f>
        <v>86970274.872600019</v>
      </c>
      <c r="F21" s="111">
        <f>+'PCR Cycle 2'!E27</f>
        <v>93814130.378200024</v>
      </c>
      <c r="G21" s="111">
        <f>+'PCR Cycle 2'!F27</f>
        <v>109349241.64030001</v>
      </c>
      <c r="H21" s="185">
        <f>+'PCR Cycle 2'!G27</f>
        <v>105988382.94010003</v>
      </c>
      <c r="I21" s="188">
        <f>+'PCR Cycle 2'!H27</f>
        <v>105045291.18460003</v>
      </c>
      <c r="J21" s="180">
        <f>+'PCR Cycle 2'!I27</f>
        <v>93123921.764600009</v>
      </c>
      <c r="K21" s="176">
        <f>+'PCR Cycle 2'!J27</f>
        <v>89810739</v>
      </c>
      <c r="L21" s="140">
        <f>+'PCR Cycle 2'!K27</f>
        <v>92228849</v>
      </c>
      <c r="M21" s="77">
        <f>+'PCR Cycle 2'!L27</f>
        <v>97527900</v>
      </c>
    </row>
    <row r="22" spans="1:15" x14ac:dyDescent="0.25">
      <c r="A22" s="46" t="s">
        <v>108</v>
      </c>
      <c r="C22" s="102">
        <v>-277023167</v>
      </c>
      <c r="D22" s="279"/>
      <c r="E22" s="111">
        <f>+'PCR Cycle 2'!D28</f>
        <v>87322967.743900001</v>
      </c>
      <c r="F22" s="111">
        <f>+'PCR Cycle 2'!E28</f>
        <v>87608807.915299997</v>
      </c>
      <c r="G22" s="111">
        <f>+'PCR Cycle 2'!F28</f>
        <v>96747934.608500004</v>
      </c>
      <c r="H22" s="185">
        <f>+'PCR Cycle 2'!G28</f>
        <v>90790463.036300033</v>
      </c>
      <c r="I22" s="188">
        <f>+'PCR Cycle 2'!H28</f>
        <v>89506757.944700003</v>
      </c>
      <c r="J22" s="180">
        <f>+'PCR Cycle 2'!I28</f>
        <v>85672749.556400001</v>
      </c>
      <c r="K22" s="176">
        <f>+'PCR Cycle 2'!J28</f>
        <v>86198903</v>
      </c>
      <c r="L22" s="140">
        <f>+'PCR Cycle 2'!K28</f>
        <v>88519765</v>
      </c>
      <c r="M22" s="77">
        <f>+'PCR Cycle 2'!L28</f>
        <v>93605710</v>
      </c>
    </row>
    <row r="23" spans="1:15" x14ac:dyDescent="0.25">
      <c r="A23" s="46" t="s">
        <v>109</v>
      </c>
      <c r="C23" s="102">
        <v>-195465867</v>
      </c>
      <c r="D23" s="279"/>
      <c r="E23" s="111">
        <f>+'PCR Cycle 2'!D29</f>
        <v>61151612.916400023</v>
      </c>
      <c r="F23" s="111">
        <f>+'PCR Cycle 2'!E29</f>
        <v>59640585.517399997</v>
      </c>
      <c r="G23" s="111">
        <f>+'PCR Cycle 2'!F29</f>
        <v>59724245.750200003</v>
      </c>
      <c r="H23" s="185">
        <f>+'PCR Cycle 2'!G29</f>
        <v>58985778.347800009</v>
      </c>
      <c r="I23" s="188">
        <f>+'PCR Cycle 2'!H29</f>
        <v>59375183.620199993</v>
      </c>
      <c r="J23" s="180">
        <f>+'PCR Cycle 2'!I29</f>
        <v>60392930.060800016</v>
      </c>
      <c r="K23" s="176">
        <f>+'PCR Cycle 2'!J29</f>
        <v>63430733</v>
      </c>
      <c r="L23" s="140">
        <f>+'PCR Cycle 2'!K29</f>
        <v>65138573</v>
      </c>
      <c r="M23" s="77">
        <f>+'PCR Cycle 2'!L29</f>
        <v>68881141</v>
      </c>
    </row>
    <row r="24" spans="1:15" x14ac:dyDescent="0.25">
      <c r="C24" s="99"/>
      <c r="D24" s="150"/>
      <c r="E24" s="31"/>
      <c r="F24" s="31"/>
      <c r="G24" s="31"/>
      <c r="H24" s="28"/>
      <c r="I24" s="31"/>
      <c r="J24" s="11"/>
      <c r="K24" s="17"/>
      <c r="L24" s="17"/>
      <c r="M24" s="11"/>
    </row>
    <row r="25" spans="1:15" x14ac:dyDescent="0.25">
      <c r="A25" s="46" t="s">
        <v>34</v>
      </c>
      <c r="C25" s="99"/>
      <c r="D25" s="150"/>
      <c r="E25" s="18"/>
      <c r="F25" s="18"/>
      <c r="G25" s="18"/>
      <c r="H25" s="91"/>
      <c r="I25" s="18"/>
      <c r="J25" s="11"/>
      <c r="K25" s="57"/>
      <c r="L25" s="57"/>
      <c r="M25" s="58"/>
      <c r="N25" s="63" t="s">
        <v>50</v>
      </c>
      <c r="O25" s="39"/>
    </row>
    <row r="26" spans="1:15" x14ac:dyDescent="0.25">
      <c r="A26" s="46" t="s">
        <v>24</v>
      </c>
      <c r="C26" s="97">
        <v>-2232593.9000000004</v>
      </c>
      <c r="D26" s="277"/>
      <c r="E26" s="109">
        <f>ROUND('[6]Nov 2021'!$F68+'[6]Nov 2021'!$F75,2)</f>
        <v>517293.46</v>
      </c>
      <c r="F26" s="109">
        <f>ROUND('[6]Dec 2021'!$F68+'[6]Dec 2021'!$F75,2)</f>
        <v>643679.82999999996</v>
      </c>
      <c r="G26" s="109">
        <f>ROUND('[6]Jan 2022'!$F68+'[6]Jan 2022'!$F75,2)</f>
        <v>874002.41</v>
      </c>
      <c r="H26" s="186">
        <f>ROUND('[6]Feb 2022'!$F68+'[6]Feb 2022'!$F75,2)</f>
        <v>1202542.26</v>
      </c>
      <c r="I26" s="55">
        <f>ROUND('[6]Mar 2022'!$F68+'[6]Mar 2022'!$F75,2)</f>
        <v>1088918.47</v>
      </c>
      <c r="J26" s="178">
        <f>ROUND('[6]Apr 2022'!$F68+'[6]Apr 2022'!$F75,2)</f>
        <v>853479.33</v>
      </c>
      <c r="K26" s="123">
        <f t="shared" ref="K26:M29" si="2">ROUND(K20*$N26,2)</f>
        <v>775197.84</v>
      </c>
      <c r="L26" s="41">
        <f t="shared" si="2"/>
        <v>1074714.5</v>
      </c>
      <c r="M26" s="61">
        <f t="shared" si="2"/>
        <v>1367895.94</v>
      </c>
      <c r="N26" s="72">
        <v>3.47E-3</v>
      </c>
    </row>
    <row r="27" spans="1:15" x14ac:dyDescent="0.25">
      <c r="A27" s="46" t="s">
        <v>107</v>
      </c>
      <c r="C27" s="97">
        <v>-383860.54000000004</v>
      </c>
      <c r="D27" s="277"/>
      <c r="E27" s="109">
        <f>ROUND('[6]Nov 2021'!$F69+'[6]Nov 2021'!$F76,2)</f>
        <v>119974.74</v>
      </c>
      <c r="F27" s="109">
        <f>ROUND('[6]Dec 2021'!$F69+'[6]Dec 2021'!$F76,2)</f>
        <v>129462.98</v>
      </c>
      <c r="G27" s="109">
        <f>ROUND('[6]Jan 2022'!$F69+'[6]Jan 2022'!$F76,2)</f>
        <v>150848.85</v>
      </c>
      <c r="H27" s="186">
        <f>ROUND('[6]Feb 2022'!$F69+'[6]Feb 2022'!$F76,2)</f>
        <v>221493.68</v>
      </c>
      <c r="I27" s="55">
        <f>ROUND('[6]Mar 2022'!$F69+'[6]Mar 2022'!$F76,2)</f>
        <v>219541.12</v>
      </c>
      <c r="J27" s="178">
        <f>ROUND('[6]Apr 2022'!$F69+'[6]Apr 2022'!$F76,2)</f>
        <v>194612.29</v>
      </c>
      <c r="K27" s="123">
        <f t="shared" si="2"/>
        <v>187704.44</v>
      </c>
      <c r="L27" s="41">
        <f t="shared" si="2"/>
        <v>192758.29</v>
      </c>
      <c r="M27" s="61">
        <f t="shared" si="2"/>
        <v>203833.31</v>
      </c>
      <c r="N27" s="72">
        <v>2.0900000000000003E-3</v>
      </c>
    </row>
    <row r="28" spans="1:15" x14ac:dyDescent="0.25">
      <c r="A28" s="46" t="s">
        <v>108</v>
      </c>
      <c r="C28" s="97">
        <v>-687017.46</v>
      </c>
      <c r="D28" s="277"/>
      <c r="E28" s="109">
        <f>ROUND('[6]Nov 2021'!$F70+'[6]Nov 2021'!$F77,2)</f>
        <v>216560.96</v>
      </c>
      <c r="F28" s="109">
        <f>ROUND('[6]Dec 2021'!$F70+'[6]Dec 2021'!$F77,2)</f>
        <v>217269.84</v>
      </c>
      <c r="G28" s="109">
        <f>ROUND('[6]Jan 2022'!$F70+'[6]Jan 2022'!$F77,2)</f>
        <v>239920.96</v>
      </c>
      <c r="H28" s="186">
        <f>ROUND('[6]Feb 2022'!$F70+'[6]Feb 2022'!$F77,2)</f>
        <v>350873.71</v>
      </c>
      <c r="I28" s="55">
        <f>ROUND('[6]Mar 2022'!$F70+'[6]Mar 2022'!$F77,2)</f>
        <v>347300.88</v>
      </c>
      <c r="J28" s="178">
        <f>ROUND('[6]Apr 2022'!$F70+'[6]Apr 2022'!$F77,2)</f>
        <v>331555.49</v>
      </c>
      <c r="K28" s="123">
        <f t="shared" si="2"/>
        <v>333589.75</v>
      </c>
      <c r="L28" s="41">
        <f t="shared" si="2"/>
        <v>342571.49</v>
      </c>
      <c r="M28" s="61">
        <f t="shared" si="2"/>
        <v>362254.1</v>
      </c>
      <c r="N28" s="72">
        <v>3.8700000000000002E-3</v>
      </c>
    </row>
    <row r="29" spans="1:15" x14ac:dyDescent="0.25">
      <c r="A29" s="46" t="s">
        <v>109</v>
      </c>
      <c r="C29" s="97">
        <v>-390931.74</v>
      </c>
      <c r="D29" s="277"/>
      <c r="E29" s="109">
        <f>ROUND('[6]Nov 2021'!$F71+'[6]Nov 2021'!$F78,2)</f>
        <v>123109.27</v>
      </c>
      <c r="F29" s="109">
        <f>ROUND('[6]Dec 2021'!$F71+'[6]Dec 2021'!$F78,2)</f>
        <v>119281.17</v>
      </c>
      <c r="G29" s="109">
        <f>ROUND('[6]Jan 2022'!$F71+'[6]Jan 2022'!$F78,2)</f>
        <v>119448.49</v>
      </c>
      <c r="H29" s="186">
        <f>ROUND('[6]Feb 2022'!$F71+'[6]Feb 2022'!$F78,2)</f>
        <v>170602.12</v>
      </c>
      <c r="I29" s="55">
        <f>ROUND('[6]Mar 2022'!$F71+'[6]Mar 2022'!$F78,2)</f>
        <v>171509.27</v>
      </c>
      <c r="J29" s="178">
        <f>ROUND('[6]Apr 2022'!$F71+'[6]Apr 2022'!$F78,2)</f>
        <v>173854.32</v>
      </c>
      <c r="K29" s="123">
        <f t="shared" si="2"/>
        <v>183949.13</v>
      </c>
      <c r="L29" s="41">
        <f t="shared" si="2"/>
        <v>188901.86</v>
      </c>
      <c r="M29" s="61">
        <f t="shared" si="2"/>
        <v>199755.31</v>
      </c>
      <c r="N29" s="72">
        <v>2.8999999999999998E-3</v>
      </c>
    </row>
    <row r="30" spans="1:15" x14ac:dyDescent="0.25">
      <c r="C30" s="67"/>
      <c r="D30" s="68"/>
      <c r="E30" s="18"/>
      <c r="F30" s="18"/>
      <c r="G30" s="18"/>
      <c r="H30" s="91"/>
      <c r="I30" s="18"/>
      <c r="J30" s="11"/>
      <c r="K30" s="56"/>
      <c r="L30" s="56"/>
      <c r="M30" s="13"/>
      <c r="N30" s="4"/>
    </row>
    <row r="31" spans="1:15" ht="15.75" thickBot="1" x14ac:dyDescent="0.3">
      <c r="A31" s="46" t="s">
        <v>14</v>
      </c>
      <c r="C31" s="103">
        <v>-4363.82</v>
      </c>
      <c r="D31" s="280">
        <v>0</v>
      </c>
      <c r="E31" s="112">
        <v>1786.3000000000002</v>
      </c>
      <c r="F31" s="112">
        <v>2962.53</v>
      </c>
      <c r="G31" s="113">
        <v>3404.71</v>
      </c>
      <c r="H31" s="26">
        <v>2743.94</v>
      </c>
      <c r="I31" s="122">
        <v>2337.3900000000003</v>
      </c>
      <c r="J31" s="179">
        <v>2150.9500000000003</v>
      </c>
      <c r="K31" s="177">
        <v>2276.9500000000003</v>
      </c>
      <c r="L31" s="141">
        <v>2685.8399999999997</v>
      </c>
      <c r="M31" s="81"/>
    </row>
    <row r="32" spans="1:15" x14ac:dyDescent="0.25">
      <c r="C32" s="99"/>
      <c r="D32" s="150"/>
      <c r="E32" s="31"/>
      <c r="F32" s="31"/>
      <c r="G32" s="31"/>
      <c r="H32" s="28"/>
      <c r="I32" s="31"/>
      <c r="J32" s="11"/>
      <c r="K32" s="17"/>
      <c r="L32" s="17"/>
      <c r="M32" s="11"/>
    </row>
    <row r="33" spans="1:14" x14ac:dyDescent="0.25">
      <c r="A33" s="46" t="s">
        <v>52</v>
      </c>
      <c r="C33" s="99"/>
      <c r="D33" s="150"/>
      <c r="E33" s="31"/>
      <c r="F33" s="31"/>
      <c r="G33" s="31"/>
      <c r="H33" s="28"/>
      <c r="I33" s="31"/>
      <c r="J33" s="11"/>
      <c r="K33" s="17"/>
      <c r="L33" s="17"/>
      <c r="M33" s="11"/>
    </row>
    <row r="34" spans="1:14" x14ac:dyDescent="0.25">
      <c r="A34" s="46" t="s">
        <v>24</v>
      </c>
      <c r="C34" s="40">
        <f t="shared" ref="C34:M34" si="3">C14-C26</f>
        <v>266515.63000000035</v>
      </c>
      <c r="D34" s="123">
        <f t="shared" ref="D34" si="4">D14-D26</f>
        <v>0</v>
      </c>
      <c r="E34" s="41">
        <f t="shared" si="3"/>
        <v>370216.60000000003</v>
      </c>
      <c r="F34" s="41">
        <f t="shared" si="3"/>
        <v>-47212.569999999949</v>
      </c>
      <c r="G34" s="108">
        <f t="shared" si="3"/>
        <v>-376675.64000000007</v>
      </c>
      <c r="H34" s="40">
        <f t="shared" si="3"/>
        <v>-292615.65000000002</v>
      </c>
      <c r="I34" s="41">
        <f t="shared" si="3"/>
        <v>-439582.4</v>
      </c>
      <c r="J34" s="61">
        <f t="shared" si="3"/>
        <v>346198.13000000024</v>
      </c>
      <c r="K34" s="123">
        <f t="shared" si="3"/>
        <v>-23729.419999999925</v>
      </c>
      <c r="L34" s="41">
        <f t="shared" si="3"/>
        <v>-71032.349999999977</v>
      </c>
      <c r="M34" s="49">
        <f t="shared" si="3"/>
        <v>-1367895.94</v>
      </c>
    </row>
    <row r="35" spans="1:14" x14ac:dyDescent="0.25">
      <c r="A35" s="46" t="s">
        <v>107</v>
      </c>
      <c r="C35" s="40">
        <f t="shared" ref="C35:M35" si="5">C15-C27</f>
        <v>9927</v>
      </c>
      <c r="D35" s="123">
        <f t="shared" ref="D35" si="6">D15-D27</f>
        <v>0</v>
      </c>
      <c r="E35" s="41">
        <f t="shared" si="5"/>
        <v>49777.64</v>
      </c>
      <c r="F35" s="41">
        <f t="shared" si="5"/>
        <v>284517.73</v>
      </c>
      <c r="G35" s="108">
        <f t="shared" si="5"/>
        <v>-96443.060000000012</v>
      </c>
      <c r="H35" s="40">
        <f t="shared" si="5"/>
        <v>-66296.959999999992</v>
      </c>
      <c r="I35" s="41">
        <f t="shared" si="5"/>
        <v>-20362.489999999991</v>
      </c>
      <c r="J35" s="61">
        <f t="shared" si="5"/>
        <v>-7051.0400000000081</v>
      </c>
      <c r="K35" s="123">
        <f t="shared" si="5"/>
        <v>163622.02999999997</v>
      </c>
      <c r="L35" s="41">
        <f t="shared" si="5"/>
        <v>234230.00999999998</v>
      </c>
      <c r="M35" s="49">
        <f t="shared" si="5"/>
        <v>-203833.31</v>
      </c>
    </row>
    <row r="36" spans="1:14" x14ac:dyDescent="0.25">
      <c r="A36" s="46" t="s">
        <v>108</v>
      </c>
      <c r="C36" s="40">
        <f t="shared" ref="C36:M36" si="7">C16-C28</f>
        <v>130367.42999999993</v>
      </c>
      <c r="D36" s="123">
        <f t="shared" ref="D36" si="8">D16-D28</f>
        <v>0</v>
      </c>
      <c r="E36" s="41">
        <f t="shared" si="7"/>
        <v>238572.28</v>
      </c>
      <c r="F36" s="41">
        <f t="shared" si="7"/>
        <v>668342.75</v>
      </c>
      <c r="G36" s="108">
        <f t="shared" si="7"/>
        <v>-189789.43</v>
      </c>
      <c r="H36" s="40">
        <f t="shared" si="7"/>
        <v>-254995.82</v>
      </c>
      <c r="I36" s="41">
        <f t="shared" si="7"/>
        <v>-78293.840000000026</v>
      </c>
      <c r="J36" s="61">
        <f t="shared" si="7"/>
        <v>-237931.69</v>
      </c>
      <c r="K36" s="123">
        <f t="shared" si="7"/>
        <v>7301.2199999999721</v>
      </c>
      <c r="L36" s="41">
        <f t="shared" si="7"/>
        <v>70931.830000000016</v>
      </c>
      <c r="M36" s="49">
        <f t="shared" si="7"/>
        <v>-362254.1</v>
      </c>
    </row>
    <row r="37" spans="1:14" x14ac:dyDescent="0.25">
      <c r="A37" s="46" t="s">
        <v>109</v>
      </c>
      <c r="C37" s="40">
        <f t="shared" ref="C37:M37" si="9">C17-C29</f>
        <v>-27437.630000000005</v>
      </c>
      <c r="D37" s="123">
        <f t="shared" ref="D37" si="10">D17-D29</f>
        <v>0</v>
      </c>
      <c r="E37" s="41">
        <f t="shared" si="9"/>
        <v>-47712.910000000018</v>
      </c>
      <c r="F37" s="41">
        <f t="shared" si="9"/>
        <v>532657.79</v>
      </c>
      <c r="G37" s="108">
        <f t="shared" si="9"/>
        <v>-5940.9999999998836</v>
      </c>
      <c r="H37" s="40">
        <f t="shared" si="9"/>
        <v>-78386.309999999983</v>
      </c>
      <c r="I37" s="41">
        <f t="shared" si="9"/>
        <v>-41753.419999999984</v>
      </c>
      <c r="J37" s="61">
        <f t="shared" si="9"/>
        <v>-137641.37</v>
      </c>
      <c r="K37" s="123">
        <f t="shared" si="9"/>
        <v>63232.78</v>
      </c>
      <c r="L37" s="41">
        <f t="shared" si="9"/>
        <v>111714.97000000003</v>
      </c>
      <c r="M37" s="49">
        <f t="shared" si="9"/>
        <v>-199755.31</v>
      </c>
    </row>
    <row r="38" spans="1:14" x14ac:dyDescent="0.25">
      <c r="C38" s="99"/>
      <c r="D38" s="150"/>
      <c r="E38" s="31"/>
      <c r="F38" s="31"/>
      <c r="G38" s="31"/>
      <c r="H38" s="28"/>
      <c r="I38" s="31"/>
      <c r="J38" s="11"/>
      <c r="K38" s="17"/>
      <c r="L38" s="17"/>
      <c r="M38" s="11"/>
    </row>
    <row r="39" spans="1:14" ht="15.75" thickBot="1" x14ac:dyDescent="0.3">
      <c r="A39" s="46" t="s">
        <v>53</v>
      </c>
      <c r="C39" s="104"/>
      <c r="D39" s="281"/>
      <c r="E39" s="31"/>
      <c r="F39" s="31"/>
      <c r="G39" s="31"/>
      <c r="H39" s="28"/>
      <c r="I39" s="31"/>
      <c r="J39" s="11"/>
      <c r="K39" s="17"/>
      <c r="L39" s="17"/>
      <c r="M39" s="11"/>
    </row>
    <row r="40" spans="1:14" x14ac:dyDescent="0.25">
      <c r="A40" s="46" t="s">
        <v>24</v>
      </c>
      <c r="B40" s="116">
        <v>1036453.4299999995</v>
      </c>
      <c r="C40" s="41">
        <f t="shared" ref="C40:M40" si="11">B40+C34+B47</f>
        <v>1302969.0599999998</v>
      </c>
      <c r="D40" s="41">
        <f t="shared" ref="D40:D43" si="12">C40+D34+C47</f>
        <v>1298998.9399999997</v>
      </c>
      <c r="E40" s="41">
        <f t="shared" ref="E40:E43" si="13">D40+E34+D47</f>
        <v>1669215.5399999998</v>
      </c>
      <c r="F40" s="41">
        <f t="shared" si="11"/>
        <v>1623660.3499999996</v>
      </c>
      <c r="G40" s="108">
        <f t="shared" si="11"/>
        <v>1248843.1399999994</v>
      </c>
      <c r="H40" s="40">
        <f t="shared" si="11"/>
        <v>957851.18999999936</v>
      </c>
      <c r="I40" s="41">
        <f t="shared" si="11"/>
        <v>519565.52999999933</v>
      </c>
      <c r="J40" s="61">
        <f t="shared" si="11"/>
        <v>866778.40999999957</v>
      </c>
      <c r="K40" s="123">
        <f t="shared" si="11"/>
        <v>844116.91999999969</v>
      </c>
      <c r="L40" s="41">
        <f t="shared" si="11"/>
        <v>774402.35999999975</v>
      </c>
      <c r="M40" s="49">
        <f t="shared" si="11"/>
        <v>-592246.70000000019</v>
      </c>
    </row>
    <row r="41" spans="1:14" x14ac:dyDescent="0.25">
      <c r="A41" s="46" t="s">
        <v>107</v>
      </c>
      <c r="B41" s="246">
        <v>-140150.51999999996</v>
      </c>
      <c r="C41" s="41">
        <f t="shared" ref="C41:M41" si="14">B41+C35+B48</f>
        <v>-130223.51999999996</v>
      </c>
      <c r="D41" s="41">
        <f t="shared" si="12"/>
        <v>-130065.33999999997</v>
      </c>
      <c r="E41" s="41">
        <f t="shared" si="13"/>
        <v>-80287.699999999968</v>
      </c>
      <c r="F41" s="41">
        <f t="shared" si="14"/>
        <v>204112.57000000004</v>
      </c>
      <c r="G41" s="108">
        <f t="shared" si="14"/>
        <v>107739.29000000002</v>
      </c>
      <c r="H41" s="40">
        <f t="shared" si="14"/>
        <v>41618.530000000028</v>
      </c>
      <c r="I41" s="41">
        <f t="shared" si="14"/>
        <v>21343.850000000039</v>
      </c>
      <c r="J41" s="61">
        <f t="shared" si="14"/>
        <v>14336.080000000031</v>
      </c>
      <c r="K41" s="123">
        <f t="shared" si="14"/>
        <v>177985.61</v>
      </c>
      <c r="L41" s="41">
        <f t="shared" si="14"/>
        <v>412363.68</v>
      </c>
      <c r="M41" s="49">
        <f t="shared" si="14"/>
        <v>208984.91</v>
      </c>
    </row>
    <row r="42" spans="1:14" x14ac:dyDescent="0.25">
      <c r="A42" s="46" t="s">
        <v>108</v>
      </c>
      <c r="B42" s="246">
        <v>587213.50999999989</v>
      </c>
      <c r="C42" s="41">
        <f t="shared" ref="C42:M42" si="15">B42+C36+B49</f>
        <v>717580.93999999983</v>
      </c>
      <c r="D42" s="41">
        <f t="shared" si="12"/>
        <v>715883.30999999982</v>
      </c>
      <c r="E42" s="41">
        <f t="shared" si="13"/>
        <v>954455.58999999985</v>
      </c>
      <c r="F42" s="41">
        <f t="shared" si="15"/>
        <v>1623731.0199999998</v>
      </c>
      <c r="G42" s="108">
        <f t="shared" si="15"/>
        <v>1435396.46</v>
      </c>
      <c r="H42" s="40">
        <f t="shared" si="15"/>
        <v>1182129.5299999998</v>
      </c>
      <c r="I42" s="41">
        <f t="shared" si="15"/>
        <v>1105373.7299999997</v>
      </c>
      <c r="J42" s="61">
        <f t="shared" si="15"/>
        <v>869012.86999999976</v>
      </c>
      <c r="K42" s="123">
        <f t="shared" si="15"/>
        <v>877835.08999999973</v>
      </c>
      <c r="L42" s="41">
        <f t="shared" si="15"/>
        <v>950112.73999999964</v>
      </c>
      <c r="M42" s="49">
        <f t="shared" si="15"/>
        <v>589266.74999999965</v>
      </c>
    </row>
    <row r="43" spans="1:14" ht="15.75" thickBot="1" x14ac:dyDescent="0.3">
      <c r="A43" s="46" t="s">
        <v>109</v>
      </c>
      <c r="B43" s="117">
        <v>-564405.5</v>
      </c>
      <c r="C43" s="41">
        <f t="shared" ref="C43:M43" si="16">B43+C37+B50</f>
        <v>-591843.13</v>
      </c>
      <c r="D43" s="41">
        <f t="shared" si="12"/>
        <v>-590697.38</v>
      </c>
      <c r="E43" s="41">
        <f t="shared" si="13"/>
        <v>-638410.29</v>
      </c>
      <c r="F43" s="41">
        <f t="shared" si="16"/>
        <v>-106438.8</v>
      </c>
      <c r="G43" s="108">
        <f t="shared" si="16"/>
        <v>-112800.34999999989</v>
      </c>
      <c r="H43" s="40">
        <f t="shared" si="16"/>
        <v>-191310.73999999985</v>
      </c>
      <c r="I43" s="41">
        <f t="shared" si="16"/>
        <v>-233242.80999999982</v>
      </c>
      <c r="J43" s="61">
        <f t="shared" si="16"/>
        <v>-371175.64999999979</v>
      </c>
      <c r="K43" s="123">
        <f t="shared" si="16"/>
        <v>-308408.34999999974</v>
      </c>
      <c r="L43" s="41">
        <f t="shared" si="16"/>
        <v>-197216.84999999971</v>
      </c>
      <c r="M43" s="49">
        <f t="shared" si="16"/>
        <v>-397361.76999999967</v>
      </c>
    </row>
    <row r="44" spans="1:14" x14ac:dyDescent="0.25">
      <c r="C44" s="99"/>
      <c r="D44" s="150"/>
      <c r="E44" s="31"/>
      <c r="F44" s="31"/>
      <c r="G44" s="31"/>
      <c r="H44" s="28"/>
      <c r="I44" s="31"/>
      <c r="J44" s="11"/>
      <c r="K44" s="17"/>
      <c r="L44" s="17"/>
      <c r="M44" s="11"/>
    </row>
    <row r="45" spans="1:14" x14ac:dyDescent="0.25">
      <c r="A45" s="39" t="s">
        <v>49</v>
      </c>
      <c r="B45" s="39"/>
      <c r="C45" s="104"/>
      <c r="D45" s="281"/>
      <c r="E45" s="83">
        <f>+'PCR Cycle 2'!D47</f>
        <v>1.1167499999999999E-3</v>
      </c>
      <c r="F45" s="83">
        <f>+'PCR Cycle 2'!E47</f>
        <v>1.1281900000000001E-3</v>
      </c>
      <c r="G45" s="83">
        <f>+'PCR Cycle 2'!F47</f>
        <v>1.1297799999999999E-3</v>
      </c>
      <c r="H45" s="84">
        <f>+'PCR Cycle 2'!G47</f>
        <v>1.1744100000000001E-3</v>
      </c>
      <c r="I45" s="83">
        <f>+'PCR Cycle 2'!H47</f>
        <v>1.3724799999999999E-3</v>
      </c>
      <c r="J45" s="92">
        <f>+'PCR Cycle 2'!I47</f>
        <v>1.53951E-3</v>
      </c>
      <c r="K45" s="83">
        <f>+'PCR Cycle 2'!J47</f>
        <v>1.53951E-3</v>
      </c>
      <c r="L45" s="83">
        <f>+'PCR Cycle 2'!K47</f>
        <v>1.53951E-3</v>
      </c>
      <c r="M45" s="92"/>
    </row>
    <row r="46" spans="1:14" x14ac:dyDescent="0.25">
      <c r="A46" s="39" t="s">
        <v>37</v>
      </c>
      <c r="B46" s="39"/>
      <c r="C46" s="99"/>
      <c r="D46" s="150"/>
      <c r="E46" s="31"/>
      <c r="F46" s="31"/>
      <c r="G46" s="31"/>
      <c r="H46" s="28"/>
      <c r="I46" s="31"/>
      <c r="J46" s="11"/>
      <c r="K46" s="17"/>
      <c r="L46" s="17"/>
      <c r="M46" s="11"/>
      <c r="N46" s="71"/>
    </row>
    <row r="47" spans="1:14" x14ac:dyDescent="0.25">
      <c r="A47" s="46" t="s">
        <v>24</v>
      </c>
      <c r="C47" s="40">
        <v>-3970.12</v>
      </c>
      <c r="D47" s="123"/>
      <c r="E47" s="41">
        <f>ROUND((C40+C47+D47+E34/2)*E$45,2)</f>
        <v>1657.38</v>
      </c>
      <c r="F47" s="41">
        <f t="shared" ref="F47:L50" si="17">ROUND((E40+E47+F34/2)*F$45,2)</f>
        <v>1858.43</v>
      </c>
      <c r="G47" s="108">
        <f t="shared" si="17"/>
        <v>1623.7</v>
      </c>
      <c r="H47" s="40">
        <f t="shared" si="17"/>
        <v>1296.74</v>
      </c>
      <c r="I47" s="123">
        <f t="shared" si="17"/>
        <v>1014.75</v>
      </c>
      <c r="J47" s="61">
        <f t="shared" si="17"/>
        <v>1067.93</v>
      </c>
      <c r="K47" s="123">
        <f t="shared" si="17"/>
        <v>1317.79</v>
      </c>
      <c r="L47" s="123">
        <f t="shared" si="17"/>
        <v>1246.8800000000001</v>
      </c>
      <c r="M47" s="49"/>
    </row>
    <row r="48" spans="1:14" x14ac:dyDescent="0.25">
      <c r="A48" s="46" t="s">
        <v>107</v>
      </c>
      <c r="C48" s="247">
        <v>158.18</v>
      </c>
      <c r="D48" s="282"/>
      <c r="E48" s="41">
        <f t="shared" ref="E48:E50" si="18">ROUND((C41+C48+D48+E35/2)*E$45,2)</f>
        <v>-117.46</v>
      </c>
      <c r="F48" s="41">
        <f t="shared" si="17"/>
        <v>69.78</v>
      </c>
      <c r="G48" s="108">
        <f t="shared" si="17"/>
        <v>176.2</v>
      </c>
      <c r="H48" s="40">
        <f t="shared" si="17"/>
        <v>87.81</v>
      </c>
      <c r="I48" s="123">
        <f t="shared" si="17"/>
        <v>43.27</v>
      </c>
      <c r="J48" s="61">
        <f t="shared" si="17"/>
        <v>27.5</v>
      </c>
      <c r="K48" s="123">
        <f t="shared" si="17"/>
        <v>148.06</v>
      </c>
      <c r="L48" s="123">
        <f t="shared" si="17"/>
        <v>454.54</v>
      </c>
      <c r="M48" s="49"/>
    </row>
    <row r="49" spans="1:13" x14ac:dyDescent="0.25">
      <c r="A49" s="46" t="s">
        <v>108</v>
      </c>
      <c r="C49" s="247">
        <v>-1697.63</v>
      </c>
      <c r="D49" s="282"/>
      <c r="E49" s="41">
        <f t="shared" si="18"/>
        <v>932.68</v>
      </c>
      <c r="F49" s="41">
        <f t="shared" si="17"/>
        <v>1454.87</v>
      </c>
      <c r="G49" s="108">
        <f t="shared" si="17"/>
        <v>1728.89</v>
      </c>
      <c r="H49" s="40">
        <f t="shared" si="17"/>
        <v>1538.04</v>
      </c>
      <c r="I49" s="123">
        <f t="shared" si="17"/>
        <v>1570.83</v>
      </c>
      <c r="J49" s="61">
        <f t="shared" si="17"/>
        <v>1521</v>
      </c>
      <c r="K49" s="123">
        <f t="shared" si="17"/>
        <v>1345.82</v>
      </c>
      <c r="L49" s="123">
        <f t="shared" si="17"/>
        <v>1408.11</v>
      </c>
      <c r="M49" s="49"/>
    </row>
    <row r="50" spans="1:13" ht="15.75" thickBot="1" x14ac:dyDescent="0.3">
      <c r="A50" s="46" t="s">
        <v>109</v>
      </c>
      <c r="C50" s="114">
        <v>1145.75</v>
      </c>
      <c r="D50" s="282"/>
      <c r="E50" s="41">
        <f t="shared" si="18"/>
        <v>-686.3</v>
      </c>
      <c r="F50" s="41">
        <f t="shared" si="17"/>
        <v>-420.55</v>
      </c>
      <c r="G50" s="108">
        <f t="shared" si="17"/>
        <v>-124.08</v>
      </c>
      <c r="H50" s="40">
        <f t="shared" si="17"/>
        <v>-178.65</v>
      </c>
      <c r="I50" s="123">
        <f t="shared" si="17"/>
        <v>-291.47000000000003</v>
      </c>
      <c r="J50" s="61">
        <f t="shared" si="17"/>
        <v>-465.48</v>
      </c>
      <c r="K50" s="123">
        <f t="shared" si="17"/>
        <v>-523.47</v>
      </c>
      <c r="L50" s="123">
        <f t="shared" si="17"/>
        <v>-389.61</v>
      </c>
      <c r="M50" s="49"/>
    </row>
    <row r="51" spans="1:13" ht="16.5" thickTop="1" thickBot="1" x14ac:dyDescent="0.3">
      <c r="A51" s="54" t="s">
        <v>22</v>
      </c>
      <c r="B51" s="54"/>
      <c r="C51" s="115">
        <v>0</v>
      </c>
      <c r="D51" s="283"/>
      <c r="E51" s="32">
        <f t="shared" ref="E51:M51" si="19">SUM(E47:E50)+SUM(E40:E43)-E54</f>
        <v>0</v>
      </c>
      <c r="F51" s="32">
        <f t="shared" si="19"/>
        <v>0</v>
      </c>
      <c r="G51" s="50">
        <f t="shared" si="19"/>
        <v>0</v>
      </c>
      <c r="H51" s="124">
        <f t="shared" si="19"/>
        <v>0</v>
      </c>
      <c r="I51" s="32">
        <f t="shared" si="19"/>
        <v>0</v>
      </c>
      <c r="J51" s="62">
        <f t="shared" si="19"/>
        <v>0</v>
      </c>
      <c r="K51" s="164">
        <f t="shared" si="19"/>
        <v>0</v>
      </c>
      <c r="L51" s="32">
        <f t="shared" si="19"/>
        <v>0</v>
      </c>
      <c r="M51" s="96">
        <f t="shared" si="19"/>
        <v>0</v>
      </c>
    </row>
    <row r="52" spans="1:13" ht="16.5" thickTop="1" thickBot="1" x14ac:dyDescent="0.3">
      <c r="A52" s="54" t="s">
        <v>23</v>
      </c>
      <c r="B52" s="54"/>
      <c r="C52" s="107">
        <v>0</v>
      </c>
      <c r="D52" s="284"/>
      <c r="E52" s="32">
        <f t="shared" ref="E52:M52" si="20">SUM(E47:E50)-E31</f>
        <v>0</v>
      </c>
      <c r="F52" s="32">
        <f t="shared" si="20"/>
        <v>0</v>
      </c>
      <c r="G52" s="50">
        <f t="shared" si="20"/>
        <v>0</v>
      </c>
      <c r="H52" s="51">
        <f t="shared" si="20"/>
        <v>0</v>
      </c>
      <c r="I52" s="32">
        <f t="shared" si="20"/>
        <v>-1.0000000000218279E-2</v>
      </c>
      <c r="J52" s="62">
        <f t="shared" si="20"/>
        <v>0</v>
      </c>
      <c r="K52" s="164">
        <f t="shared" si="20"/>
        <v>11.249999999999545</v>
      </c>
      <c r="L52" s="32">
        <f t="shared" si="20"/>
        <v>34.079999999999927</v>
      </c>
      <c r="M52" s="96">
        <f t="shared" si="20"/>
        <v>0</v>
      </c>
    </row>
    <row r="53" spans="1:13" ht="16.5" thickTop="1" thickBot="1" x14ac:dyDescent="0.3">
      <c r="C53" s="99"/>
      <c r="D53" s="150"/>
      <c r="E53" s="17"/>
      <c r="F53" s="17"/>
      <c r="G53" s="17"/>
      <c r="H53" s="10"/>
      <c r="I53" s="17"/>
      <c r="J53" s="11"/>
      <c r="K53" s="17"/>
      <c r="L53" s="17"/>
      <c r="M53" s="11"/>
    </row>
    <row r="54" spans="1:13" ht="15.75" thickBot="1" x14ac:dyDescent="0.3">
      <c r="A54" s="46" t="s">
        <v>36</v>
      </c>
      <c r="B54" s="119">
        <f>SUM(B40:B43)</f>
        <v>919110.91999999946</v>
      </c>
      <c r="C54" s="40">
        <f t="shared" ref="C54:M54" si="21">(SUM(C14:C17)-SUM(C26:C29))+SUM(C47:C50)+B54</f>
        <v>1294119.53</v>
      </c>
      <c r="D54" s="123"/>
      <c r="E54" s="41">
        <f>(SUM(E14:E17)-SUM(E26:E29))+SUM(E47:E50)+C54</f>
        <v>1906759.44</v>
      </c>
      <c r="F54" s="41">
        <f t="shared" si="21"/>
        <v>3348027.67</v>
      </c>
      <c r="G54" s="108">
        <f t="shared" si="21"/>
        <v>2682583.25</v>
      </c>
      <c r="H54" s="40">
        <f t="shared" si="21"/>
        <v>1993032.45</v>
      </c>
      <c r="I54" s="41">
        <f t="shared" si="21"/>
        <v>1415377.6800000002</v>
      </c>
      <c r="J54" s="61">
        <f t="shared" si="21"/>
        <v>1381102.6600000004</v>
      </c>
      <c r="K54" s="123">
        <f t="shared" si="21"/>
        <v>1593817.4700000002</v>
      </c>
      <c r="L54" s="41">
        <f t="shared" si="21"/>
        <v>1942381.85</v>
      </c>
      <c r="M54" s="61">
        <f t="shared" si="21"/>
        <v>-191356.81000000006</v>
      </c>
    </row>
    <row r="55" spans="1:13" x14ac:dyDescent="0.25">
      <c r="A55" s="46" t="s">
        <v>12</v>
      </c>
      <c r="C55" s="120"/>
      <c r="D55" s="17"/>
      <c r="E55" s="56"/>
      <c r="F55" s="56"/>
      <c r="G55" s="56"/>
      <c r="H55" s="12"/>
      <c r="I55" s="56"/>
      <c r="J55" s="11"/>
      <c r="K55" s="17"/>
      <c r="L55" s="17"/>
      <c r="M55" s="11"/>
    </row>
    <row r="56" spans="1:13" ht="15.75" thickBot="1" x14ac:dyDescent="0.3">
      <c r="B56" s="17"/>
      <c r="C56" s="43"/>
      <c r="D56" s="44"/>
      <c r="E56" s="44"/>
      <c r="F56" s="44"/>
      <c r="G56" s="44"/>
      <c r="H56" s="43"/>
      <c r="I56" s="44"/>
      <c r="J56" s="45"/>
      <c r="K56" s="44"/>
      <c r="L56" s="44"/>
      <c r="M56" s="45"/>
    </row>
    <row r="58" spans="1:13" x14ac:dyDescent="0.25">
      <c r="A58" s="69" t="s">
        <v>11</v>
      </c>
      <c r="B58" s="69"/>
      <c r="C58" s="69"/>
      <c r="D58" s="69"/>
    </row>
    <row r="59" spans="1:13" ht="63" customHeight="1" x14ac:dyDescent="0.25">
      <c r="A59" s="310" t="s">
        <v>204</v>
      </c>
      <c r="B59" s="310"/>
      <c r="C59" s="310"/>
      <c r="D59" s="310"/>
      <c r="E59" s="310"/>
      <c r="F59" s="310"/>
      <c r="G59" s="310"/>
      <c r="H59" s="310"/>
      <c r="I59" s="310"/>
      <c r="J59" s="310"/>
      <c r="K59" s="235"/>
      <c r="L59" s="235"/>
      <c r="M59" s="235"/>
    </row>
    <row r="60" spans="1:13" ht="33.75" customHeight="1" x14ac:dyDescent="0.25">
      <c r="A60" s="310" t="s">
        <v>202</v>
      </c>
      <c r="B60" s="310"/>
      <c r="C60" s="310"/>
      <c r="D60" s="310"/>
      <c r="E60" s="310"/>
      <c r="F60" s="310"/>
      <c r="G60" s="310"/>
      <c r="H60" s="310"/>
      <c r="I60" s="310"/>
      <c r="J60" s="310"/>
      <c r="K60" s="235"/>
      <c r="L60" s="235"/>
      <c r="M60" s="235"/>
    </row>
    <row r="61" spans="1:13" ht="33.75" customHeight="1" x14ac:dyDescent="0.25">
      <c r="A61" s="310" t="s">
        <v>203</v>
      </c>
      <c r="B61" s="310"/>
      <c r="C61" s="310"/>
      <c r="D61" s="310"/>
      <c r="E61" s="310"/>
      <c r="F61" s="310"/>
      <c r="G61" s="310"/>
      <c r="H61" s="310"/>
      <c r="I61" s="310"/>
      <c r="J61" s="310"/>
      <c r="K61" s="235"/>
      <c r="L61" s="235"/>
      <c r="M61" s="235"/>
    </row>
    <row r="62" spans="1:13" x14ac:dyDescent="0.25">
      <c r="A62" s="3" t="s">
        <v>31</v>
      </c>
      <c r="B62" s="3"/>
      <c r="C62" s="3"/>
      <c r="D62" s="3"/>
      <c r="J62" s="4"/>
    </row>
    <row r="63" spans="1:13" x14ac:dyDescent="0.25">
      <c r="A63" s="63" t="s">
        <v>186</v>
      </c>
      <c r="B63" s="3"/>
      <c r="C63" s="3"/>
      <c r="D63" s="3"/>
      <c r="J63" s="4"/>
    </row>
    <row r="64" spans="1:13" x14ac:dyDescent="0.25">
      <c r="A64" s="3" t="s">
        <v>51</v>
      </c>
      <c r="B64" s="3"/>
      <c r="C64" s="3"/>
      <c r="D64" s="3"/>
      <c r="J64" s="4"/>
    </row>
    <row r="65" spans="1:14" x14ac:dyDescent="0.25">
      <c r="A65" s="3"/>
    </row>
    <row r="66" spans="1:14" ht="36" customHeight="1" x14ac:dyDescent="0.25">
      <c r="A66" s="316"/>
      <c r="B66" s="316"/>
      <c r="C66" s="316"/>
      <c r="D66" s="316"/>
      <c r="E66" s="316"/>
      <c r="F66" s="316"/>
      <c r="G66" s="316"/>
    </row>
    <row r="74" spans="1:14" x14ac:dyDescent="0.25">
      <c r="N74" s="8"/>
    </row>
  </sheetData>
  <mergeCells count="7">
    <mergeCell ref="A66:G66"/>
    <mergeCell ref="A61:J61"/>
    <mergeCell ref="E10:G10"/>
    <mergeCell ref="H10:J10"/>
    <mergeCell ref="K10:M10"/>
    <mergeCell ref="A59:J59"/>
    <mergeCell ref="A60:J60"/>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41"/>
  <sheetViews>
    <sheetView workbookViewId="0">
      <selection activeCell="C20" sqref="C20"/>
    </sheetView>
  </sheetViews>
  <sheetFormatPr defaultRowHeight="15" x14ac:dyDescent="0.25"/>
  <cols>
    <col min="1" max="1" width="24.7109375" customWidth="1"/>
    <col min="2" max="2" width="16.140625" customWidth="1"/>
    <col min="3" max="3" width="15.140625" customWidth="1"/>
  </cols>
  <sheetData>
    <row r="1" spans="1:23" s="46" customFormat="1" x14ac:dyDescent="0.25">
      <c r="A1" s="3" t="str">
        <f>+'PPC Cycle 3'!A1</f>
        <v>Evergy Missouri West, Inc. - DSIM Rider Update Filed 06/01/2022</v>
      </c>
    </row>
    <row r="2" spans="1:23" x14ac:dyDescent="0.25">
      <c r="A2" s="9" t="str">
        <f>+'PPC Cycle 3'!A2</f>
        <v>Projections for Cycle 3 July 2022 - June 2023 DSIM</v>
      </c>
    </row>
    <row r="3" spans="1:23" s="46" customFormat="1" x14ac:dyDescent="0.25">
      <c r="A3" s="9"/>
    </row>
    <row r="4" spans="1:23" ht="40.5" customHeight="1" x14ac:dyDescent="0.25">
      <c r="B4" s="306" t="s">
        <v>64</v>
      </c>
      <c r="C4" s="306"/>
    </row>
    <row r="5" spans="1:23" ht="45" x14ac:dyDescent="0.25">
      <c r="B5" s="151" t="s">
        <v>65</v>
      </c>
      <c r="C5" s="6" t="s">
        <v>29</v>
      </c>
    </row>
    <row r="6" spans="1:23" x14ac:dyDescent="0.25">
      <c r="A6" s="20" t="s">
        <v>24</v>
      </c>
      <c r="B6" s="23">
        <f>SUM('[5]Monthly TD Calc'!$BZ$285:$CE$285)</f>
        <v>18769085.53223956</v>
      </c>
      <c r="C6" s="86">
        <f>SUM('[5]Monthly TD Calc'!$BZ$326:$CE$326)</f>
        <v>1273485.5699999998</v>
      </c>
    </row>
    <row r="7" spans="1:23" x14ac:dyDescent="0.25">
      <c r="A7" s="30" t="s">
        <v>25</v>
      </c>
      <c r="B7" s="23">
        <f>+B13</f>
        <v>28751865.564224791</v>
      </c>
      <c r="C7" s="86">
        <f>+C13</f>
        <v>1047972.25</v>
      </c>
    </row>
    <row r="8" spans="1:23" x14ac:dyDescent="0.25">
      <c r="A8" s="20" t="s">
        <v>5</v>
      </c>
      <c r="B8" s="24">
        <f>SUM(B6:B7)</f>
        <v>47520951.096464351</v>
      </c>
      <c r="C8" s="22">
        <f>SUM(C6:C7)</f>
        <v>2321457.8199999998</v>
      </c>
    </row>
    <row r="9" spans="1:23" s="46" customFormat="1" x14ac:dyDescent="0.25">
      <c r="A9" s="20"/>
    </row>
    <row r="10" spans="1:23" s="46" customFormat="1" x14ac:dyDescent="0.25">
      <c r="A10" s="20" t="s">
        <v>107</v>
      </c>
      <c r="B10" s="23">
        <f>SUM('[5]Monthly TD Calc'!$BZ$286:$CE$286)</f>
        <v>9530784.2363823541</v>
      </c>
      <c r="C10" s="86">
        <f>SUM('[5]Monthly TD Calc'!$BZ327:$CE327)</f>
        <v>530785.74</v>
      </c>
    </row>
    <row r="11" spans="1:23" s="46" customFormat="1" x14ac:dyDescent="0.25">
      <c r="A11" s="20" t="s">
        <v>108</v>
      </c>
      <c r="B11" s="23">
        <f>SUM('[5]Monthly TD Calc'!$BZ$288:$CE$288)</f>
        <v>14166634.552425921</v>
      </c>
      <c r="C11" s="86">
        <f>SUM('[5]Monthly TD Calc'!$BZ329:$CE329)</f>
        <v>437801.57999999996</v>
      </c>
    </row>
    <row r="12" spans="1:23" s="46" customFormat="1" x14ac:dyDescent="0.25">
      <c r="A12" s="20" t="s">
        <v>109</v>
      </c>
      <c r="B12" s="23">
        <f>SUM('[5]Monthly TD Calc'!$BZ$289:$CE$289)</f>
        <v>5054446.7754165158</v>
      </c>
      <c r="C12" s="86">
        <f>SUM('[5]Monthly TD Calc'!$BZ330:$CE330)</f>
        <v>79384.930000000008</v>
      </c>
    </row>
    <row r="13" spans="1:23" x14ac:dyDescent="0.25">
      <c r="A13" s="30" t="s">
        <v>111</v>
      </c>
      <c r="B13" s="24">
        <f>SUM(B10:B12)</f>
        <v>28751865.564224791</v>
      </c>
      <c r="C13" s="22">
        <f>SUM(C10:C12)</f>
        <v>1047972.25</v>
      </c>
    </row>
    <row r="14" spans="1:23" x14ac:dyDescent="0.25">
      <c r="A14" s="46"/>
      <c r="B14" s="46"/>
      <c r="C14" s="46"/>
    </row>
    <row r="15" spans="1:23" x14ac:dyDescent="0.25">
      <c r="A15" s="69" t="s">
        <v>30</v>
      </c>
      <c r="B15" s="20"/>
      <c r="C15" s="21"/>
      <c r="N15" s="1"/>
      <c r="O15" s="1"/>
      <c r="P15" s="1"/>
      <c r="Q15" s="1"/>
      <c r="R15" s="1"/>
      <c r="S15" s="1"/>
      <c r="T15" s="1"/>
      <c r="U15" s="1"/>
      <c r="V15" s="1"/>
      <c r="W15" s="1"/>
    </row>
    <row r="16" spans="1:23" s="39" customFormat="1" x14ac:dyDescent="0.25">
      <c r="A16" s="317" t="s">
        <v>189</v>
      </c>
      <c r="B16" s="317"/>
      <c r="C16" s="317"/>
      <c r="D16" s="317"/>
      <c r="E16" s="317"/>
      <c r="F16" s="317"/>
      <c r="G16" s="317"/>
      <c r="H16" s="317"/>
      <c r="I16" s="317"/>
      <c r="J16" s="317"/>
      <c r="K16" s="317"/>
      <c r="L16" s="317"/>
      <c r="M16" s="317"/>
    </row>
    <row r="17" spans="1:13" s="39" customFormat="1" x14ac:dyDescent="0.25">
      <c r="A17" s="317" t="s">
        <v>188</v>
      </c>
      <c r="B17" s="317"/>
      <c r="C17" s="317"/>
      <c r="D17" s="317"/>
      <c r="E17" s="317"/>
      <c r="F17" s="317"/>
      <c r="G17" s="317"/>
      <c r="H17" s="317"/>
      <c r="I17" s="317"/>
      <c r="J17" s="317"/>
      <c r="K17" s="317"/>
      <c r="L17" s="317"/>
      <c r="M17" s="317"/>
    </row>
    <row r="29" spans="1:13" x14ac:dyDescent="0.25">
      <c r="E29" s="273"/>
    </row>
    <row r="37" spans="2:3" x14ac:dyDescent="0.25">
      <c r="B37" s="8"/>
      <c r="C37" s="8"/>
    </row>
    <row r="41" spans="2:3" x14ac:dyDescent="0.25">
      <c r="B41" s="8"/>
      <c r="C41" s="8"/>
    </row>
  </sheetData>
  <mergeCells count="3">
    <mergeCell ref="B4:C4"/>
    <mergeCell ref="A16:M16"/>
    <mergeCell ref="A17:M17"/>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8"/>
  <sheetViews>
    <sheetView workbookViewId="0">
      <selection activeCell="D6" sqref="D6"/>
    </sheetView>
  </sheetViews>
  <sheetFormatPr defaultColWidth="9.140625" defaultRowHeight="15" x14ac:dyDescent="0.25"/>
  <cols>
    <col min="1" max="1" width="24.7109375" style="46" customWidth="1"/>
    <col min="2" max="2" width="16.140625" style="46" customWidth="1"/>
    <col min="3" max="3" width="15.140625" style="46" customWidth="1"/>
    <col min="4" max="4" width="11.5703125" style="46" bestFit="1" customWidth="1"/>
    <col min="5" max="5" width="10" style="46" bestFit="1" customWidth="1"/>
    <col min="6" max="16384" width="9.140625" style="46"/>
  </cols>
  <sheetData>
    <row r="1" spans="1:23" x14ac:dyDescent="0.25">
      <c r="A1" s="3" t="str">
        <f>+'PPC Cycle 3'!A1</f>
        <v>Evergy Missouri West, Inc. - DSIM Rider Update Filed 06/01/2022</v>
      </c>
    </row>
    <row r="2" spans="1:23" x14ac:dyDescent="0.25">
      <c r="A2" s="9" t="str">
        <f>+'PPC Cycle 3'!A2</f>
        <v>Projections for Cycle 3 July 2022 - June 2023 DSIM</v>
      </c>
    </row>
    <row r="3" spans="1:23" x14ac:dyDescent="0.25">
      <c r="A3" s="9"/>
    </row>
    <row r="4" spans="1:23" ht="40.5" customHeight="1" x14ac:dyDescent="0.25">
      <c r="B4" s="306" t="s">
        <v>113</v>
      </c>
      <c r="C4" s="306"/>
    </row>
    <row r="5" spans="1:23" ht="75" x14ac:dyDescent="0.25">
      <c r="B5" s="151" t="s">
        <v>65</v>
      </c>
      <c r="C5" s="48" t="s">
        <v>29</v>
      </c>
      <c r="D5" s="296" t="s">
        <v>195</v>
      </c>
      <c r="E5" s="296" t="s">
        <v>196</v>
      </c>
    </row>
    <row r="6" spans="1:23" x14ac:dyDescent="0.25">
      <c r="A6" s="20" t="s">
        <v>24</v>
      </c>
      <c r="B6" s="23">
        <f>SUM('[3]Monthly TD Calc'!$AI$461:$AT$461)+SUM('[14]Monthly TD Calc'!$AO460:$AT460)</f>
        <v>66826882.134861715</v>
      </c>
      <c r="C6" s="86">
        <f>SUM(D6:E6)</f>
        <v>3417022.94</v>
      </c>
      <c r="D6" s="231">
        <f>ROUND(SUM('[3]Monthly TD Calc'!$AI563:$AT563),2)</f>
        <v>3241590.55</v>
      </c>
      <c r="E6" s="231">
        <f>SUM('[14]Monthly TD Calc'!$AO562:$AT562)</f>
        <v>175432.38999999998</v>
      </c>
    </row>
    <row r="7" spans="1:23" x14ac:dyDescent="0.25">
      <c r="A7" s="20" t="s">
        <v>107</v>
      </c>
      <c r="B7" s="23">
        <f>SUM('[3]Monthly TD Calc'!$AI$462:$AT$462)+SUM('[14]Monthly TD Calc'!$AO461:$AT461)</f>
        <v>17566294.931950934</v>
      </c>
      <c r="C7" s="86">
        <f t="shared" ref="C7:C9" si="0">SUM(D7:E7)</f>
        <v>865664.99</v>
      </c>
      <c r="D7" s="231">
        <f>ROUND(SUM('[3]Monthly TD Calc'!$AI564:$AT564),2)</f>
        <v>813307.36</v>
      </c>
      <c r="E7" s="231">
        <f>SUM('[14]Monthly TD Calc'!$AO563:$AT563)</f>
        <v>52357.630000000005</v>
      </c>
    </row>
    <row r="8" spans="1:23" x14ac:dyDescent="0.25">
      <c r="A8" s="20" t="s">
        <v>108</v>
      </c>
      <c r="B8" s="23">
        <f>SUM('[3]Monthly TD Calc'!$AI$464:$AT$464)+SUM('[14]Monthly TD Calc'!$AO463:$AT463)</f>
        <v>22744464.343474276</v>
      </c>
      <c r="C8" s="86">
        <f t="shared" si="0"/>
        <v>661696.80000000005</v>
      </c>
      <c r="D8" s="231">
        <f>ROUND(SUM('[3]Monthly TD Calc'!$AI566:$AT566),2)</f>
        <v>607015.41</v>
      </c>
      <c r="E8" s="231">
        <f>SUM('[14]Monthly TD Calc'!$AO565:$AT565)</f>
        <v>54681.39</v>
      </c>
    </row>
    <row r="9" spans="1:23" x14ac:dyDescent="0.25">
      <c r="A9" s="20" t="s">
        <v>109</v>
      </c>
      <c r="B9" s="23">
        <f>SUM('[3]Monthly TD Calc'!$AI$465:$AT$465)+SUM('[14]Monthly TD Calc'!$AO464:$AT464)</f>
        <v>13771652.298248522</v>
      </c>
      <c r="C9" s="86">
        <f t="shared" si="0"/>
        <v>170807.76</v>
      </c>
      <c r="D9" s="231">
        <f>ROUND(SUM('[3]Monthly TD Calc'!$AI567:$AT567),2)</f>
        <v>159454.63</v>
      </c>
      <c r="E9" s="231">
        <f>SUM('[14]Monthly TD Calc'!$AO566:$AT566)</f>
        <v>11353.130000000001</v>
      </c>
    </row>
    <row r="10" spans="1:23" x14ac:dyDescent="0.25">
      <c r="A10" s="30" t="s">
        <v>5</v>
      </c>
      <c r="B10" s="24">
        <f>SUM(B6:B9)</f>
        <v>120909293.70853546</v>
      </c>
      <c r="C10" s="24">
        <f>SUM(C6:C9)</f>
        <v>5115192.4899999993</v>
      </c>
      <c r="D10" s="24">
        <f t="shared" ref="D10:E10" si="1">SUM(D6:D9)</f>
        <v>4821367.9499999993</v>
      </c>
      <c r="E10" s="24">
        <f t="shared" si="1"/>
        <v>293824.53999999998</v>
      </c>
    </row>
    <row r="12" spans="1:23" x14ac:dyDescent="0.25">
      <c r="A12" s="69" t="s">
        <v>30</v>
      </c>
      <c r="B12" s="20"/>
      <c r="C12" s="21"/>
      <c r="N12" s="1"/>
      <c r="O12" s="1"/>
      <c r="P12" s="1"/>
      <c r="Q12" s="1"/>
      <c r="R12" s="1"/>
      <c r="S12" s="1"/>
      <c r="T12" s="1"/>
      <c r="U12" s="1"/>
      <c r="V12" s="1"/>
      <c r="W12" s="1"/>
    </row>
    <row r="13" spans="1:23" s="39" customFormat="1" ht="49.5" customHeight="1" x14ac:dyDescent="0.25">
      <c r="A13" s="305" t="s">
        <v>206</v>
      </c>
      <c r="B13" s="305"/>
      <c r="C13" s="305"/>
      <c r="D13" s="305"/>
      <c r="E13" s="305"/>
      <c r="F13" s="300"/>
      <c r="G13" s="300"/>
      <c r="H13" s="300"/>
      <c r="I13" s="300"/>
      <c r="J13" s="300"/>
      <c r="K13" s="300"/>
      <c r="L13" s="300"/>
      <c r="M13" s="300"/>
    </row>
    <row r="14" spans="1:23" s="39" customFormat="1" x14ac:dyDescent="0.25">
      <c r="A14" s="318" t="s">
        <v>205</v>
      </c>
      <c r="B14" s="318"/>
      <c r="C14" s="318"/>
      <c r="D14" s="318"/>
      <c r="E14" s="318"/>
      <c r="F14" s="301"/>
      <c r="G14" s="301"/>
      <c r="H14" s="301"/>
      <c r="I14" s="301"/>
      <c r="J14" s="301"/>
      <c r="K14" s="301"/>
      <c r="L14" s="301"/>
      <c r="M14" s="301"/>
    </row>
    <row r="15" spans="1:23" ht="34.5" customHeight="1" x14ac:dyDescent="0.25">
      <c r="A15" s="316" t="s">
        <v>207</v>
      </c>
      <c r="B15" s="316"/>
      <c r="C15" s="316"/>
      <c r="D15" s="316"/>
      <c r="E15" s="316"/>
      <c r="F15" s="301"/>
      <c r="G15" s="301"/>
      <c r="H15" s="301"/>
      <c r="I15" s="301"/>
      <c r="J15" s="301"/>
      <c r="K15" s="301"/>
      <c r="L15" s="301"/>
      <c r="M15" s="301"/>
    </row>
    <row r="16" spans="1:23" ht="30" customHeight="1" x14ac:dyDescent="0.25">
      <c r="A16" s="316" t="s">
        <v>208</v>
      </c>
      <c r="B16" s="316"/>
      <c r="C16" s="316"/>
      <c r="D16" s="316"/>
      <c r="E16" s="316"/>
      <c r="F16" s="301"/>
      <c r="G16" s="301"/>
      <c r="H16" s="301"/>
      <c r="I16" s="301"/>
      <c r="J16" s="301"/>
      <c r="K16" s="301"/>
      <c r="L16" s="301"/>
      <c r="M16" s="301"/>
    </row>
    <row r="29" spans="5:5" x14ac:dyDescent="0.25">
      <c r="E29" s="273"/>
    </row>
    <row r="34" spans="2:3" x14ac:dyDescent="0.25">
      <c r="B34" s="8"/>
      <c r="C34" s="8"/>
    </row>
    <row r="38" spans="2:3" x14ac:dyDescent="0.25">
      <c r="B38" s="8"/>
      <c r="C38" s="8"/>
    </row>
  </sheetData>
  <mergeCells count="5">
    <mergeCell ref="B4:C4"/>
    <mergeCell ref="A13:E13"/>
    <mergeCell ref="A14:E14"/>
    <mergeCell ref="A15:E15"/>
    <mergeCell ref="A16:E16"/>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63"/>
  <sheetViews>
    <sheetView zoomScaleNormal="100" workbookViewId="0">
      <pane xSplit="1" ySplit="2" topLeftCell="K3" activePane="bottomRight" state="frozen"/>
      <selection activeCell="K4" sqref="K4"/>
      <selection pane="topRight" activeCell="K4" sqref="K4"/>
      <selection pane="bottomLeft" activeCell="K4" sqref="K4"/>
      <selection pane="bottomRight" activeCell="P1" sqref="P1:P1048576"/>
    </sheetView>
  </sheetViews>
  <sheetFormatPr defaultColWidth="9.140625" defaultRowHeight="15" outlineLevelCol="1" x14ac:dyDescent="0.25"/>
  <cols>
    <col min="1" max="1" width="61.7109375" style="46" customWidth="1"/>
    <col min="2" max="2" width="12.140625" style="46" customWidth="1"/>
    <col min="3" max="3" width="12.42578125" style="46" customWidth="1"/>
    <col min="4" max="4" width="12.42578125" style="46" hidden="1" customWidth="1" outlineLevel="1"/>
    <col min="5" max="5" width="15.42578125" style="46" customWidth="1" collapsed="1"/>
    <col min="6" max="6" width="15.85546875" style="46" customWidth="1"/>
    <col min="7" max="7" width="12.28515625" style="46" customWidth="1"/>
    <col min="8" max="9" width="13.28515625" style="46" customWidth="1"/>
    <col min="10" max="10" width="12.28515625" style="46" bestFit="1" customWidth="1"/>
    <col min="11" max="11" width="11.5703125" style="46" bestFit="1" customWidth="1"/>
    <col min="12" max="12" width="12.85546875" style="46" customWidth="1"/>
    <col min="13" max="13" width="16" style="46" customWidth="1"/>
    <col min="14" max="14" width="15" style="46" bestFit="1" customWidth="1"/>
    <col min="15" max="15" width="16" style="46" bestFit="1" customWidth="1"/>
    <col min="16" max="16" width="15.28515625" style="46" bestFit="1" customWidth="1"/>
    <col min="17" max="17" width="17.42578125" style="46" bestFit="1" customWidth="1"/>
    <col min="18" max="18" width="16.28515625" style="46" bestFit="1" customWidth="1"/>
    <col min="19" max="19" width="15.28515625" style="46" bestFit="1" customWidth="1"/>
    <col min="20" max="20" width="12.42578125" style="46" customWidth="1"/>
    <col min="21" max="22" width="14.28515625" style="46" bestFit="1" customWidth="1"/>
    <col min="23" max="16384" width="9.140625" style="46"/>
  </cols>
  <sheetData>
    <row r="1" spans="1:35" x14ac:dyDescent="0.25">
      <c r="A1" s="3" t="str">
        <f>+'PPC Cycle 3'!A1</f>
        <v>Evergy Missouri West, Inc. - DSIM Rider Update Filed 06/01/2022</v>
      </c>
      <c r="B1" s="3"/>
      <c r="C1" s="3"/>
      <c r="D1" s="3"/>
    </row>
    <row r="2" spans="1:35" x14ac:dyDescent="0.25">
      <c r="E2" s="3" t="s">
        <v>61</v>
      </c>
    </row>
    <row r="3" spans="1:35" ht="30" x14ac:dyDescent="0.25">
      <c r="E3" s="48" t="s">
        <v>46</v>
      </c>
      <c r="F3" s="70" t="s">
        <v>71</v>
      </c>
      <c r="G3" s="70" t="s">
        <v>54</v>
      </c>
      <c r="H3" s="48" t="s">
        <v>3</v>
      </c>
      <c r="I3" s="70" t="s">
        <v>55</v>
      </c>
      <c r="J3" s="48" t="s">
        <v>10</v>
      </c>
      <c r="K3" s="48" t="s">
        <v>9</v>
      </c>
      <c r="S3" s="48"/>
    </row>
    <row r="4" spans="1:35" x14ac:dyDescent="0.25">
      <c r="A4" s="20" t="s">
        <v>24</v>
      </c>
      <c r="B4" s="20"/>
      <c r="C4" s="20"/>
      <c r="D4" s="20"/>
      <c r="E4" s="22">
        <f>SUM(C18:M18)</f>
        <v>1510604.3944399999</v>
      </c>
      <c r="F4" s="137">
        <f>N24</f>
        <v>21433573.06745258</v>
      </c>
      <c r="G4" s="22">
        <f>SUM(C30:L30)</f>
        <v>1059912.5</v>
      </c>
      <c r="H4" s="22">
        <f>G4-E4</f>
        <v>-450691.89443999995</v>
      </c>
      <c r="I4" s="22">
        <f>+B42</f>
        <v>668401.38680000021</v>
      </c>
      <c r="J4" s="22">
        <f>SUM(C47:L47)</f>
        <v>5252.75</v>
      </c>
      <c r="K4" s="25">
        <f>SUM(H4:J4)</f>
        <v>222962.24236000027</v>
      </c>
      <c r="L4" s="47">
        <f>+K4-M42</f>
        <v>3.7834979593753815E-10</v>
      </c>
    </row>
    <row r="5" spans="1:35" ht="15.75" thickBot="1" x14ac:dyDescent="0.3">
      <c r="A5" s="20" t="s">
        <v>25</v>
      </c>
      <c r="B5" s="20"/>
      <c r="C5" s="20"/>
      <c r="D5" s="20"/>
      <c r="E5" s="22">
        <f>SUM(C19:M21)</f>
        <v>1274631.1998600001</v>
      </c>
      <c r="F5" s="137">
        <f>SUM(N25:N27)</f>
        <v>33911544.829023093</v>
      </c>
      <c r="G5" s="22">
        <f>SUM(C31:L33)</f>
        <v>1043571.7099999998</v>
      </c>
      <c r="H5" s="22">
        <f>G5-E5</f>
        <v>-231059.48986000021</v>
      </c>
      <c r="I5" s="22">
        <f>+B43</f>
        <v>542218.56027999986</v>
      </c>
      <c r="J5" s="22">
        <f>SUM(C48:L48)</f>
        <v>4784.71</v>
      </c>
      <c r="K5" s="25">
        <f>SUM(H5:J5)</f>
        <v>315943.78041999968</v>
      </c>
      <c r="L5" s="47">
        <f>+K5-M43</f>
        <v>0</v>
      </c>
    </row>
    <row r="6" spans="1:35" ht="16.5" thickTop="1" thickBot="1" x14ac:dyDescent="0.3">
      <c r="E6" s="27">
        <f t="shared" ref="E6" si="0">SUM(E4:E5)</f>
        <v>2785235.5943</v>
      </c>
      <c r="F6" s="138">
        <f t="shared" ref="F6:I6" si="1">SUM(F4:F5)</f>
        <v>55345117.896475673</v>
      </c>
      <c r="G6" s="27">
        <f t="shared" si="1"/>
        <v>2103484.21</v>
      </c>
      <c r="H6" s="27">
        <f t="shared" si="1"/>
        <v>-681751.38430000015</v>
      </c>
      <c r="I6" s="27">
        <f t="shared" si="1"/>
        <v>1210619.9470800001</v>
      </c>
      <c r="J6" s="27">
        <f>SUM(J4:J5)</f>
        <v>10037.459999999999</v>
      </c>
      <c r="K6" s="27">
        <f>SUM(K4:K5)</f>
        <v>538906.02278</v>
      </c>
      <c r="T6" s="5"/>
    </row>
    <row r="7" spans="1:35" ht="45.75" thickTop="1" x14ac:dyDescent="0.25">
      <c r="K7" s="228"/>
      <c r="L7" s="227" t="s">
        <v>124</v>
      </c>
    </row>
    <row r="8" spans="1:35" x14ac:dyDescent="0.25">
      <c r="A8" s="20" t="s">
        <v>107</v>
      </c>
      <c r="K8" s="25">
        <f>ROUND($K$5*L8,2)</f>
        <v>123879.31</v>
      </c>
      <c r="L8" s="225">
        <f>+'PCR Cycle 2'!K8</f>
        <v>0.39209287804949344</v>
      </c>
    </row>
    <row r="9" spans="1:35" x14ac:dyDescent="0.25">
      <c r="A9" s="20" t="s">
        <v>108</v>
      </c>
      <c r="K9" s="25">
        <f t="shared" ref="K9:K10" si="2">ROUND($K$5*L9,2)</f>
        <v>143551.93</v>
      </c>
      <c r="L9" s="225">
        <f>+'PCR Cycle 2'!K9</f>
        <v>0.45435908608374953</v>
      </c>
    </row>
    <row r="10" spans="1:35" ht="15.75" thickBot="1" x14ac:dyDescent="0.3">
      <c r="A10" s="20" t="s">
        <v>109</v>
      </c>
      <c r="J10" s="4"/>
      <c r="K10" s="25">
        <f t="shared" si="2"/>
        <v>48512.55</v>
      </c>
      <c r="L10" s="225">
        <f>+'PCR Cycle 2'!K10</f>
        <v>0.15354803586675725</v>
      </c>
      <c r="V10" s="4"/>
    </row>
    <row r="11" spans="1:35" ht="16.5" thickTop="1" thickBot="1" x14ac:dyDescent="0.3">
      <c r="A11" s="20" t="s">
        <v>111</v>
      </c>
      <c r="K11" s="27">
        <f>SUM(K8:K10)</f>
        <v>315943.78999999998</v>
      </c>
      <c r="L11" s="226">
        <f>SUM(L8:L10)</f>
        <v>1.0000000000000002</v>
      </c>
      <c r="V11" s="4"/>
      <c r="W11" s="5"/>
    </row>
    <row r="12" spans="1:35" ht="16.5" thickTop="1" thickBot="1" x14ac:dyDescent="0.3">
      <c r="V12" s="4"/>
      <c r="W12" s="5"/>
    </row>
    <row r="13" spans="1:35" ht="120.75" thickBot="1" x14ac:dyDescent="0.3">
      <c r="B13" s="118" t="str">
        <f>+'PCR Cycle 2'!B13</f>
        <v>Cumulative Over/Under Carryover From 12/01/2021 Filing</v>
      </c>
      <c r="C13" s="152" t="str">
        <f>+'PCR Cycle 2'!C13:F13</f>
        <v>Reverse November 2021 - April 2022  Forecast From 12/01/2021 Filing</v>
      </c>
      <c r="D13" s="212"/>
      <c r="E13" s="311" t="s">
        <v>33</v>
      </c>
      <c r="F13" s="311"/>
      <c r="G13" s="312"/>
      <c r="H13" s="319" t="s">
        <v>33</v>
      </c>
      <c r="I13" s="320"/>
      <c r="J13" s="321"/>
      <c r="K13" s="307" t="s">
        <v>8</v>
      </c>
      <c r="L13" s="308"/>
      <c r="M13" s="309"/>
    </row>
    <row r="14" spans="1:35" x14ac:dyDescent="0.25">
      <c r="A14" s="46" t="s">
        <v>63</v>
      </c>
      <c r="C14" s="105"/>
      <c r="D14" s="213"/>
      <c r="E14" s="19">
        <f>+'PCR Cycle 2'!D14</f>
        <v>44530</v>
      </c>
      <c r="F14" s="19">
        <f t="shared" ref="F14:M14" si="3">EOMONTH(E14,1)</f>
        <v>44561</v>
      </c>
      <c r="G14" s="19">
        <f t="shared" si="3"/>
        <v>44592</v>
      </c>
      <c r="H14" s="14">
        <f t="shared" si="3"/>
        <v>44620</v>
      </c>
      <c r="I14" s="19">
        <f t="shared" si="3"/>
        <v>44651</v>
      </c>
      <c r="J14" s="15">
        <f t="shared" si="3"/>
        <v>44681</v>
      </c>
      <c r="K14" s="19">
        <f t="shared" si="3"/>
        <v>44712</v>
      </c>
      <c r="L14" s="19">
        <f t="shared" si="3"/>
        <v>44742</v>
      </c>
      <c r="M14" s="15">
        <f t="shared" si="3"/>
        <v>44773</v>
      </c>
      <c r="Z14" s="1"/>
      <c r="AA14" s="1"/>
      <c r="AB14" s="1"/>
      <c r="AC14" s="1"/>
      <c r="AD14" s="1"/>
      <c r="AE14" s="1"/>
      <c r="AF14" s="1"/>
      <c r="AG14" s="1"/>
      <c r="AH14" s="1"/>
      <c r="AI14" s="1"/>
    </row>
    <row r="15" spans="1:35" x14ac:dyDescent="0.25">
      <c r="A15" s="46" t="s">
        <v>5</v>
      </c>
      <c r="C15" s="193">
        <v>-630206.61</v>
      </c>
      <c r="D15" s="196">
        <f>+D30+D33</f>
        <v>0</v>
      </c>
      <c r="E15" s="109">
        <f t="shared" ref="E15:L15" si="4">SUM(E30:E33)</f>
        <v>312243.95999999996</v>
      </c>
      <c r="F15" s="109">
        <f t="shared" si="4"/>
        <v>317962.65000000002</v>
      </c>
      <c r="G15" s="110">
        <f t="shared" si="4"/>
        <v>304687.56</v>
      </c>
      <c r="H15" s="16">
        <f t="shared" si="4"/>
        <v>288155.11</v>
      </c>
      <c r="I15" s="55">
        <f t="shared" si="4"/>
        <v>314475.29000000004</v>
      </c>
      <c r="J15" s="165">
        <f t="shared" si="4"/>
        <v>305164.83</v>
      </c>
      <c r="K15" s="158">
        <f t="shared" si="4"/>
        <v>348934.06</v>
      </c>
      <c r="L15" s="78">
        <f t="shared" si="4"/>
        <v>542067.36</v>
      </c>
      <c r="M15" s="79"/>
    </row>
    <row r="16" spans="1:35" x14ac:dyDescent="0.25">
      <c r="C16" s="99"/>
      <c r="D16" s="197"/>
      <c r="E16" s="17"/>
      <c r="F16" s="17"/>
      <c r="G16" s="17"/>
      <c r="H16" s="10"/>
      <c r="I16" s="17"/>
      <c r="J16" s="11"/>
      <c r="K16" s="31"/>
      <c r="L16" s="31"/>
      <c r="M16" s="29"/>
    </row>
    <row r="17" spans="1:15" x14ac:dyDescent="0.25">
      <c r="A17" s="46" t="s">
        <v>62</v>
      </c>
      <c r="C17" s="99"/>
      <c r="D17" s="197"/>
      <c r="E17" s="18"/>
      <c r="F17" s="18"/>
      <c r="G17" s="18"/>
      <c r="H17" s="91"/>
      <c r="I17" s="18"/>
      <c r="J17" s="166"/>
      <c r="K17" s="31"/>
      <c r="L17" s="31"/>
      <c r="M17" s="29"/>
      <c r="N17" s="3" t="s">
        <v>68</v>
      </c>
      <c r="O17" s="39"/>
    </row>
    <row r="18" spans="1:15" x14ac:dyDescent="0.25">
      <c r="A18" s="46" t="s">
        <v>24</v>
      </c>
      <c r="C18" s="193">
        <v>-369023.78320000001</v>
      </c>
      <c r="D18" s="196">
        <v>0</v>
      </c>
      <c r="E18" s="135">
        <f>+'[6]Nov 2021'!$F52</f>
        <v>85616.15</v>
      </c>
      <c r="F18" s="135">
        <f>+'[6]Dec 2021'!$F52</f>
        <v>106395.70000000001</v>
      </c>
      <c r="G18" s="135">
        <f>+'[6]Jan 2022'!$F52</f>
        <v>144468.48000000001</v>
      </c>
      <c r="H18" s="16">
        <f>+'[6]Feb 2022'!$F52</f>
        <v>294039.73000000004</v>
      </c>
      <c r="I18" s="121">
        <f>+'[6]Mar 2022'!$F52</f>
        <v>263549.32</v>
      </c>
      <c r="J18" s="170">
        <f>+'[6]Apr 2022'!$F52</f>
        <v>206608.09</v>
      </c>
      <c r="K18" s="123">
        <f>'PCR Cycle 2'!J26*'TDR Cycle 2'!$N18</f>
        <v>187655.96051999999</v>
      </c>
      <c r="L18" s="41">
        <f>'PCR Cycle 2'!K26*'TDR Cycle 2'!$N18</f>
        <v>260161.43496000001</v>
      </c>
      <c r="M18" s="61">
        <f>'PCR Cycle 2'!L26*'TDR Cycle 2'!$N18</f>
        <v>331133.31216000003</v>
      </c>
      <c r="N18" s="72">
        <v>8.4000000000000003E-4</v>
      </c>
      <c r="O18" s="4"/>
    </row>
    <row r="19" spans="1:15" x14ac:dyDescent="0.25">
      <c r="A19" s="46" t="s">
        <v>107</v>
      </c>
      <c r="C19" s="193">
        <v>-141861.50513999996</v>
      </c>
      <c r="D19" s="196"/>
      <c r="E19" s="135">
        <f>+'[6]Nov 2021'!$F53</f>
        <v>44388.840752942648</v>
      </c>
      <c r="F19" s="135">
        <f>+'[6]Dec 2021'!$F53</f>
        <v>47967.03</v>
      </c>
      <c r="G19" s="135">
        <f>+'[6]Jan 2022'!$F53</f>
        <v>55854.67</v>
      </c>
      <c r="H19" s="16">
        <f>+'[6]Feb 2022'!$F53</f>
        <v>112495.23</v>
      </c>
      <c r="I19" s="121">
        <f>+'[6]Mar 2022'!$F53</f>
        <v>111781.34937444373</v>
      </c>
      <c r="J19" s="170">
        <f>+'[6]Apr 2022'!$F53</f>
        <v>98866.305128184031</v>
      </c>
      <c r="K19" s="123">
        <f>'PCR Cycle 2'!J27*'TDR Cycle 2'!$N19</f>
        <v>95199.38334</v>
      </c>
      <c r="L19" s="41">
        <f>'PCR Cycle 2'!K27*'TDR Cycle 2'!$N19</f>
        <v>97762.579939999996</v>
      </c>
      <c r="M19" s="61">
        <f>'PCR Cycle 2'!L27*'TDR Cycle 2'!$N19</f>
        <v>103379.57399999999</v>
      </c>
      <c r="N19" s="72">
        <v>1.06E-3</v>
      </c>
      <c r="O19" s="4"/>
    </row>
    <row r="20" spans="1:15" x14ac:dyDescent="0.25">
      <c r="A20" s="46" t="s">
        <v>108</v>
      </c>
      <c r="C20" s="193">
        <v>-121890.19348000002</v>
      </c>
      <c r="D20" s="196"/>
      <c r="E20" s="135">
        <f>+'[6]Nov 2021'!$F54</f>
        <v>38523.204471082092</v>
      </c>
      <c r="F20" s="135">
        <f>+'[6]Dec 2021'!$F54</f>
        <v>38679.06</v>
      </c>
      <c r="G20" s="135">
        <f>+'[6]Jan 2022'!$F54</f>
        <v>42729.64</v>
      </c>
      <c r="H20" s="16">
        <f>+'[6]Feb 2022'!$F54</f>
        <v>90748.24</v>
      </c>
      <c r="I20" s="121">
        <f>+'[6]Mar 2022'!$F54</f>
        <v>89685.167914993814</v>
      </c>
      <c r="J20" s="170">
        <f>+'[6]Apr 2022'!$F54</f>
        <v>85828.581706760844</v>
      </c>
      <c r="K20" s="123">
        <f>'PCR Cycle 2'!J28*'TDR Cycle 2'!$N20</f>
        <v>86198.903000000006</v>
      </c>
      <c r="L20" s="41">
        <f>'PCR Cycle 2'!K28*'TDR Cycle 2'!$N20</f>
        <v>88519.764999999999</v>
      </c>
      <c r="M20" s="61">
        <f>'PCR Cycle 2'!L28*'TDR Cycle 2'!$N20</f>
        <v>93605.71</v>
      </c>
      <c r="N20" s="72">
        <v>1E-3</v>
      </c>
      <c r="O20" s="4"/>
    </row>
    <row r="21" spans="1:15" x14ac:dyDescent="0.25">
      <c r="A21" s="46" t="s">
        <v>109</v>
      </c>
      <c r="C21" s="193">
        <v>-21501.245370000001</v>
      </c>
      <c r="D21" s="196">
        <v>0</v>
      </c>
      <c r="E21" s="135">
        <f>+'[6]Nov 2021'!$F55</f>
        <v>6861.2147759752679</v>
      </c>
      <c r="F21" s="135">
        <f>+'[6]Dec 2021'!$F55</f>
        <v>6605.16</v>
      </c>
      <c r="G21" s="135">
        <f>+'[6]Jan 2022'!$F55</f>
        <v>6613.17</v>
      </c>
      <c r="H21" s="16">
        <f>+'[6]Feb 2022'!$F55</f>
        <v>18215.29</v>
      </c>
      <c r="I21" s="121">
        <f>+'[6]Mar 2022'!$F55</f>
        <v>19203.772710562465</v>
      </c>
      <c r="J21" s="170">
        <f>+'[6]Apr 2022'!$F55</f>
        <v>18962.663165055117</v>
      </c>
      <c r="K21" s="123">
        <f>'PCR Cycle 2'!J29*'TDR Cycle 2'!$N21</f>
        <v>19663.52723</v>
      </c>
      <c r="L21" s="41">
        <f>'PCR Cycle 2'!K29*'TDR Cycle 2'!$N21</f>
        <v>20192.957630000001</v>
      </c>
      <c r="M21" s="61">
        <f>'PCR Cycle 2'!L29*'TDR Cycle 2'!$N21</f>
        <v>21353.153709999999</v>
      </c>
      <c r="N21" s="72">
        <v>3.1E-4</v>
      </c>
      <c r="O21" s="4"/>
    </row>
    <row r="22" spans="1:15" x14ac:dyDescent="0.25">
      <c r="C22" s="67"/>
      <c r="D22" s="198"/>
      <c r="E22" s="68"/>
      <c r="F22" s="68"/>
      <c r="G22" s="68"/>
      <c r="H22" s="67"/>
      <c r="I22" s="68"/>
      <c r="J22" s="168"/>
      <c r="K22" s="56"/>
      <c r="L22" s="56"/>
      <c r="M22" s="13"/>
      <c r="O22" s="4"/>
    </row>
    <row r="23" spans="1:15" x14ac:dyDescent="0.25">
      <c r="A23" s="39" t="s">
        <v>66</v>
      </c>
      <c r="B23" s="39"/>
      <c r="C23" s="67"/>
      <c r="D23" s="198"/>
      <c r="E23" s="56"/>
      <c r="F23" s="56"/>
      <c r="G23" s="56"/>
      <c r="H23" s="12"/>
      <c r="I23" s="56"/>
      <c r="J23" s="169"/>
      <c r="K23" s="56"/>
      <c r="L23" s="56"/>
      <c r="M23" s="13"/>
      <c r="N23" s="7"/>
    </row>
    <row r="24" spans="1:15" x14ac:dyDescent="0.25">
      <c r="A24" s="46" t="s">
        <v>24</v>
      </c>
      <c r="C24" s="194">
        <v>-7000439.0575250769</v>
      </c>
      <c r="D24" s="199"/>
      <c r="E24" s="111">
        <f>+'[5]Monthly TD Calc'!BR285</f>
        <v>3200897.113468044</v>
      </c>
      <c r="F24" s="111">
        <f>+'[5]Monthly TD Calc'!BS285</f>
        <v>3799541.9440570329</v>
      </c>
      <c r="G24" s="125">
        <f>+'[5]Monthly TD Calc'!BT285</f>
        <v>3808947.2597798044</v>
      </c>
      <c r="H24" s="74">
        <f>+'[5]Monthly TD Calc'!BU285</f>
        <v>3429744.2796914764</v>
      </c>
      <c r="I24" s="75">
        <f>+'[5]Monthly TD Calc'!BV285</f>
        <v>3430127.620978653</v>
      </c>
      <c r="J24" s="170">
        <f>+'[5]Monthly TD Calc'!BW285</f>
        <v>3293328.3913969351</v>
      </c>
      <c r="K24" s="159">
        <f>+'[5]Monthly TD Calc'!BX285</f>
        <v>3622617.1364313252</v>
      </c>
      <c r="L24" s="143">
        <f>+'[5]Monthly TD Calc'!BY285</f>
        <v>3848808.3791743834</v>
      </c>
      <c r="M24" s="80"/>
      <c r="N24" s="59">
        <f>SUM(C24:L24)</f>
        <v>21433573.06745258</v>
      </c>
    </row>
    <row r="25" spans="1:15" x14ac:dyDescent="0.25">
      <c r="A25" s="46" t="s">
        <v>107</v>
      </c>
      <c r="C25" s="194">
        <v>-3561233.6505996226</v>
      </c>
      <c r="D25" s="199"/>
      <c r="E25" s="111">
        <f>+'[5]Monthly TD Calc'!BR286</f>
        <v>1783272.6144496959</v>
      </c>
      <c r="F25" s="111">
        <f>+'[5]Monthly TD Calc'!BS286</f>
        <v>1777961.0361499267</v>
      </c>
      <c r="G25" s="125">
        <f>+'[5]Monthly TD Calc'!BT286</f>
        <v>1873468.082475797</v>
      </c>
      <c r="H25" s="74">
        <f>+'[5]Monthly TD Calc'!BU286</f>
        <v>1698368.6225122809</v>
      </c>
      <c r="I25" s="75">
        <f>+'[5]Monthly TD Calc'!BV286</f>
        <v>1918946.0571799164</v>
      </c>
      <c r="J25" s="170">
        <f>+'[5]Monthly TD Calc'!BW286</f>
        <v>1815753.348866856</v>
      </c>
      <c r="K25" s="159">
        <f>+'[5]Monthly TD Calc'!BX286</f>
        <v>1929862.7740866141</v>
      </c>
      <c r="L25" s="143">
        <f>+'[5]Monthly TD Calc'!BY286</f>
        <v>1927873.9189463556</v>
      </c>
      <c r="M25" s="80"/>
      <c r="N25" s="59">
        <f t="shared" ref="N25:N27" si="5">SUM(C25:L25)</f>
        <v>11164272.80406782</v>
      </c>
    </row>
    <row r="26" spans="1:15" x14ac:dyDescent="0.25">
      <c r="A26" s="46" t="s">
        <v>108</v>
      </c>
      <c r="C26" s="194">
        <v>-5401644.4129909221</v>
      </c>
      <c r="D26" s="199"/>
      <c r="E26" s="111">
        <f>+'[5]Monthly TD Calc'!BR288</f>
        <v>2703012.0649789949</v>
      </c>
      <c r="F26" s="111">
        <f>+'[5]Monthly TD Calc'!BS288</f>
        <v>2698632.3480119267</v>
      </c>
      <c r="G26" s="125">
        <f>+'[5]Monthly TD Calc'!BT288</f>
        <v>2841181.1069288682</v>
      </c>
      <c r="H26" s="74">
        <f>+'[5]Monthly TD Calc'!BU288</f>
        <v>2578220.7914223112</v>
      </c>
      <c r="I26" s="75">
        <f>+'[5]Monthly TD Calc'!BV288</f>
        <v>2887637.1506296871</v>
      </c>
      <c r="J26" s="170">
        <f>+'[5]Monthly TD Calc'!BW288</f>
        <v>2733410.6486690468</v>
      </c>
      <c r="K26" s="159">
        <f>+'[5]Monthly TD Calc'!BX288</f>
        <v>2890409.8209900213</v>
      </c>
      <c r="L26" s="143">
        <f>+'[5]Monthly TD Calc'!BY288</f>
        <v>2832087.0570221478</v>
      </c>
      <c r="M26" s="80"/>
      <c r="N26" s="59">
        <f t="shared" si="5"/>
        <v>16762946.57566208</v>
      </c>
    </row>
    <row r="27" spans="1:15" x14ac:dyDescent="0.25">
      <c r="A27" s="46" t="s">
        <v>109</v>
      </c>
      <c r="C27" s="194">
        <v>-1927451.5034250501</v>
      </c>
      <c r="D27" s="199"/>
      <c r="E27" s="111">
        <f>+'[5]Monthly TD Calc'!BR289</f>
        <v>964706.0990347442</v>
      </c>
      <c r="F27" s="111">
        <f>+'[5]Monthly TD Calc'!BS289</f>
        <v>962745.40439030575</v>
      </c>
      <c r="G27" s="125">
        <f>+'[5]Monthly TD Calc'!BT289</f>
        <v>1014350.0561711908</v>
      </c>
      <c r="H27" s="74">
        <f>+'[5]Monthly TD Calc'!BU289</f>
        <v>921159.5160290671</v>
      </c>
      <c r="I27" s="75">
        <f>+'[5]Monthly TD Calc'!BV289</f>
        <v>1031447.2065557569</v>
      </c>
      <c r="J27" s="170">
        <f>+'[5]Monthly TD Calc'!BW289</f>
        <v>975001.98970008059</v>
      </c>
      <c r="K27" s="159">
        <f>+'[5]Monthly TD Calc'!BX289</f>
        <v>1031776.4605094917</v>
      </c>
      <c r="L27" s="143">
        <f>+'[5]Monthly TD Calc'!BY289</f>
        <v>1010590.2203276039</v>
      </c>
      <c r="M27" s="80"/>
      <c r="N27" s="59">
        <f t="shared" si="5"/>
        <v>5984325.4492931906</v>
      </c>
    </row>
    <row r="28" spans="1:15" x14ac:dyDescent="0.25">
      <c r="C28" s="67"/>
      <c r="D28" s="198"/>
      <c r="E28" s="68"/>
      <c r="F28" s="68"/>
      <c r="G28" s="68"/>
      <c r="H28" s="67"/>
      <c r="I28" s="68"/>
      <c r="J28" s="168"/>
      <c r="K28" s="56"/>
      <c r="L28" s="56"/>
      <c r="M28" s="13"/>
    </row>
    <row r="29" spans="1:15" x14ac:dyDescent="0.25">
      <c r="A29" s="46" t="s">
        <v>69</v>
      </c>
      <c r="C29" s="36"/>
      <c r="D29" s="200"/>
      <c r="E29" s="37"/>
      <c r="F29" s="37"/>
      <c r="G29" s="37"/>
      <c r="H29" s="36"/>
      <c r="I29" s="37"/>
      <c r="J29" s="171"/>
      <c r="K29" s="52"/>
      <c r="L29" s="52"/>
      <c r="M29" s="38"/>
    </row>
    <row r="30" spans="1:15" x14ac:dyDescent="0.25">
      <c r="A30" s="46" t="s">
        <v>24</v>
      </c>
      <c r="C30" s="193">
        <v>-314083.53999999998</v>
      </c>
      <c r="D30" s="196"/>
      <c r="E30" s="109">
        <f>ROUND('[5]Monthly TD Calc'!BR326,2)</f>
        <v>149696.35999999999</v>
      </c>
      <c r="F30" s="109">
        <f>ROUND('[5]Monthly TD Calc'!BS326,2)</f>
        <v>164387.18</v>
      </c>
      <c r="G30" s="110">
        <f>ROUND('[5]Monthly TD Calc'!BT326,2)</f>
        <v>148508.95000000001</v>
      </c>
      <c r="H30" s="16">
        <f>ROUND('[5]Monthly TD Calc'!BU326,2)</f>
        <v>142294.95000000001</v>
      </c>
      <c r="I30" s="55">
        <f>ROUND('[5]Monthly TD Calc'!BV326,2)</f>
        <v>149745.65</v>
      </c>
      <c r="J30" s="170">
        <f>ROUND('[5]Monthly TD Calc'!BW326,2)</f>
        <v>144221.44</v>
      </c>
      <c r="K30" s="160">
        <f>ROUND('[5]Monthly TD Calc'!BX326,2)</f>
        <v>172528.95</v>
      </c>
      <c r="L30" s="142">
        <f>ROUND('[5]Monthly TD Calc'!BY326,2)</f>
        <v>302612.56</v>
      </c>
      <c r="M30" s="79"/>
    </row>
    <row r="31" spans="1:15" x14ac:dyDescent="0.25">
      <c r="A31" s="46" t="s">
        <v>107</v>
      </c>
      <c r="C31" s="193">
        <v>-141434.35999999999</v>
      </c>
      <c r="D31" s="196"/>
      <c r="E31" s="109">
        <f>ROUND('[5]Monthly TD Calc'!BR327,2)</f>
        <v>74091.149999999994</v>
      </c>
      <c r="F31" s="109">
        <f>ROUND('[5]Monthly TD Calc'!BS327,2)</f>
        <v>67343.210000000006</v>
      </c>
      <c r="G31" s="110">
        <f>ROUND('[5]Monthly TD Calc'!BT327,2)</f>
        <v>69815.75</v>
      </c>
      <c r="H31" s="16">
        <f>ROUND('[5]Monthly TD Calc'!BU327,2)</f>
        <v>63745.35</v>
      </c>
      <c r="I31" s="55">
        <f>ROUND('[5]Monthly TD Calc'!BV327,2)</f>
        <v>72373.05</v>
      </c>
      <c r="J31" s="170">
        <f>ROUND('[5]Monthly TD Calc'!BW327,2)</f>
        <v>74630.98</v>
      </c>
      <c r="K31" s="160">
        <f>ROUND('[5]Monthly TD Calc'!BX327,2)</f>
        <v>80341.75</v>
      </c>
      <c r="L31" s="142">
        <f>ROUND('[5]Monthly TD Calc'!BY327,2)</f>
        <v>126296.86</v>
      </c>
      <c r="M31" s="79"/>
    </row>
    <row r="32" spans="1:15" x14ac:dyDescent="0.25">
      <c r="A32" s="46" t="s">
        <v>108</v>
      </c>
      <c r="C32" s="193">
        <v>-148346.64000000001</v>
      </c>
      <c r="D32" s="196"/>
      <c r="E32" s="109">
        <f>ROUND('[5]Monthly TD Calc'!BR329,2)</f>
        <v>75716.31</v>
      </c>
      <c r="F32" s="109">
        <f>ROUND('[5]Monthly TD Calc'!BS329,2)</f>
        <v>72630.33</v>
      </c>
      <c r="G32" s="110">
        <f>ROUND('[5]Monthly TD Calc'!BT329,2)</f>
        <v>72562.78</v>
      </c>
      <c r="H32" s="16">
        <f>ROUND('[5]Monthly TD Calc'!BU329,2)</f>
        <v>69601.08</v>
      </c>
      <c r="I32" s="55">
        <f>ROUND('[5]Monthly TD Calc'!BV329,2)</f>
        <v>78390.83</v>
      </c>
      <c r="J32" s="170">
        <f>ROUND('[5]Monthly TD Calc'!BW329,2)</f>
        <v>73632.95</v>
      </c>
      <c r="K32" s="160">
        <f>ROUND('[5]Monthly TD Calc'!BX329,2)</f>
        <v>81992.95</v>
      </c>
      <c r="L32" s="142">
        <f>ROUND('[5]Monthly TD Calc'!BY329,2)</f>
        <v>95655.97</v>
      </c>
      <c r="M32" s="79"/>
    </row>
    <row r="33" spans="1:15" x14ac:dyDescent="0.25">
      <c r="A33" s="46" t="s">
        <v>109</v>
      </c>
      <c r="C33" s="193">
        <v>-26342.07</v>
      </c>
      <c r="D33" s="196"/>
      <c r="E33" s="109">
        <f>ROUND('[5]Monthly TD Calc'!BR330,2)</f>
        <v>12740.14</v>
      </c>
      <c r="F33" s="109">
        <f>ROUND('[5]Monthly TD Calc'!BS330,2)</f>
        <v>13601.93</v>
      </c>
      <c r="G33" s="110">
        <f>ROUND('[5]Monthly TD Calc'!BT330,2)</f>
        <v>13800.08</v>
      </c>
      <c r="H33" s="16">
        <f>ROUND('[5]Monthly TD Calc'!BU330,2)</f>
        <v>12513.73</v>
      </c>
      <c r="I33" s="55">
        <f>ROUND('[5]Monthly TD Calc'!BV330,2)</f>
        <v>13965.76</v>
      </c>
      <c r="J33" s="170">
        <f>ROUND('[5]Monthly TD Calc'!BW330,2)</f>
        <v>12679.46</v>
      </c>
      <c r="K33" s="160">
        <f>ROUND('[5]Monthly TD Calc'!BX330,2)</f>
        <v>14070.41</v>
      </c>
      <c r="L33" s="142">
        <f>ROUND('[5]Monthly TD Calc'!BY330,2)</f>
        <v>17501.97</v>
      </c>
      <c r="M33" s="79"/>
      <c r="O33" s="47"/>
    </row>
    <row r="34" spans="1:15" x14ac:dyDescent="0.25">
      <c r="C34" s="99"/>
      <c r="D34" s="197"/>
      <c r="E34" s="18"/>
      <c r="F34" s="18"/>
      <c r="G34" s="18"/>
      <c r="H34" s="91"/>
      <c r="I34" s="18"/>
      <c r="J34" s="166"/>
      <c r="K34" s="56"/>
      <c r="L34" s="56"/>
      <c r="M34" s="13"/>
    </row>
    <row r="35" spans="1:15" ht="15.75" thickBot="1" x14ac:dyDescent="0.3">
      <c r="A35" s="3" t="s">
        <v>15</v>
      </c>
      <c r="B35" s="3"/>
      <c r="C35" s="195">
        <v>-3014.77</v>
      </c>
      <c r="D35" s="201"/>
      <c r="E35" s="135">
        <v>1451.8899999999999</v>
      </c>
      <c r="F35" s="135">
        <v>1612.3400000000001</v>
      </c>
      <c r="G35" s="136">
        <v>1714.35</v>
      </c>
      <c r="H35" s="26">
        <v>1682.9</v>
      </c>
      <c r="I35" s="122">
        <v>1696.54</v>
      </c>
      <c r="J35" s="172">
        <v>1694.06</v>
      </c>
      <c r="K35" s="161">
        <v>1579.18</v>
      </c>
      <c r="L35" s="144">
        <v>1596.97</v>
      </c>
      <c r="M35" s="82"/>
    </row>
    <row r="36" spans="1:15" x14ac:dyDescent="0.25">
      <c r="C36" s="64"/>
      <c r="D36" s="204"/>
      <c r="E36" s="66"/>
      <c r="F36" s="66"/>
      <c r="G36" s="33"/>
      <c r="H36" s="64"/>
      <c r="I36" s="33"/>
      <c r="J36" s="173"/>
      <c r="K36" s="34"/>
      <c r="L36" s="34"/>
      <c r="M36" s="60"/>
    </row>
    <row r="37" spans="1:15" x14ac:dyDescent="0.25">
      <c r="A37" s="46" t="s">
        <v>52</v>
      </c>
      <c r="C37" s="65"/>
      <c r="D37" s="205"/>
      <c r="E37" s="35"/>
      <c r="F37" s="35"/>
      <c r="G37" s="35"/>
      <c r="H37" s="65"/>
      <c r="I37" s="35"/>
      <c r="J37" s="174"/>
      <c r="K37" s="34"/>
      <c r="L37" s="34"/>
      <c r="M37" s="60"/>
    </row>
    <row r="38" spans="1:15" x14ac:dyDescent="0.25">
      <c r="A38" s="46" t="s">
        <v>24</v>
      </c>
      <c r="C38" s="202">
        <f t="shared" ref="C38:M38" si="6">C30-C18</f>
        <v>54940.243200000026</v>
      </c>
      <c r="D38" s="206">
        <f t="shared" si="6"/>
        <v>0</v>
      </c>
      <c r="E38" s="41">
        <f t="shared" si="6"/>
        <v>64080.209999999992</v>
      </c>
      <c r="F38" s="41">
        <f t="shared" si="6"/>
        <v>57991.479999999981</v>
      </c>
      <c r="G38" s="108">
        <f t="shared" si="6"/>
        <v>4040.4700000000012</v>
      </c>
      <c r="H38" s="40">
        <f t="shared" si="6"/>
        <v>-151744.78000000003</v>
      </c>
      <c r="I38" s="41">
        <f t="shared" si="6"/>
        <v>-113803.67000000001</v>
      </c>
      <c r="J38" s="61">
        <f t="shared" si="6"/>
        <v>-62386.649999999994</v>
      </c>
      <c r="K38" s="123">
        <f t="shared" si="6"/>
        <v>-15127.010519999982</v>
      </c>
      <c r="L38" s="41">
        <f t="shared" si="6"/>
        <v>42451.125039999984</v>
      </c>
      <c r="M38" s="61">
        <f t="shared" si="6"/>
        <v>-331133.31216000003</v>
      </c>
    </row>
    <row r="39" spans="1:15" x14ac:dyDescent="0.25">
      <c r="A39" s="46" t="s">
        <v>25</v>
      </c>
      <c r="C39" s="202">
        <f>SUM(C31:C33)-SUM(C19:C21)</f>
        <v>-30870.126010000007</v>
      </c>
      <c r="D39" s="206">
        <f t="shared" ref="D39:M39" si="7">SUM(D31:D33)-SUM(D19:D21)</f>
        <v>0</v>
      </c>
      <c r="E39" s="41">
        <f t="shared" si="7"/>
        <v>72774.339999999967</v>
      </c>
      <c r="F39" s="41">
        <f t="shared" si="7"/>
        <v>60324.22</v>
      </c>
      <c r="G39" s="108">
        <f t="shared" si="7"/>
        <v>50981.12999999999</v>
      </c>
      <c r="H39" s="40">
        <f t="shared" si="7"/>
        <v>-75598.600000000006</v>
      </c>
      <c r="I39" s="41">
        <f t="shared" si="7"/>
        <v>-55940.649999999965</v>
      </c>
      <c r="J39" s="61">
        <f t="shared" si="7"/>
        <v>-42714.160000000033</v>
      </c>
      <c r="K39" s="123">
        <f t="shared" si="7"/>
        <v>-24656.703569999983</v>
      </c>
      <c r="L39" s="41">
        <f t="shared" si="7"/>
        <v>32979.497430000047</v>
      </c>
      <c r="M39" s="61">
        <f t="shared" si="7"/>
        <v>-218338.43770999997</v>
      </c>
    </row>
    <row r="40" spans="1:15" x14ac:dyDescent="0.25">
      <c r="C40" s="99"/>
      <c r="D40" s="197"/>
      <c r="E40" s="17"/>
      <c r="F40" s="17"/>
      <c r="G40" s="17"/>
      <c r="H40" s="10"/>
      <c r="I40" s="17"/>
      <c r="J40" s="11"/>
      <c r="K40" s="17"/>
      <c r="L40" s="17"/>
      <c r="M40" s="11"/>
    </row>
    <row r="41" spans="1:15" ht="15.75" thickBot="1" x14ac:dyDescent="0.3">
      <c r="A41" s="46" t="s">
        <v>53</v>
      </c>
      <c r="C41" s="99"/>
      <c r="D41" s="197"/>
      <c r="E41" s="17"/>
      <c r="F41" s="17"/>
      <c r="G41" s="17"/>
      <c r="H41" s="10"/>
      <c r="I41" s="17"/>
      <c r="J41" s="11"/>
      <c r="K41" s="17"/>
      <c r="L41" s="17"/>
      <c r="M41" s="11"/>
    </row>
    <row r="42" spans="1:15" x14ac:dyDescent="0.25">
      <c r="A42" s="46" t="s">
        <v>24</v>
      </c>
      <c r="B42" s="116">
        <v>668401.38680000021</v>
      </c>
      <c r="C42" s="202">
        <f t="shared" ref="C42:E43" si="8">+B42+C38+B47</f>
        <v>723341.63000000024</v>
      </c>
      <c r="D42" s="206">
        <f t="shared" si="8"/>
        <v>721612.33000000019</v>
      </c>
      <c r="E42" s="41">
        <f t="shared" si="8"/>
        <v>785692.54000000015</v>
      </c>
      <c r="F42" s="41">
        <f t="shared" ref="F42:M42" si="9">+E42+F38+E47</f>
        <v>844525.66000000015</v>
      </c>
      <c r="G42" s="108">
        <f t="shared" si="9"/>
        <v>849486.20000000007</v>
      </c>
      <c r="H42" s="40">
        <f t="shared" si="9"/>
        <v>698698.87</v>
      </c>
      <c r="I42" s="41">
        <f t="shared" si="9"/>
        <v>585804.86</v>
      </c>
      <c r="J42" s="61">
        <f t="shared" si="9"/>
        <v>524300.30999999994</v>
      </c>
      <c r="K42" s="123">
        <f t="shared" si="9"/>
        <v>510028.48947999993</v>
      </c>
      <c r="L42" s="41">
        <f t="shared" si="9"/>
        <v>553276.45451999991</v>
      </c>
      <c r="M42" s="61">
        <f t="shared" si="9"/>
        <v>222962.24235999989</v>
      </c>
    </row>
    <row r="43" spans="1:15" ht="15.75" thickBot="1" x14ac:dyDescent="0.3">
      <c r="A43" s="46" t="s">
        <v>25</v>
      </c>
      <c r="B43" s="117">
        <v>542218.56027999986</v>
      </c>
      <c r="C43" s="202">
        <f t="shared" si="8"/>
        <v>511348.43426999985</v>
      </c>
      <c r="D43" s="206">
        <f t="shared" si="8"/>
        <v>510062.96426999988</v>
      </c>
      <c r="E43" s="41">
        <f t="shared" si="8"/>
        <v>582837.30426999985</v>
      </c>
      <c r="F43" s="41">
        <f t="shared" ref="F43:M43" si="10">+E43+F39+E48</f>
        <v>643771.77426999982</v>
      </c>
      <c r="G43" s="108">
        <f t="shared" si="10"/>
        <v>695445.17426999984</v>
      </c>
      <c r="H43" s="40">
        <f t="shared" si="10"/>
        <v>620603.47426999989</v>
      </c>
      <c r="I43" s="41">
        <f t="shared" si="10"/>
        <v>565436.05426999996</v>
      </c>
      <c r="J43" s="61">
        <f t="shared" si="10"/>
        <v>523536.33426999993</v>
      </c>
      <c r="K43" s="123">
        <f t="shared" si="10"/>
        <v>499718.50069999998</v>
      </c>
      <c r="L43" s="41">
        <f t="shared" si="10"/>
        <v>533486.29813000001</v>
      </c>
      <c r="M43" s="61">
        <f t="shared" si="10"/>
        <v>315943.78042000002</v>
      </c>
    </row>
    <row r="44" spans="1:15" x14ac:dyDescent="0.25">
      <c r="C44" s="99"/>
      <c r="D44" s="197"/>
      <c r="E44" s="17"/>
      <c r="F44" s="17"/>
      <c r="G44" s="17"/>
      <c r="H44" s="10"/>
      <c r="I44" s="17"/>
      <c r="J44" s="11"/>
      <c r="K44" s="17"/>
      <c r="L44" s="17"/>
      <c r="M44" s="11"/>
    </row>
    <row r="45" spans="1:15" x14ac:dyDescent="0.25">
      <c r="A45" s="39" t="s">
        <v>123</v>
      </c>
      <c r="B45" s="39"/>
      <c r="C45" s="104"/>
      <c r="D45" s="207"/>
      <c r="E45" s="83">
        <f>+'PCR Cycle 2'!D47</f>
        <v>1.1167499999999999E-3</v>
      </c>
      <c r="F45" s="83">
        <f>+'PCR Cycle 2'!E47</f>
        <v>1.1281900000000001E-3</v>
      </c>
      <c r="G45" s="83">
        <f>+'PCR Cycle 2'!F47</f>
        <v>1.1297799999999999E-3</v>
      </c>
      <c r="H45" s="84">
        <f>+'PCR Cycle 2'!G47</f>
        <v>1.1744100000000001E-3</v>
      </c>
      <c r="I45" s="83">
        <f>+'PCR Cycle 2'!H47</f>
        <v>1.3724799999999999E-3</v>
      </c>
      <c r="J45" s="92">
        <f>+'PCR Cycle 2'!I47</f>
        <v>1.53951E-3</v>
      </c>
      <c r="K45" s="83">
        <f>+'PCR Cycle 2'!J47</f>
        <v>1.53951E-3</v>
      </c>
      <c r="L45" s="83">
        <f>+'PCR Cycle 2'!K47</f>
        <v>1.53951E-3</v>
      </c>
      <c r="M45" s="85"/>
    </row>
    <row r="46" spans="1:15" x14ac:dyDescent="0.25">
      <c r="A46" s="39" t="s">
        <v>37</v>
      </c>
      <c r="B46" s="39"/>
      <c r="C46" s="106"/>
      <c r="D46" s="208"/>
      <c r="E46" s="83"/>
      <c r="F46" s="83"/>
      <c r="G46" s="83"/>
      <c r="H46" s="84"/>
      <c r="I46" s="83"/>
      <c r="J46" s="85"/>
      <c r="K46" s="83"/>
      <c r="L46" s="83"/>
      <c r="M46" s="85"/>
    </row>
    <row r="47" spans="1:15" x14ac:dyDescent="0.25">
      <c r="A47" s="46" t="s">
        <v>24</v>
      </c>
      <c r="C47" s="202">
        <v>-1729.3</v>
      </c>
      <c r="D47" s="206"/>
      <c r="E47" s="41">
        <f>ROUND((D42+D47+E38/2)*E$45,2)</f>
        <v>841.64</v>
      </c>
      <c r="F47" s="41">
        <f t="shared" ref="F47:F48" si="11">ROUND((E42+E47+F38/2)*F$45,2)</f>
        <v>920.07</v>
      </c>
      <c r="G47" s="108">
        <f t="shared" ref="G47:G48" si="12">ROUND((F42+F47+G38/2)*G$45,2)</f>
        <v>957.45</v>
      </c>
      <c r="H47" s="40">
        <f t="shared" ref="H47:H48" si="13">ROUND((G42+G47+H38/2)*H$45,2)</f>
        <v>909.66</v>
      </c>
      <c r="I47" s="123">
        <f t="shared" ref="I47:J48" si="14">ROUND((H42+H47+I38/2)*I$45,2)</f>
        <v>882.1</v>
      </c>
      <c r="J47" s="61">
        <f t="shared" si="14"/>
        <v>855.19</v>
      </c>
      <c r="K47" s="162">
        <f t="shared" ref="K47:K48" si="15">ROUND((J42+J47+K38/2)*K$45,2)</f>
        <v>796.84</v>
      </c>
      <c r="L47" s="108">
        <f t="shared" ref="L47:L48" si="16">ROUND((K42+K47+L38/2)*L$45,2)</f>
        <v>819.1</v>
      </c>
      <c r="M47" s="61">
        <f t="shared" ref="M47:M48" si="17">ROUND((L42+L47+M38/2)*M$45,2)</f>
        <v>0</v>
      </c>
    </row>
    <row r="48" spans="1:15" ht="15.75" thickBot="1" x14ac:dyDescent="0.3">
      <c r="A48" s="46" t="s">
        <v>25</v>
      </c>
      <c r="C48" s="202">
        <v>-1285.47</v>
      </c>
      <c r="D48" s="206"/>
      <c r="E48" s="41">
        <f>ROUND((D43+D48+E39/2)*E$45,2)</f>
        <v>610.25</v>
      </c>
      <c r="F48" s="41">
        <f t="shared" si="11"/>
        <v>692.27</v>
      </c>
      <c r="G48" s="108">
        <f t="shared" si="12"/>
        <v>756.9</v>
      </c>
      <c r="H48" s="40">
        <f t="shared" si="13"/>
        <v>773.23</v>
      </c>
      <c r="I48" s="123">
        <f t="shared" si="14"/>
        <v>814.44</v>
      </c>
      <c r="J48" s="61">
        <f t="shared" si="14"/>
        <v>838.87</v>
      </c>
      <c r="K48" s="162">
        <f t="shared" si="15"/>
        <v>788.3</v>
      </c>
      <c r="L48" s="108">
        <f t="shared" si="16"/>
        <v>795.92</v>
      </c>
      <c r="M48" s="61">
        <f t="shared" si="17"/>
        <v>0</v>
      </c>
    </row>
    <row r="49" spans="1:13" ht="16.5" thickTop="1" thickBot="1" x14ac:dyDescent="0.3">
      <c r="A49" s="54" t="s">
        <v>22</v>
      </c>
      <c r="B49" s="54"/>
      <c r="C49" s="203">
        <v>0</v>
      </c>
      <c r="D49" s="209"/>
      <c r="E49" s="42">
        <f>SUM(E47:E48)+SUM(E42:E43)-E52</f>
        <v>0</v>
      </c>
      <c r="F49" s="42">
        <f t="shared" ref="F49:M49" si="18">SUM(F47:F48)+SUM(F42:F43)-F52</f>
        <v>0</v>
      </c>
      <c r="G49" s="50">
        <f t="shared" si="18"/>
        <v>0</v>
      </c>
      <c r="H49" s="51">
        <f t="shared" si="18"/>
        <v>0</v>
      </c>
      <c r="I49" s="42">
        <f t="shared" si="18"/>
        <v>0</v>
      </c>
      <c r="J49" s="62">
        <f t="shared" si="18"/>
        <v>0</v>
      </c>
      <c r="K49" s="163">
        <f t="shared" si="18"/>
        <v>0</v>
      </c>
      <c r="L49" s="50">
        <f t="shared" si="18"/>
        <v>0</v>
      </c>
      <c r="M49" s="62">
        <f t="shared" si="18"/>
        <v>0</v>
      </c>
    </row>
    <row r="50" spans="1:13" ht="16.5" thickTop="1" thickBot="1" x14ac:dyDescent="0.3">
      <c r="A50" s="54" t="s">
        <v>23</v>
      </c>
      <c r="B50" s="54"/>
      <c r="C50" s="203">
        <v>0</v>
      </c>
      <c r="D50" s="209"/>
      <c r="E50" s="42">
        <f>SUM(E47:E48)-E35</f>
        <v>0</v>
      </c>
      <c r="F50" s="42">
        <f t="shared" ref="F50:J50" si="19">SUM(F47:F48)-F35</f>
        <v>0</v>
      </c>
      <c r="G50" s="50">
        <f t="shared" ref="G50:I50" si="20">SUM(G47:G48)-G35</f>
        <v>0</v>
      </c>
      <c r="H50" s="51">
        <f t="shared" si="20"/>
        <v>-1.0000000000218279E-2</v>
      </c>
      <c r="I50" s="42">
        <f t="shared" si="20"/>
        <v>0</v>
      </c>
      <c r="J50" s="62">
        <f t="shared" si="19"/>
        <v>0</v>
      </c>
      <c r="K50" s="164">
        <f t="shared" ref="K50:M50" si="21">SUM(K47:K48)-K35</f>
        <v>5.959999999999809</v>
      </c>
      <c r="L50" s="42">
        <f t="shared" si="21"/>
        <v>18.049999999999955</v>
      </c>
      <c r="M50" s="42">
        <f t="shared" si="21"/>
        <v>0</v>
      </c>
    </row>
    <row r="51" spans="1:13" ht="16.5" thickTop="1" thickBot="1" x14ac:dyDescent="0.3">
      <c r="C51" s="99"/>
      <c r="D51" s="197"/>
      <c r="E51" s="17"/>
      <c r="F51" s="17"/>
      <c r="G51" s="17"/>
      <c r="H51" s="10"/>
      <c r="I51" s="17"/>
      <c r="J51" s="11"/>
      <c r="K51" s="17"/>
      <c r="L51" s="17"/>
      <c r="M51" s="11"/>
    </row>
    <row r="52" spans="1:13" ht="15.75" thickBot="1" x14ac:dyDescent="0.3">
      <c r="A52" s="46" t="s">
        <v>36</v>
      </c>
      <c r="B52" s="119">
        <f>+B42+B43</f>
        <v>1210619.9470800001</v>
      </c>
      <c r="C52" s="202">
        <f t="shared" ref="C52:M52" si="22">(C15-SUM(C18:C21))+SUM(C47:C48)+B52</f>
        <v>1231675.2942700002</v>
      </c>
      <c r="D52" s="206">
        <f t="shared" si="22"/>
        <v>1231675.2942700002</v>
      </c>
      <c r="E52" s="41">
        <f t="shared" si="22"/>
        <v>1369981.7342700001</v>
      </c>
      <c r="F52" s="41">
        <f t="shared" si="22"/>
        <v>1489909.7742700002</v>
      </c>
      <c r="G52" s="108">
        <f t="shared" si="22"/>
        <v>1546645.7242700001</v>
      </c>
      <c r="H52" s="40">
        <f t="shared" si="22"/>
        <v>1320985.2342700001</v>
      </c>
      <c r="I52" s="41">
        <f t="shared" si="22"/>
        <v>1152937.4542700001</v>
      </c>
      <c r="J52" s="61">
        <f t="shared" si="22"/>
        <v>1049530.7042700001</v>
      </c>
      <c r="K52" s="162">
        <f t="shared" si="22"/>
        <v>1011332.1301800001</v>
      </c>
      <c r="L52" s="108">
        <f t="shared" si="22"/>
        <v>1088377.7726499999</v>
      </c>
      <c r="M52" s="61">
        <f t="shared" si="22"/>
        <v>538906.02278</v>
      </c>
    </row>
    <row r="53" spans="1:13" x14ac:dyDescent="0.25">
      <c r="A53" s="46" t="s">
        <v>12</v>
      </c>
      <c r="C53" s="120"/>
      <c r="D53" s="210"/>
      <c r="E53" s="17"/>
      <c r="F53" s="17"/>
      <c r="G53" s="17"/>
      <c r="H53" s="10"/>
      <c r="I53" s="17"/>
      <c r="J53" s="11"/>
      <c r="K53" s="17"/>
      <c r="L53" s="17"/>
      <c r="M53" s="11"/>
    </row>
    <row r="54" spans="1:13" ht="15.75" thickBot="1" x14ac:dyDescent="0.3">
      <c r="A54" s="37"/>
      <c r="B54" s="37"/>
      <c r="C54" s="147"/>
      <c r="D54" s="211"/>
      <c r="E54" s="44"/>
      <c r="F54" s="44"/>
      <c r="G54" s="44"/>
      <c r="H54" s="43"/>
      <c r="I54" s="44"/>
      <c r="J54" s="45"/>
      <c r="K54" s="44"/>
      <c r="L54" s="44"/>
      <c r="M54" s="45"/>
    </row>
    <row r="56" spans="1:13" x14ac:dyDescent="0.25">
      <c r="A56" s="69" t="s">
        <v>11</v>
      </c>
      <c r="B56" s="69"/>
      <c r="C56" s="69"/>
      <c r="D56" s="69"/>
    </row>
    <row r="57" spans="1:13" ht="34.5" customHeight="1" x14ac:dyDescent="0.25">
      <c r="A57" s="310" t="s">
        <v>190</v>
      </c>
      <c r="B57" s="310"/>
      <c r="C57" s="310"/>
      <c r="D57" s="310"/>
      <c r="E57" s="310"/>
      <c r="F57" s="310"/>
      <c r="G57" s="310"/>
      <c r="H57" s="310"/>
      <c r="I57" s="310"/>
      <c r="J57" s="310"/>
      <c r="K57" s="192"/>
      <c r="L57" s="145"/>
      <c r="M57" s="145"/>
    </row>
    <row r="58" spans="1:13" ht="42.75" customHeight="1" x14ac:dyDescent="0.25">
      <c r="A58" s="310" t="s">
        <v>209</v>
      </c>
      <c r="B58" s="310"/>
      <c r="C58" s="310"/>
      <c r="D58" s="310"/>
      <c r="E58" s="310"/>
      <c r="F58" s="310"/>
      <c r="G58" s="310"/>
      <c r="H58" s="310"/>
      <c r="I58" s="310"/>
      <c r="J58" s="310"/>
      <c r="K58" s="310"/>
      <c r="L58" s="145"/>
      <c r="M58" s="145"/>
    </row>
    <row r="59" spans="1:13" ht="33.75" customHeight="1" x14ac:dyDescent="0.25">
      <c r="A59" s="310" t="s">
        <v>191</v>
      </c>
      <c r="B59" s="310"/>
      <c r="C59" s="310"/>
      <c r="D59" s="310"/>
      <c r="E59" s="310"/>
      <c r="F59" s="310"/>
      <c r="G59" s="310"/>
      <c r="H59" s="310"/>
      <c r="I59" s="310"/>
      <c r="J59" s="310"/>
      <c r="K59" s="192"/>
      <c r="L59" s="145"/>
      <c r="M59" s="145"/>
    </row>
    <row r="60" spans="1:13" x14ac:dyDescent="0.25">
      <c r="A60" s="3" t="s">
        <v>67</v>
      </c>
      <c r="B60" s="3"/>
      <c r="C60" s="3"/>
      <c r="D60" s="3"/>
    </row>
    <row r="61" spans="1:13" x14ac:dyDescent="0.25">
      <c r="A61" s="63" t="s">
        <v>187</v>
      </c>
      <c r="B61" s="3"/>
      <c r="C61" s="3"/>
      <c r="D61" s="3"/>
    </row>
    <row r="62" spans="1:13" x14ac:dyDescent="0.25">
      <c r="A62" s="3" t="s">
        <v>70</v>
      </c>
      <c r="B62" s="3"/>
      <c r="C62" s="3"/>
      <c r="D62" s="3"/>
    </row>
    <row r="63" spans="1:13" x14ac:dyDescent="0.25">
      <c r="A63" s="3" t="s">
        <v>192</v>
      </c>
      <c r="B63" s="3"/>
      <c r="C63" s="3"/>
      <c r="D63" s="3"/>
    </row>
  </sheetData>
  <mergeCells count="6">
    <mergeCell ref="A59:J59"/>
    <mergeCell ref="E13:G13"/>
    <mergeCell ref="A57:J57"/>
    <mergeCell ref="A58:K58"/>
    <mergeCell ref="H13:J13"/>
    <mergeCell ref="K13:M13"/>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omments0 xmlns="37C40F9E-044B-4F26-A90E-5C1316E5253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8B3B3C2A568948A3B61DE5471DEA1E" ma:contentTypeVersion="0" ma:contentTypeDescription="Create a new document." ma:contentTypeScope="" ma:versionID="e21325dc62556425e3e549579d3cac03">
  <xsd:schema xmlns:xsd="http://www.w3.org/2001/XMLSchema" xmlns:p="http://schemas.microsoft.com/office/2006/metadata/properties" xmlns:ns2="37C40F9E-044B-4F26-A90E-5C1316E52537" targetNamespace="http://schemas.microsoft.com/office/2006/metadata/properties" ma:root="true" ma:fieldsID="4b5ea1123175a8313d90db415902c5cf" ns2:_="">
    <xsd:import namespace="37C40F9E-044B-4F26-A90E-5C1316E52537"/>
    <xsd:element name="properties">
      <xsd:complexType>
        <xsd:sequence>
          <xsd:element name="documentManagement">
            <xsd:complexType>
              <xsd:all>
                <xsd:element ref="ns2:Comments0" minOccurs="0"/>
              </xsd:all>
            </xsd:complexType>
          </xsd:element>
        </xsd:sequence>
      </xsd:complexType>
    </xsd:element>
  </xsd:schema>
  <xsd:schema xmlns:xsd="http://www.w3.org/2001/XMLSchema" xmlns:dms="http://schemas.microsoft.com/office/2006/documentManagement/types" targetNamespace="37C40F9E-044B-4F26-A90E-5C1316E52537" elementFormDefault="qualified">
    <xsd:import namespace="http://schemas.microsoft.com/office/2006/documentManagement/types"/>
    <xsd:element name="Comments0" ma:index="8" nillable="true" ma:displayName="Comments" ma:description="Comments" ma:internalName="Comments0">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BE680F6-EEBC-41A4-AEB5-0B773B5EACA2}">
  <ds:schemaRefs>
    <ds:schemaRef ds:uri="http://purl.org/dc/elements/1.1/"/>
    <ds:schemaRef ds:uri="http://purl.org/dc/dcmitype/"/>
    <ds:schemaRef ds:uri="http://www.w3.org/XML/1998/namespace"/>
    <ds:schemaRef ds:uri="37C40F9E-044B-4F26-A90E-5C1316E52537"/>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FE36353-2D23-4413-BFF3-128FB6002D9C}">
  <ds:schemaRefs>
    <ds:schemaRef ds:uri="http://schemas.microsoft.com/sharepoint/v3/contenttype/forms"/>
  </ds:schemaRefs>
</ds:datastoreItem>
</file>

<file path=customXml/itemProps3.xml><?xml version="1.0" encoding="utf-8"?>
<ds:datastoreItem xmlns:ds="http://schemas.openxmlformats.org/officeDocument/2006/customXml" ds:itemID="{6C7C2647-B5FC-4364-86FA-9C4ECAED7A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C40F9E-044B-4F26-A90E-5C1316E5253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tariff tables</vt:lpstr>
      <vt:lpstr>tariff tables v. current tariff</vt:lpstr>
      <vt:lpstr>DSIM Cycle Tables</vt:lpstr>
      <vt:lpstr>PPC Cycle 3</vt:lpstr>
      <vt:lpstr>PCR Cycle 2</vt:lpstr>
      <vt:lpstr>PCR Cycle 3</vt:lpstr>
      <vt:lpstr>PTD Cycle 2</vt:lpstr>
      <vt:lpstr>PTD Cycle 3</vt:lpstr>
      <vt:lpstr>TDR Cycle 2</vt:lpstr>
      <vt:lpstr>TDR Cycle 3</vt:lpstr>
      <vt:lpstr>EO Cycle 2</vt:lpstr>
      <vt:lpstr>EO Cycle 3</vt:lpstr>
      <vt:lpstr>EOR Cycle 2</vt:lpstr>
      <vt:lpstr>EOR Cycle 3</vt:lpstr>
      <vt:lpstr>OA Cycle 2</vt:lpstr>
      <vt:lpstr>OAR Cycle 2</vt:lpstr>
      <vt:lpstr>'PCR Cycle 2'!Print_Area</vt:lpstr>
      <vt:lpstr>'PCR Cycle 3'!Print_Area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Mark Foltz</cp:lastModifiedBy>
  <cp:lastPrinted>2019-05-23T21:26:27Z</cp:lastPrinted>
  <dcterms:created xsi:type="dcterms:W3CDTF">2013-08-12T19:20:10Z</dcterms:created>
  <dcterms:modified xsi:type="dcterms:W3CDTF">2022-05-26T18:21:13Z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0x0101009C8B3B3C2A568948A3B61DE5471DEA1E</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2022-05-26T18:21:13Z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befa84a7-27ca-45d2-a382-6bbf85e8cb56</vt:lpwstr>
  </property>
  <property fmtid="{D5CDD505-2E9C-101B-9397-08002B2CF9AE}" pid="11" name="MSIP_Label_d275ac46-98b9-4d64-949f-e82ee8dc823c_ContentBits">
    <vt:lpwstr>3</vt:lpwstr>
  </property>
</Properties>
</file>