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3-06\"/>
    </mc:Choice>
  </mc:AlternateContent>
  <xr:revisionPtr revIDLastSave="0" documentId="8_{531AEEDA-CD70-4E24-85E0-22819D66185B}" xr6:coauthVersionLast="47" xr6:coauthVersionMax="47" xr10:uidLastSave="{00000000-0000-0000-0000-000000000000}"/>
  <bookViews>
    <workbookView xWindow="28680" yWindow="-120" windowWidth="29040" windowHeight="15840" tabRatio="740" xr2:uid="{00000000-000D-0000-FFFF-FFFF00000000}"/>
  </bookViews>
  <sheets>
    <sheet name="Index Table of Contents" sheetId="32" r:id="rId1"/>
    <sheet name="Tariff Tables" sheetId="5"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 Cycle 3" sheetId="28" r:id="rId12"/>
    <sheet name="EOR Cycle 2" sheetId="23" r:id="rId13"/>
    <sheet name="EOR Cycle 3" sheetId="29" r:id="rId14"/>
    <sheet name="OA Cycle 2" sheetId="10" r:id="rId15"/>
    <sheet name="OA Cycle 3" sheetId="30" r:id="rId16"/>
    <sheet name="OAR Cycle 2" sheetId="13"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Area" localSheetId="4">'PCR Cycle 2'!$A$1:$N$64</definedName>
    <definedName name="_xlnm.Print_Area" localSheetId="5">'PCR Cycle 3'!$A$1:$O$64</definedName>
    <definedName name="solver_adj" localSheetId="4" hidden="1">'PCR Cycle 2'!$E$47</definedName>
    <definedName name="solver_adj" localSheetId="5" hidden="1">'PCR Cycle 3'!$F$45</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2'!$E$52</definedName>
    <definedName name="solver_opt" localSheetId="5" hidden="1">'PCR Cycle 3'!$F$52</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2" l="1"/>
  <c r="E8" i="18" l="1"/>
  <c r="E7" i="18"/>
  <c r="E6" i="18"/>
  <c r="E5" i="18"/>
  <c r="D8" i="18"/>
  <c r="D7" i="18"/>
  <c r="D6" i="18"/>
  <c r="D5" i="18"/>
  <c r="L17" i="22"/>
  <c r="K17" i="22"/>
  <c r="L16" i="22"/>
  <c r="K16" i="22"/>
  <c r="L15" i="22"/>
  <c r="K15" i="22"/>
  <c r="L14" i="22"/>
  <c r="K14" i="22"/>
  <c r="E8" i="19" l="1"/>
  <c r="E9" i="19"/>
  <c r="E7" i="19" l="1"/>
  <c r="E6" i="19"/>
  <c r="K24" i="24" l="1"/>
  <c r="L24" i="24"/>
  <c r="K30" i="24" l="1"/>
  <c r="L30" i="24"/>
  <c r="L23" i="24" l="1"/>
  <c r="K23" i="24" l="1"/>
  <c r="L29" i="24"/>
  <c r="K22" i="24"/>
  <c r="K29" i="24"/>
  <c r="K21" i="24"/>
  <c r="L22" i="24" l="1"/>
  <c r="L21" i="24"/>
  <c r="K28" i="24" l="1"/>
  <c r="K27" i="24"/>
  <c r="L28" i="24" l="1"/>
  <c r="L27" i="24"/>
  <c r="B9" i="19" l="1"/>
  <c r="D9" i="19" l="1"/>
  <c r="B8" i="19"/>
  <c r="B7" i="19" l="1"/>
  <c r="D8" i="19"/>
  <c r="B6" i="19"/>
  <c r="D7" i="19" l="1"/>
  <c r="D6" i="19"/>
  <c r="B52" i="28" l="1"/>
  <c r="B57" i="28"/>
  <c r="B56" i="28"/>
  <c r="B55" i="28"/>
  <c r="B51" i="28"/>
  <c r="D56" i="28" l="1"/>
  <c r="D57" i="28"/>
  <c r="D51" i="28" l="1"/>
  <c r="C57" i="28" l="1"/>
  <c r="C56" i="28"/>
  <c r="C51" i="28"/>
  <c r="D55" i="28"/>
  <c r="D52" i="28" s="1"/>
  <c r="E57" i="28" l="1"/>
  <c r="C55" i="28" l="1"/>
  <c r="C52" i="28" s="1"/>
  <c r="E51" i="28" l="1"/>
  <c r="E55" i="28"/>
  <c r="E56" i="28" l="1"/>
  <c r="E52" i="28" s="1"/>
  <c r="B13" i="8" l="1"/>
  <c r="B12" i="8"/>
  <c r="B11" i="8"/>
  <c r="B8" i="8"/>
  <c r="B7" i="8"/>
  <c r="B81" i="8" l="1"/>
  <c r="C80" i="8" l="1"/>
  <c r="C7" i="8" s="1"/>
  <c r="C85" i="8"/>
  <c r="C12" i="8" s="1"/>
  <c r="C86" i="8"/>
  <c r="C13" i="8" s="1"/>
  <c r="D80" i="8" l="1"/>
  <c r="D7" i="8" s="1"/>
  <c r="D86" i="8" l="1"/>
  <c r="D13" i="8" s="1"/>
  <c r="D85" i="8"/>
  <c r="D12" i="8" s="1"/>
  <c r="D84" i="8" l="1"/>
  <c r="C84" i="8"/>
  <c r="C81" i="8" l="1"/>
  <c r="C8" i="8" s="1"/>
  <c r="C11" i="8"/>
  <c r="D81" i="8"/>
  <c r="D8" i="8" s="1"/>
  <c r="D11" i="8"/>
  <c r="E84" i="8" l="1"/>
  <c r="E11" i="8" s="1"/>
  <c r="E86" i="8" l="1"/>
  <c r="E13" i="8" s="1"/>
  <c r="E85" i="8" l="1"/>
  <c r="E12" i="8" s="1"/>
  <c r="E80" i="8" l="1"/>
  <c r="E7" i="8" s="1"/>
  <c r="E81" i="8" l="1"/>
  <c r="E8" i="8" s="1"/>
  <c r="E87" i="8"/>
  <c r="D87" i="8"/>
  <c r="C87" i="8"/>
  <c r="B87" i="8"/>
  <c r="F86" i="8"/>
  <c r="F85" i="8"/>
  <c r="F84" i="8"/>
  <c r="G84" i="8" s="1"/>
  <c r="D82" i="8"/>
  <c r="C82" i="8"/>
  <c r="B82" i="8"/>
  <c r="F80" i="8"/>
  <c r="G86" i="8" l="1"/>
  <c r="G13" i="8" s="1"/>
  <c r="G85" i="8"/>
  <c r="G12" i="8" s="1"/>
  <c r="G80" i="8"/>
  <c r="G7" i="8" s="1"/>
  <c r="E82" i="8"/>
  <c r="F81" i="8"/>
  <c r="F82" i="8" s="1"/>
  <c r="F87" i="8"/>
  <c r="G11" i="8"/>
  <c r="G87" i="8" l="1"/>
  <c r="G81" i="8"/>
  <c r="G82" i="8" l="1"/>
  <c r="G8" i="8"/>
  <c r="AA12" i="5" l="1"/>
  <c r="F15" i="5"/>
  <c r="F14" i="5"/>
  <c r="F13" i="5"/>
  <c r="F12" i="5"/>
  <c r="E24" i="24" l="1"/>
  <c r="E21" i="24"/>
  <c r="E23" i="24"/>
  <c r="E30" i="24" l="1"/>
  <c r="E29" i="24"/>
  <c r="E22" i="24" l="1"/>
  <c r="F24" i="24"/>
  <c r="F23" i="24"/>
  <c r="F21" i="24"/>
  <c r="G24" i="24"/>
  <c r="F30" i="24"/>
  <c r="F22" i="24"/>
  <c r="E27" i="24" l="1"/>
  <c r="F27" i="24"/>
  <c r="G30" i="24"/>
  <c r="H21" i="24"/>
  <c r="G22" i="24"/>
  <c r="G21" i="24"/>
  <c r="G23" i="24"/>
  <c r="H23" i="24"/>
  <c r="H22" i="24"/>
  <c r="F29" i="24" l="1"/>
  <c r="E28" i="24"/>
  <c r="G27" i="24"/>
  <c r="I21" i="24"/>
  <c r="H24" i="24"/>
  <c r="G29" i="24"/>
  <c r="I22" i="24"/>
  <c r="G28" i="24"/>
  <c r="F28" i="24" l="1"/>
  <c r="I23" i="24"/>
  <c r="I24" i="24"/>
  <c r="I30" i="24"/>
  <c r="J21" i="24"/>
  <c r="J23" i="24"/>
  <c r="I29" i="24"/>
  <c r="I27" i="24"/>
  <c r="J22" i="24"/>
  <c r="H29" i="24" l="1"/>
  <c r="H28" i="24"/>
  <c r="J30" i="24"/>
  <c r="J27" i="24"/>
  <c r="H27" i="24" l="1"/>
  <c r="I28" i="24"/>
  <c r="H30" i="24"/>
  <c r="J24" i="24"/>
  <c r="J29" i="24" l="1"/>
  <c r="J28" i="24"/>
  <c r="J17" i="22" l="1"/>
  <c r="J16" i="22"/>
  <c r="J15" i="22"/>
  <c r="J14" i="22"/>
  <c r="I17" i="22" l="1"/>
  <c r="I16" i="22"/>
  <c r="I15" i="22"/>
  <c r="I14" i="22"/>
  <c r="H17" i="22" l="1"/>
  <c r="H16" i="22"/>
  <c r="H15" i="22"/>
  <c r="H14" i="22"/>
  <c r="G17" i="22" l="1"/>
  <c r="G16" i="22"/>
  <c r="G15" i="22"/>
  <c r="G14" i="22"/>
  <c r="F17" i="22" l="1"/>
  <c r="F16" i="22"/>
  <c r="F15" i="22"/>
  <c r="F14" i="22"/>
  <c r="E17" i="22" l="1"/>
  <c r="E16" i="22"/>
  <c r="E15" i="22"/>
  <c r="E14" i="22"/>
  <c r="J27" i="16" l="1"/>
  <c r="J33" i="16"/>
  <c r="J26" i="16"/>
  <c r="J32" i="16"/>
  <c r="J24" i="16"/>
  <c r="J25" i="16"/>
  <c r="J30" i="16" l="1"/>
  <c r="J31" i="16"/>
  <c r="E27" i="16" l="1"/>
  <c r="E25" i="16"/>
  <c r="E31" i="16" l="1"/>
  <c r="E33" i="16"/>
  <c r="E26" i="16"/>
  <c r="F27" i="16"/>
  <c r="F25" i="16"/>
  <c r="F26" i="16"/>
  <c r="E32" i="16" l="1"/>
  <c r="F33" i="16"/>
  <c r="F32" i="16"/>
  <c r="F31" i="16"/>
  <c r="G31" i="16"/>
  <c r="E30" i="16"/>
  <c r="G33" i="16"/>
  <c r="G27" i="16"/>
  <c r="G25" i="16"/>
  <c r="G32" i="16"/>
  <c r="G26" i="16"/>
  <c r="F24" i="16"/>
  <c r="H25" i="16" l="1"/>
  <c r="H33" i="16"/>
  <c r="H27" i="16"/>
  <c r="H32" i="16"/>
  <c r="H26" i="16"/>
  <c r="H24" i="16"/>
  <c r="F30" i="16" l="1"/>
  <c r="G24" i="16"/>
  <c r="H31" i="16"/>
  <c r="I25" i="16"/>
  <c r="I26" i="16"/>
  <c r="I27" i="16"/>
  <c r="I24" i="16"/>
  <c r="G30" i="16" l="1"/>
  <c r="I33" i="16"/>
  <c r="I32" i="16"/>
  <c r="I31" i="16"/>
  <c r="H30" i="16" l="1"/>
  <c r="I30" i="16" l="1"/>
  <c r="E24" i="16" l="1"/>
  <c r="I23" i="31" l="1"/>
  <c r="I22" i="31"/>
  <c r="I21" i="31"/>
  <c r="I20" i="31"/>
  <c r="H23" i="31"/>
  <c r="H22" i="31"/>
  <c r="H21" i="31"/>
  <c r="H20" i="31"/>
  <c r="G23" i="31"/>
  <c r="G22" i="31"/>
  <c r="G21" i="31"/>
  <c r="G20" i="31"/>
  <c r="I19" i="13"/>
  <c r="I18" i="13"/>
  <c r="H19" i="13"/>
  <c r="H18" i="13"/>
  <c r="G19" i="13"/>
  <c r="G18" i="13"/>
  <c r="F19" i="13"/>
  <c r="F18" i="13"/>
  <c r="E19" i="13"/>
  <c r="E18" i="13"/>
  <c r="D19" i="13"/>
  <c r="D18" i="13"/>
  <c r="I18" i="29"/>
  <c r="I17" i="29"/>
  <c r="I16" i="29"/>
  <c r="I15" i="29"/>
  <c r="H18" i="29"/>
  <c r="H17" i="29"/>
  <c r="H16" i="29"/>
  <c r="H15" i="29"/>
  <c r="G18" i="29"/>
  <c r="G17" i="29"/>
  <c r="G16" i="29"/>
  <c r="G15" i="29"/>
  <c r="F18" i="29"/>
  <c r="F17" i="29"/>
  <c r="F16" i="29"/>
  <c r="F15" i="29"/>
  <c r="E18" i="29"/>
  <c r="E17" i="29"/>
  <c r="E16" i="29"/>
  <c r="E15" i="29"/>
  <c r="D18" i="29"/>
  <c r="D17" i="29"/>
  <c r="D16" i="29"/>
  <c r="D15" i="29"/>
  <c r="I21" i="23"/>
  <c r="I20" i="23"/>
  <c r="I19" i="23"/>
  <c r="I18" i="23"/>
  <c r="H21" i="23"/>
  <c r="H20" i="23"/>
  <c r="H19" i="23"/>
  <c r="H18" i="23"/>
  <c r="G21" i="23"/>
  <c r="G20" i="23"/>
  <c r="G19" i="23"/>
  <c r="G18" i="23"/>
  <c r="F21" i="23"/>
  <c r="F20" i="23"/>
  <c r="F19" i="23"/>
  <c r="F18" i="23"/>
  <c r="E21" i="23"/>
  <c r="E20" i="23"/>
  <c r="E19" i="23"/>
  <c r="E18" i="23"/>
  <c r="D21" i="23"/>
  <c r="D20" i="23"/>
  <c r="D19" i="23"/>
  <c r="D18" i="23"/>
  <c r="J18" i="24"/>
  <c r="J17" i="24"/>
  <c r="J16" i="24"/>
  <c r="J15" i="24"/>
  <c r="I18" i="24"/>
  <c r="I17" i="24"/>
  <c r="I16" i="24"/>
  <c r="I15" i="24"/>
  <c r="H18" i="24"/>
  <c r="H17" i="24"/>
  <c r="H16" i="24"/>
  <c r="H15" i="24"/>
  <c r="G18" i="24"/>
  <c r="G17" i="24"/>
  <c r="G16" i="24"/>
  <c r="G15" i="24"/>
  <c r="F18" i="24"/>
  <c r="F17" i="24"/>
  <c r="F16" i="24"/>
  <c r="F15" i="24"/>
  <c r="E18" i="24"/>
  <c r="E17" i="24"/>
  <c r="E16" i="24"/>
  <c r="E15" i="24"/>
  <c r="J21" i="16"/>
  <c r="J20" i="16"/>
  <c r="J19" i="16"/>
  <c r="J18" i="16"/>
  <c r="I21" i="16"/>
  <c r="I20" i="16"/>
  <c r="I19" i="16"/>
  <c r="I18" i="16"/>
  <c r="H21" i="16"/>
  <c r="H20" i="16"/>
  <c r="H19" i="16"/>
  <c r="H18" i="16"/>
  <c r="G21" i="16"/>
  <c r="G20" i="16"/>
  <c r="G19" i="16"/>
  <c r="G18" i="16"/>
  <c r="F21" i="16"/>
  <c r="F20" i="16"/>
  <c r="F19" i="16"/>
  <c r="F18" i="16"/>
  <c r="E21" i="16"/>
  <c r="E20" i="16"/>
  <c r="E19" i="16"/>
  <c r="E18" i="16"/>
  <c r="J29" i="22"/>
  <c r="J28" i="22"/>
  <c r="J27" i="22"/>
  <c r="J26" i="22"/>
  <c r="I29" i="22"/>
  <c r="I28" i="22"/>
  <c r="I27" i="22"/>
  <c r="I26" i="22"/>
  <c r="H29" i="22"/>
  <c r="H28" i="22"/>
  <c r="H27" i="22"/>
  <c r="H26" i="22"/>
  <c r="G29" i="22"/>
  <c r="G28" i="22"/>
  <c r="G27" i="22"/>
  <c r="G26" i="22"/>
  <c r="F29" i="22"/>
  <c r="F28" i="22"/>
  <c r="F27" i="22"/>
  <c r="F26" i="22"/>
  <c r="E29" i="22"/>
  <c r="E28" i="22"/>
  <c r="E27" i="22"/>
  <c r="E26" i="22"/>
  <c r="I35" i="15"/>
  <c r="I34" i="15"/>
  <c r="I33" i="15"/>
  <c r="I32" i="15"/>
  <c r="I29" i="15"/>
  <c r="I28" i="15"/>
  <c r="I27" i="15"/>
  <c r="I26" i="15"/>
  <c r="H35" i="15"/>
  <c r="H34" i="15"/>
  <c r="H33" i="15"/>
  <c r="H32" i="15"/>
  <c r="H29" i="15"/>
  <c r="H28" i="15"/>
  <c r="H27" i="15"/>
  <c r="H26" i="15"/>
  <c r="G29" i="15"/>
  <c r="G28" i="15"/>
  <c r="G27" i="15"/>
  <c r="G26" i="15"/>
  <c r="G35" i="15"/>
  <c r="G34" i="15"/>
  <c r="G33" i="15"/>
  <c r="G32" i="15"/>
  <c r="F35" i="15"/>
  <c r="F34" i="15"/>
  <c r="F33" i="15"/>
  <c r="F32" i="15"/>
  <c r="F29" i="15"/>
  <c r="F28" i="15"/>
  <c r="F27" i="15"/>
  <c r="F26" i="15"/>
  <c r="E29" i="15"/>
  <c r="E28" i="15"/>
  <c r="E27" i="15"/>
  <c r="E26" i="15"/>
  <c r="E35" i="15"/>
  <c r="E34" i="15"/>
  <c r="E33" i="15"/>
  <c r="E32" i="15"/>
  <c r="D35" i="15"/>
  <c r="D34" i="15"/>
  <c r="D33" i="15"/>
  <c r="D32" i="15"/>
  <c r="D29" i="15"/>
  <c r="D28" i="15"/>
  <c r="D27" i="15"/>
  <c r="D26" i="15"/>
  <c r="L29" i="15" l="1"/>
  <c r="K29" i="15"/>
  <c r="J29" i="15"/>
  <c r="L28" i="15"/>
  <c r="K28" i="15"/>
  <c r="J28" i="15"/>
  <c r="L27" i="15"/>
  <c r="K27" i="15"/>
  <c r="J27" i="15"/>
  <c r="L26" i="15"/>
  <c r="K26" i="15"/>
  <c r="J26" i="15"/>
  <c r="B8" i="18"/>
  <c r="B7" i="18"/>
  <c r="B6" i="18"/>
  <c r="B5" i="18"/>
  <c r="L19" i="23" l="1"/>
  <c r="L19" i="13"/>
  <c r="M19" i="16"/>
  <c r="L21" i="31"/>
  <c r="L16" i="29"/>
  <c r="M16" i="24"/>
  <c r="L20" i="16"/>
  <c r="K22" i="31"/>
  <c r="K17" i="29"/>
  <c r="L17" i="24"/>
  <c r="K20" i="23"/>
  <c r="J18" i="13"/>
  <c r="J15" i="29"/>
  <c r="K15" i="24"/>
  <c r="J20" i="31"/>
  <c r="J18" i="23"/>
  <c r="K18" i="16"/>
  <c r="L22" i="31"/>
  <c r="L17" i="29"/>
  <c r="M17" i="24"/>
  <c r="L20" i="23"/>
  <c r="M20" i="16"/>
  <c r="K19" i="23"/>
  <c r="K21" i="31"/>
  <c r="K19" i="13"/>
  <c r="L19" i="16"/>
  <c r="K16" i="29"/>
  <c r="L16" i="24"/>
  <c r="K15" i="29"/>
  <c r="L15" i="24"/>
  <c r="K18" i="23"/>
  <c r="K20" i="31"/>
  <c r="L18" i="16"/>
  <c r="K18" i="13"/>
  <c r="J23" i="31"/>
  <c r="J18" i="29"/>
  <c r="K18" i="24"/>
  <c r="K21" i="16"/>
  <c r="J21" i="23"/>
  <c r="L15" i="29"/>
  <c r="M15" i="24"/>
  <c r="L18" i="23"/>
  <c r="L20" i="31"/>
  <c r="M18" i="16"/>
  <c r="L18" i="13"/>
  <c r="K18" i="29"/>
  <c r="L18" i="24"/>
  <c r="K23" i="31"/>
  <c r="L21" i="16"/>
  <c r="K21" i="23"/>
  <c r="K20" i="16"/>
  <c r="J22" i="31"/>
  <c r="J20" i="23"/>
  <c r="J17" i="29"/>
  <c r="K17" i="24"/>
  <c r="J16" i="29"/>
  <c r="K16" i="24"/>
  <c r="J19" i="13"/>
  <c r="J21" i="31"/>
  <c r="K19" i="16"/>
  <c r="J19" i="23"/>
  <c r="L18" i="29"/>
  <c r="M18" i="24"/>
  <c r="L23" i="31"/>
  <c r="L21" i="23"/>
  <c r="M21" i="16"/>
  <c r="I47" i="15"/>
  <c r="H47" i="15"/>
  <c r="G47" i="15"/>
  <c r="F47" i="15"/>
  <c r="E47" i="15"/>
  <c r="D47" i="15"/>
  <c r="D40" i="28" l="1"/>
  <c r="D44" i="28" l="1"/>
  <c r="D45" i="28" l="1"/>
  <c r="D46" i="28" l="1"/>
  <c r="D41" i="28" s="1"/>
  <c r="D42" i="28" s="1"/>
  <c r="C45" i="28" l="1"/>
  <c r="C46" i="28" l="1"/>
  <c r="C40" i="28"/>
  <c r="C44" i="28" l="1"/>
  <c r="C41" i="28" s="1"/>
  <c r="C42" i="28" s="1"/>
  <c r="E46" i="28" l="1"/>
  <c r="E40" i="28"/>
  <c r="E44" i="28" l="1"/>
  <c r="E45" i="28" l="1"/>
  <c r="E41" i="28" s="1"/>
  <c r="E42" i="28" s="1"/>
  <c r="G63" i="28" l="1"/>
  <c r="G62" i="28"/>
  <c r="G64" i="28" s="1"/>
  <c r="E69" i="28"/>
  <c r="D69" i="28"/>
  <c r="C69" i="28"/>
  <c r="B69" i="28"/>
  <c r="F68" i="28"/>
  <c r="G68" i="28" s="1"/>
  <c r="F67" i="28"/>
  <c r="G67" i="28" s="1"/>
  <c r="F66" i="28"/>
  <c r="G66" i="28" s="1"/>
  <c r="E64" i="28"/>
  <c r="D64" i="28"/>
  <c r="C64" i="28"/>
  <c r="B64" i="28"/>
  <c r="F63" i="28"/>
  <c r="F62" i="28"/>
  <c r="F64" i="28" s="1"/>
  <c r="E58" i="28"/>
  <c r="D58" i="28"/>
  <c r="C58" i="28"/>
  <c r="B58" i="28"/>
  <c r="F57" i="28"/>
  <c r="G57" i="28" s="1"/>
  <c r="F56" i="28"/>
  <c r="G56" i="28" s="1"/>
  <c r="F55" i="28"/>
  <c r="G55" i="28" s="1"/>
  <c r="E53" i="28"/>
  <c r="D53" i="28"/>
  <c r="C53" i="28"/>
  <c r="B53" i="28"/>
  <c r="F52" i="28"/>
  <c r="G52" i="28" s="1"/>
  <c r="F51" i="28"/>
  <c r="G51" i="28" s="1"/>
  <c r="G53" i="28" l="1"/>
  <c r="G58" i="28"/>
  <c r="G69" i="28"/>
  <c r="F69" i="28"/>
  <c r="F53" i="28"/>
  <c r="F58" i="28"/>
  <c r="E6" i="31" l="1"/>
  <c r="E5" i="31"/>
  <c r="I36" i="31"/>
  <c r="H36" i="31"/>
  <c r="G36" i="31"/>
  <c r="F36" i="31"/>
  <c r="E36" i="31"/>
  <c r="D36" i="31"/>
  <c r="C36" i="31"/>
  <c r="I35" i="31"/>
  <c r="H35" i="31"/>
  <c r="G35" i="31"/>
  <c r="F35" i="31"/>
  <c r="E35" i="31"/>
  <c r="D35" i="31"/>
  <c r="C35" i="31"/>
  <c r="D77" i="8" l="1"/>
  <c r="C77" i="8"/>
  <c r="B77" i="8"/>
  <c r="F76" i="8"/>
  <c r="G76" i="8" s="1"/>
  <c r="F75" i="8"/>
  <c r="G75" i="8" s="1"/>
  <c r="F74" i="8"/>
  <c r="G74" i="8" s="1"/>
  <c r="D72" i="8"/>
  <c r="C72" i="8"/>
  <c r="B72" i="8"/>
  <c r="F70" i="8"/>
  <c r="G70" i="8" s="1"/>
  <c r="E77" i="8" l="1"/>
  <c r="F77" i="8"/>
  <c r="E72" i="8"/>
  <c r="F71" i="8" l="1"/>
  <c r="F72" i="8" s="1"/>
  <c r="G71" i="8"/>
  <c r="G72" i="8" s="1"/>
  <c r="G77" i="8"/>
  <c r="L36" i="31" l="1"/>
  <c r="K36" i="31"/>
  <c r="L35" i="31"/>
  <c r="K35" i="31"/>
  <c r="J35" i="31" l="1"/>
  <c r="D5" i="31"/>
  <c r="F5" i="31" s="1"/>
  <c r="D6" i="31"/>
  <c r="F6" i="31" s="1"/>
  <c r="J36" i="31"/>
  <c r="B12" i="12" l="1"/>
  <c r="B11" i="12"/>
  <c r="B10" i="12"/>
  <c r="B6" i="12"/>
  <c r="C12" i="12"/>
  <c r="C11" i="12"/>
  <c r="C10" i="12"/>
  <c r="C6" i="12"/>
  <c r="C11" i="30" l="1"/>
  <c r="I37" i="31"/>
  <c r="H37" i="31"/>
  <c r="G37" i="31"/>
  <c r="F37" i="31"/>
  <c r="E37" i="31"/>
  <c r="D37" i="31"/>
  <c r="C37" i="31"/>
  <c r="I34" i="31"/>
  <c r="H34" i="31"/>
  <c r="G34" i="31"/>
  <c r="F34" i="31"/>
  <c r="E34" i="31"/>
  <c r="D34" i="31"/>
  <c r="C34" i="31"/>
  <c r="K17" i="31"/>
  <c r="J17" i="31"/>
  <c r="I17" i="31"/>
  <c r="H17" i="31"/>
  <c r="G17" i="31"/>
  <c r="F17" i="31"/>
  <c r="E17" i="31"/>
  <c r="D17" i="31"/>
  <c r="D16" i="31"/>
  <c r="E16" i="31" s="1"/>
  <c r="F16" i="31" s="1"/>
  <c r="G16" i="31" s="1"/>
  <c r="H16" i="31" s="1"/>
  <c r="I16" i="31" s="1"/>
  <c r="J16" i="31" s="1"/>
  <c r="K16" i="31" s="1"/>
  <c r="L16" i="31" s="1"/>
  <c r="C15" i="31"/>
  <c r="B15" i="31"/>
  <c r="E7" i="31"/>
  <c r="E4" i="31"/>
  <c r="A1" i="31"/>
  <c r="E10" i="30"/>
  <c r="D11" i="30"/>
  <c r="B7" i="30" s="1"/>
  <c r="B11" i="30"/>
  <c r="B5" i="30" s="1"/>
  <c r="A2" i="30"/>
  <c r="A1" i="30"/>
  <c r="E5" i="19"/>
  <c r="D5" i="19"/>
  <c r="B6" i="30" l="1"/>
  <c r="C12" i="30"/>
  <c r="B12" i="30"/>
  <c r="D12" i="30"/>
  <c r="E8" i="31"/>
  <c r="E9" i="30"/>
  <c r="E11" i="30" l="1"/>
  <c r="E12" i="30" s="1"/>
  <c r="D29" i="28"/>
  <c r="G4" i="31" l="1"/>
  <c r="C40" i="31"/>
  <c r="D40" i="31" s="1"/>
  <c r="D33" i="28"/>
  <c r="D34" i="28" l="1"/>
  <c r="D35" i="28" l="1"/>
  <c r="D30" i="28" s="1"/>
  <c r="C34" i="28" l="1"/>
  <c r="C29" i="28"/>
  <c r="C35" i="28" l="1"/>
  <c r="C33" i="28" l="1"/>
  <c r="C30" i="28" s="1"/>
  <c r="E29" i="28" l="1"/>
  <c r="E35" i="28"/>
  <c r="E33" i="28" l="1"/>
  <c r="E34" i="28" l="1"/>
  <c r="E30" i="28" s="1"/>
  <c r="C8" i="18" l="1"/>
  <c r="D9" i="18"/>
  <c r="C7" i="18"/>
  <c r="E9" i="18"/>
  <c r="C6" i="18"/>
  <c r="C5" i="18"/>
  <c r="B6" i="10" l="1"/>
  <c r="B5" i="10"/>
  <c r="D9" i="10"/>
  <c r="D67" i="8"/>
  <c r="C67" i="8"/>
  <c r="B67" i="8"/>
  <c r="F66" i="8"/>
  <c r="G66" i="8" s="1"/>
  <c r="F65" i="8"/>
  <c r="G65" i="8" s="1"/>
  <c r="D62" i="8"/>
  <c r="C62" i="8"/>
  <c r="B62" i="8"/>
  <c r="F60" i="8"/>
  <c r="G60" i="8" s="1"/>
  <c r="E67" i="8" l="1"/>
  <c r="D8" i="10"/>
  <c r="E62" i="8"/>
  <c r="F64" i="8"/>
  <c r="G64" i="8" s="1"/>
  <c r="B42" i="13" l="1"/>
  <c r="F61" i="8"/>
  <c r="F62" i="8" s="1"/>
  <c r="F67" i="8"/>
  <c r="G61" i="8" l="1"/>
  <c r="G62" i="8" s="1"/>
  <c r="G67" i="8"/>
  <c r="I45" i="31" l="1"/>
  <c r="H45" i="31"/>
  <c r="L37" i="31" l="1"/>
  <c r="K37" i="31"/>
  <c r="L34" i="31"/>
  <c r="K34" i="31"/>
  <c r="D4" i="31" l="1"/>
  <c r="J34" i="31"/>
  <c r="G45" i="31"/>
  <c r="F45" i="31"/>
  <c r="E45" i="31"/>
  <c r="D45" i="31"/>
  <c r="J37" i="31" l="1"/>
  <c r="D7" i="31"/>
  <c r="F7" i="31" s="1"/>
  <c r="F4" i="31"/>
  <c r="D8" i="31"/>
  <c r="D47" i="31"/>
  <c r="G7" i="29"/>
  <c r="G6" i="29"/>
  <c r="G5" i="29"/>
  <c r="B49" i="29"/>
  <c r="C49" i="29" s="1"/>
  <c r="C32" i="29"/>
  <c r="C38" i="29" s="1"/>
  <c r="C31" i="29"/>
  <c r="C37" i="29" s="1"/>
  <c r="C30" i="29"/>
  <c r="C36" i="29" s="1"/>
  <c r="C29" i="29"/>
  <c r="C35" i="29" s="1"/>
  <c r="D11" i="29"/>
  <c r="E11" i="29" s="1"/>
  <c r="F11" i="29" s="1"/>
  <c r="G11" i="29" s="1"/>
  <c r="H11" i="29" s="1"/>
  <c r="I11" i="29" s="1"/>
  <c r="J11" i="29" s="1"/>
  <c r="K11" i="29" s="1"/>
  <c r="L11" i="29" s="1"/>
  <c r="C10" i="29"/>
  <c r="B10" i="29"/>
  <c r="G4" i="29"/>
  <c r="A1" i="29"/>
  <c r="L32" i="29"/>
  <c r="L31" i="29"/>
  <c r="L30" i="29"/>
  <c r="L29" i="29"/>
  <c r="F8" i="31" l="1"/>
  <c r="E40" i="31"/>
  <c r="E47" i="31"/>
  <c r="D7" i="29"/>
  <c r="D5" i="29"/>
  <c r="D6" i="29"/>
  <c r="G8" i="29"/>
  <c r="D4" i="29"/>
  <c r="F47" i="31" l="1"/>
  <c r="F40" i="31"/>
  <c r="D8" i="29"/>
  <c r="G47" i="31" l="1"/>
  <c r="G40" i="31"/>
  <c r="H47" i="31" l="1"/>
  <c r="H40" i="31"/>
  <c r="I40" i="31" l="1"/>
  <c r="I47" i="31"/>
  <c r="J40" i="31" l="1"/>
  <c r="B52" i="8" l="1"/>
  <c r="B57" i="8"/>
  <c r="F56" i="8"/>
  <c r="G56" i="8" s="1"/>
  <c r="F55" i="8"/>
  <c r="G55" i="8" s="1"/>
  <c r="E57" i="8"/>
  <c r="D57" i="8"/>
  <c r="F54" i="8"/>
  <c r="G54" i="8" s="1"/>
  <c r="D52" i="8"/>
  <c r="F57" i="8" l="1"/>
  <c r="C57" i="8"/>
  <c r="F50" i="8"/>
  <c r="G50" i="8" s="1"/>
  <c r="E52" i="8" l="1"/>
  <c r="G51" i="8"/>
  <c r="G57" i="8"/>
  <c r="F51" i="8"/>
  <c r="F52" i="8" s="1"/>
  <c r="C52" i="8"/>
  <c r="G52" i="8" l="1"/>
  <c r="K10" i="15"/>
  <c r="K9" i="15"/>
  <c r="K8" i="15"/>
  <c r="J10" i="31" l="1"/>
  <c r="C14" i="30"/>
  <c r="J11" i="31"/>
  <c r="C15" i="30"/>
  <c r="B15" i="30" s="1"/>
  <c r="C16" i="30"/>
  <c r="B16" i="30" s="1"/>
  <c r="J12" i="31"/>
  <c r="I40" i="29"/>
  <c r="C17" i="30" l="1"/>
  <c r="B14" i="30"/>
  <c r="J13" i="31"/>
  <c r="H40" i="29"/>
  <c r="G40" i="29"/>
  <c r="F40" i="29"/>
  <c r="E40" i="29"/>
  <c r="D40" i="29"/>
  <c r="B17" i="30" l="1"/>
  <c r="C42" i="31"/>
  <c r="G6" i="31"/>
  <c r="C43" i="31"/>
  <c r="G7" i="31"/>
  <c r="D18" i="28"/>
  <c r="D7" i="28" s="1"/>
  <c r="D43" i="31" l="1"/>
  <c r="D50" i="31"/>
  <c r="E43" i="31" s="1"/>
  <c r="D42" i="31"/>
  <c r="D49" i="31"/>
  <c r="G5" i="31"/>
  <c r="C41" i="31"/>
  <c r="B54" i="31"/>
  <c r="C54" i="31" s="1"/>
  <c r="D22" i="28"/>
  <c r="D11" i="28" s="1"/>
  <c r="D24" i="28"/>
  <c r="D13" i="28" s="1"/>
  <c r="D23" i="28"/>
  <c r="D12" i="28" s="1"/>
  <c r="D41" i="31" l="1"/>
  <c r="D48" i="31"/>
  <c r="G8" i="31"/>
  <c r="E49" i="31"/>
  <c r="E42" i="31"/>
  <c r="E50" i="31"/>
  <c r="F43" i="31" s="1"/>
  <c r="D14" i="28"/>
  <c r="C24" i="28"/>
  <c r="C13" i="28" s="1"/>
  <c r="C23" i="28"/>
  <c r="C12" i="28" s="1"/>
  <c r="F50" i="31" l="1"/>
  <c r="G43" i="31" s="1"/>
  <c r="E48" i="31"/>
  <c r="E52" i="31" s="1"/>
  <c r="D52" i="31"/>
  <c r="E41" i="31"/>
  <c r="F49" i="31"/>
  <c r="F42" i="31"/>
  <c r="D54" i="31"/>
  <c r="C18" i="28"/>
  <c r="C7" i="28" s="1"/>
  <c r="G49" i="31" l="1"/>
  <c r="G50" i="31"/>
  <c r="H43" i="31" s="1"/>
  <c r="G42" i="31"/>
  <c r="F41" i="31"/>
  <c r="F48" i="31"/>
  <c r="F52" i="31" s="1"/>
  <c r="D51" i="31"/>
  <c r="E54" i="31"/>
  <c r="C22" i="28"/>
  <c r="C11" i="28" s="1"/>
  <c r="C14" i="28" s="1"/>
  <c r="H50" i="31" l="1"/>
  <c r="I43" i="31" s="1"/>
  <c r="G48" i="31"/>
  <c r="G52" i="31" s="1"/>
  <c r="G41" i="31"/>
  <c r="H42" i="31"/>
  <c r="H49" i="31"/>
  <c r="I50" i="31"/>
  <c r="J43" i="31" s="1"/>
  <c r="F54" i="31"/>
  <c r="E51" i="31"/>
  <c r="E22" i="28"/>
  <c r="E11" i="28" s="1"/>
  <c r="E24" i="28"/>
  <c r="E13" i="28" s="1"/>
  <c r="I42" i="31" l="1"/>
  <c r="I49" i="31"/>
  <c r="H41" i="31"/>
  <c r="H48" i="31"/>
  <c r="H52" i="31" s="1"/>
  <c r="G54" i="31"/>
  <c r="F51" i="31"/>
  <c r="E18" i="28"/>
  <c r="E7" i="28" s="1"/>
  <c r="H54" i="31" l="1"/>
  <c r="G51" i="31"/>
  <c r="I41" i="31"/>
  <c r="I48" i="31"/>
  <c r="I52" i="31" s="1"/>
  <c r="J42" i="31"/>
  <c r="E23" i="28"/>
  <c r="E12" i="28" s="1"/>
  <c r="E14" i="28" s="1"/>
  <c r="J41" i="31" l="1"/>
  <c r="H51" i="31"/>
  <c r="I54" i="31"/>
  <c r="I51" i="31" s="1"/>
  <c r="E19" i="28"/>
  <c r="E8" i="28" s="1"/>
  <c r="E9" i="28" s="1"/>
  <c r="D19" i="28"/>
  <c r="D8" i="28" s="1"/>
  <c r="D9" i="28" s="1"/>
  <c r="C19" i="28"/>
  <c r="C8" i="28" s="1"/>
  <c r="C9" i="28" s="1"/>
  <c r="B18" i="28" l="1"/>
  <c r="B7" i="28" s="1"/>
  <c r="B24" i="28" l="1"/>
  <c r="B13" i="28" s="1"/>
  <c r="B23" i="28"/>
  <c r="B12" i="28" s="1"/>
  <c r="B22" i="28" l="1"/>
  <c r="B47" i="28"/>
  <c r="F46" i="28"/>
  <c r="G46" i="28" s="1"/>
  <c r="E47" i="28"/>
  <c r="D47" i="28"/>
  <c r="F44" i="28"/>
  <c r="G44" i="28" s="1"/>
  <c r="B42" i="28"/>
  <c r="E36" i="28"/>
  <c r="D36" i="28"/>
  <c r="F35" i="28"/>
  <c r="F34" i="28"/>
  <c r="F33" i="28"/>
  <c r="C36" i="28"/>
  <c r="B36" i="28"/>
  <c r="E31" i="28"/>
  <c r="D31" i="28"/>
  <c r="F30" i="28"/>
  <c r="G30" i="28" s="1"/>
  <c r="C31" i="28"/>
  <c r="B31" i="28"/>
  <c r="E25" i="28"/>
  <c r="D25" i="28"/>
  <c r="D20" i="28"/>
  <c r="A2" i="28"/>
  <c r="A1" i="28"/>
  <c r="G33" i="28" l="1"/>
  <c r="K22" i="29"/>
  <c r="J22" i="29"/>
  <c r="I22" i="29"/>
  <c r="G22" i="29"/>
  <c r="H22" i="29"/>
  <c r="G34" i="28"/>
  <c r="G35" i="28"/>
  <c r="G36" i="28" s="1"/>
  <c r="G24" i="29"/>
  <c r="K24" i="29"/>
  <c r="J24" i="29"/>
  <c r="I24" i="29"/>
  <c r="H24" i="29"/>
  <c r="B19" i="28"/>
  <c r="B8" i="28" s="1"/>
  <c r="B9" i="28" s="1"/>
  <c r="B11" i="28"/>
  <c r="B14" i="28" s="1"/>
  <c r="B25" i="28"/>
  <c r="F36" i="28"/>
  <c r="F7" i="28"/>
  <c r="F41" i="28"/>
  <c r="G41" i="28" s="1"/>
  <c r="F12" i="28"/>
  <c r="F18" i="28"/>
  <c r="F23" i="28"/>
  <c r="F45" i="28"/>
  <c r="G45" i="28" s="1"/>
  <c r="C47" i="28"/>
  <c r="F13" i="28"/>
  <c r="C20" i="28"/>
  <c r="C25" i="28"/>
  <c r="F24" i="28"/>
  <c r="F22" i="28"/>
  <c r="F29" i="28"/>
  <c r="F40" i="28"/>
  <c r="G40" i="28" s="1"/>
  <c r="B20" i="28" l="1"/>
  <c r="F19" i="28"/>
  <c r="G19" i="28" s="1"/>
  <c r="F11" i="28"/>
  <c r="F14" i="28" s="1"/>
  <c r="J23" i="29"/>
  <c r="I23" i="29"/>
  <c r="I31" i="29" s="1"/>
  <c r="E24" i="29"/>
  <c r="E32" i="29" s="1"/>
  <c r="D24" i="29"/>
  <c r="D32" i="29" s="1"/>
  <c r="G24" i="28"/>
  <c r="G13" i="28" s="1"/>
  <c r="F24" i="29"/>
  <c r="F32" i="29" s="1"/>
  <c r="F21" i="29"/>
  <c r="E21" i="29"/>
  <c r="G18" i="28"/>
  <c r="D21" i="29"/>
  <c r="F23" i="29"/>
  <c r="F31" i="29" s="1"/>
  <c r="D23" i="29"/>
  <c r="D31" i="29" s="1"/>
  <c r="G23" i="28"/>
  <c r="G12" i="28" s="1"/>
  <c r="E23" i="29"/>
  <c r="E31" i="29" s="1"/>
  <c r="K23" i="29"/>
  <c r="K31" i="29" s="1"/>
  <c r="F22" i="29"/>
  <c r="F30" i="29" s="1"/>
  <c r="E22" i="29"/>
  <c r="E30" i="29" s="1"/>
  <c r="D22" i="29"/>
  <c r="G22" i="28"/>
  <c r="G23" i="29"/>
  <c r="J21" i="29"/>
  <c r="I21" i="29"/>
  <c r="H21" i="29"/>
  <c r="G29" i="28"/>
  <c r="G31" i="28" s="1"/>
  <c r="G21" i="29"/>
  <c r="K21" i="29"/>
  <c r="H23" i="29"/>
  <c r="H31" i="29" s="1"/>
  <c r="G11" i="28"/>
  <c r="I30" i="29"/>
  <c r="K32" i="29"/>
  <c r="I32" i="29"/>
  <c r="H32" i="29"/>
  <c r="G8" i="28"/>
  <c r="D30" i="29"/>
  <c r="H30" i="29"/>
  <c r="K30" i="29"/>
  <c r="F25" i="28"/>
  <c r="F20" i="28"/>
  <c r="E20" i="28"/>
  <c r="F47" i="28"/>
  <c r="F31" i="28"/>
  <c r="G42" i="28"/>
  <c r="F42" i="28"/>
  <c r="G47" i="28"/>
  <c r="G7" i="28" l="1"/>
  <c r="E12" i="29"/>
  <c r="E29" i="29"/>
  <c r="F12" i="29"/>
  <c r="F29" i="29"/>
  <c r="D38" i="29"/>
  <c r="D45" i="29"/>
  <c r="D37" i="29"/>
  <c r="D44" i="29"/>
  <c r="D12" i="29"/>
  <c r="D29" i="29"/>
  <c r="D36" i="29"/>
  <c r="D43" i="29"/>
  <c r="E6" i="29"/>
  <c r="F6" i="29" s="1"/>
  <c r="G31" i="29"/>
  <c r="E7" i="29"/>
  <c r="F7" i="29" s="1"/>
  <c r="G32" i="29"/>
  <c r="J31" i="29"/>
  <c r="E5" i="29"/>
  <c r="F5" i="29" s="1"/>
  <c r="G30" i="29"/>
  <c r="E4" i="29"/>
  <c r="G29" i="29"/>
  <c r="G12" i="29"/>
  <c r="J32" i="29"/>
  <c r="H12" i="29"/>
  <c r="H29" i="29"/>
  <c r="K29" i="29"/>
  <c r="K12" i="29"/>
  <c r="I12" i="29"/>
  <c r="I29" i="29"/>
  <c r="J30" i="29"/>
  <c r="J12" i="29"/>
  <c r="J29" i="29"/>
  <c r="F8" i="28"/>
  <c r="F9" i="28" s="1"/>
  <c r="G20" i="28"/>
  <c r="G25" i="28"/>
  <c r="D35" i="29" l="1"/>
  <c r="D42" i="29"/>
  <c r="D47" i="29" s="1"/>
  <c r="E44" i="29"/>
  <c r="E37" i="29"/>
  <c r="E38" i="29"/>
  <c r="E45" i="29"/>
  <c r="E43" i="29"/>
  <c r="E36" i="29"/>
  <c r="F4" i="29"/>
  <c r="F8" i="29" s="1"/>
  <c r="E8" i="29"/>
  <c r="G14" i="28"/>
  <c r="G9" i="28"/>
  <c r="D49" i="29" l="1"/>
  <c r="D46" i="29" s="1"/>
  <c r="E35" i="29"/>
  <c r="E42" i="29"/>
  <c r="E47" i="29" s="1"/>
  <c r="F38" i="29"/>
  <c r="F45" i="29"/>
  <c r="F37" i="29"/>
  <c r="F44" i="29"/>
  <c r="F43" i="29"/>
  <c r="F36" i="29"/>
  <c r="D37" i="22"/>
  <c r="D36" i="22"/>
  <c r="D35" i="22"/>
  <c r="D34" i="22"/>
  <c r="E49" i="29" l="1"/>
  <c r="E46" i="29" s="1"/>
  <c r="G44" i="29"/>
  <c r="G37" i="29"/>
  <c r="G43" i="29"/>
  <c r="G36" i="29"/>
  <c r="F35" i="29"/>
  <c r="F42" i="29"/>
  <c r="F47" i="29" s="1"/>
  <c r="G38" i="29"/>
  <c r="G45" i="29"/>
  <c r="C10" i="10"/>
  <c r="B10" i="10"/>
  <c r="H45" i="29" l="1"/>
  <c r="H38" i="29"/>
  <c r="F49" i="29"/>
  <c r="H37" i="29"/>
  <c r="H44" i="29"/>
  <c r="G35" i="29"/>
  <c r="G42" i="29"/>
  <c r="G47" i="29" s="1"/>
  <c r="H36" i="29"/>
  <c r="H43" i="29"/>
  <c r="C11" i="10"/>
  <c r="B11" i="10"/>
  <c r="I37" i="29" l="1"/>
  <c r="I44" i="29"/>
  <c r="H35" i="29"/>
  <c r="H42" i="29"/>
  <c r="H47" i="29" s="1"/>
  <c r="F46" i="29"/>
  <c r="G49" i="29"/>
  <c r="I43" i="29"/>
  <c r="I36" i="29"/>
  <c r="I45" i="29"/>
  <c r="I38" i="29"/>
  <c r="E29" i="13"/>
  <c r="J38" i="29" l="1"/>
  <c r="G46" i="29"/>
  <c r="H49" i="29"/>
  <c r="I35" i="29"/>
  <c r="I42" i="29"/>
  <c r="I47" i="29" s="1"/>
  <c r="J37" i="29"/>
  <c r="J36" i="29"/>
  <c r="J35" i="29" l="1"/>
  <c r="H46" i="29"/>
  <c r="I49" i="29"/>
  <c r="I46" i="29" s="1"/>
  <c r="B42" i="8" l="1"/>
  <c r="B47" i="8" l="1"/>
  <c r="C14" i="8" l="1"/>
  <c r="D14" i="8" l="1"/>
  <c r="D47" i="8" l="1"/>
  <c r="C9" i="8"/>
  <c r="C47" i="8"/>
  <c r="D42" i="8" l="1"/>
  <c r="D9" i="8"/>
  <c r="C42" i="8"/>
  <c r="F44" i="8" l="1"/>
  <c r="J25" i="23" l="1"/>
  <c r="G44" i="8"/>
  <c r="I25" i="23"/>
  <c r="G25" i="23"/>
  <c r="K25" i="23"/>
  <c r="H25" i="23"/>
  <c r="E14" i="8"/>
  <c r="F46" i="8" l="1"/>
  <c r="G46" i="8" l="1"/>
  <c r="J27" i="23"/>
  <c r="G27" i="23"/>
  <c r="I27" i="23"/>
  <c r="H27" i="23"/>
  <c r="K27" i="23"/>
  <c r="F40" i="8"/>
  <c r="J24" i="23" l="1"/>
  <c r="I24" i="23"/>
  <c r="H24" i="23"/>
  <c r="G24" i="23"/>
  <c r="G40" i="8"/>
  <c r="K24" i="23"/>
  <c r="F45" i="8"/>
  <c r="E47" i="8"/>
  <c r="E9" i="8"/>
  <c r="J26" i="23" l="1"/>
  <c r="I26" i="23"/>
  <c r="H26" i="23"/>
  <c r="G26" i="23"/>
  <c r="G45" i="8"/>
  <c r="K26" i="23"/>
  <c r="F41" i="8"/>
  <c r="G41" i="8" s="1"/>
  <c r="E42" i="8"/>
  <c r="F47" i="8"/>
  <c r="G47" i="8" l="1"/>
  <c r="F42" i="8"/>
  <c r="G42" i="8" l="1"/>
  <c r="J23" i="22" l="1"/>
  <c r="J22" i="22"/>
  <c r="J21" i="22"/>
  <c r="J20" i="22"/>
  <c r="I23" i="22"/>
  <c r="I22" i="22"/>
  <c r="I21" i="22"/>
  <c r="I20" i="22"/>
  <c r="H23" i="22"/>
  <c r="H22" i="22"/>
  <c r="H21" i="22"/>
  <c r="H20" i="22"/>
  <c r="G23" i="22"/>
  <c r="G22" i="22"/>
  <c r="G21" i="22"/>
  <c r="G20" i="22"/>
  <c r="F23" i="22"/>
  <c r="F22" i="22"/>
  <c r="F21" i="22"/>
  <c r="F20" i="22"/>
  <c r="E23" i="22"/>
  <c r="E22" i="22"/>
  <c r="E21" i="22"/>
  <c r="E20" i="22"/>
  <c r="C15" i="5" l="1"/>
  <c r="C14" i="5"/>
  <c r="C13" i="5"/>
  <c r="C12" i="5"/>
  <c r="J8" i="13"/>
  <c r="L8" i="16"/>
  <c r="J10" i="23"/>
  <c r="C14" i="10"/>
  <c r="C13" i="10"/>
  <c r="C15" i="10" l="1"/>
  <c r="J9" i="13"/>
  <c r="J10" i="13"/>
  <c r="L9" i="16"/>
  <c r="L10" i="16"/>
  <c r="J8" i="23"/>
  <c r="J9" i="23"/>
  <c r="A1" i="13" l="1"/>
  <c r="A2" i="10"/>
  <c r="A1" i="10"/>
  <c r="A1" i="23"/>
  <c r="A2" i="8"/>
  <c r="A1" i="8"/>
  <c r="A1" i="24"/>
  <c r="A1" i="16"/>
  <c r="A1" i="19"/>
  <c r="A1" i="12"/>
  <c r="A1" i="22"/>
  <c r="A1" i="15"/>
  <c r="A1" i="5"/>
  <c r="A2" i="20" s="1"/>
  <c r="B14" i="8" l="1"/>
  <c r="B31" i="8"/>
  <c r="B9" i="8" l="1"/>
  <c r="A2" i="12"/>
  <c r="G5" i="23" l="1"/>
  <c r="B52" i="23" l="1"/>
  <c r="B55" i="24"/>
  <c r="B54" i="22"/>
  <c r="G7" i="5" l="1"/>
  <c r="G6" i="5"/>
  <c r="G5" i="5"/>
  <c r="Z13" i="5" s="1"/>
  <c r="G4" i="5"/>
  <c r="X12" i="5" s="1"/>
  <c r="X14" i="5" l="1"/>
  <c r="X15" i="5"/>
  <c r="V12" i="5"/>
  <c r="Z12" i="5"/>
  <c r="Z14" i="5"/>
  <c r="Z15" i="5"/>
  <c r="X13" i="5"/>
  <c r="B9" i="18"/>
  <c r="D39" i="16" l="1"/>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L22" i="22"/>
  <c r="L28" i="22" s="1"/>
  <c r="L33" i="15"/>
  <c r="K33" i="15"/>
  <c r="L20" i="22"/>
  <c r="K21" i="22"/>
  <c r="K27" i="22" s="1"/>
  <c r="M21" i="22" l="1"/>
  <c r="M27" i="22" s="1"/>
  <c r="J33" i="15"/>
  <c r="L21" i="22"/>
  <c r="L27" i="22" s="1"/>
  <c r="K34" i="15"/>
  <c r="K22" i="22"/>
  <c r="K28" i="22" s="1"/>
  <c r="M35" i="24"/>
  <c r="M37" i="24"/>
  <c r="J34" i="15"/>
  <c r="K20" i="22"/>
  <c r="M22" i="22"/>
  <c r="M28" i="22" s="1"/>
  <c r="K23" i="22"/>
  <c r="M38" i="24"/>
  <c r="M36" i="24"/>
  <c r="M20" i="22"/>
  <c r="L23" i="22"/>
  <c r="M23" i="22"/>
  <c r="E5" i="16" l="1"/>
  <c r="D5" i="23"/>
  <c r="M39" i="16"/>
  <c r="E5" i="24"/>
  <c r="L39" i="16"/>
  <c r="K39" i="16"/>
  <c r="E6" i="24"/>
  <c r="I6" i="22" l="1"/>
  <c r="F6" i="22"/>
  <c r="E6" i="22"/>
  <c r="I5" i="22"/>
  <c r="F5" i="22"/>
  <c r="E5" i="22"/>
  <c r="M36" i="22" l="1"/>
  <c r="I36" i="22"/>
  <c r="H36" i="22"/>
  <c r="G36" i="22"/>
  <c r="F36" i="22"/>
  <c r="E36" i="22"/>
  <c r="C36" i="22"/>
  <c r="C42" i="22" s="1"/>
  <c r="D42" i="22" s="1"/>
  <c r="M35" i="22"/>
  <c r="I35" i="22"/>
  <c r="H35" i="22"/>
  <c r="G35" i="22"/>
  <c r="F35" i="22"/>
  <c r="E35" i="22"/>
  <c r="C35" i="22"/>
  <c r="C41" i="22" s="1"/>
  <c r="D41" i="22" s="1"/>
  <c r="E41" i="22" l="1"/>
  <c r="E42" i="22"/>
  <c r="L34" i="23"/>
  <c r="C34" i="23"/>
  <c r="C40" i="23" s="1"/>
  <c r="L33" i="23"/>
  <c r="C33" i="23"/>
  <c r="C39" i="23" s="1"/>
  <c r="C13" i="13"/>
  <c r="B13" i="13"/>
  <c r="C13" i="23"/>
  <c r="B13" i="23"/>
  <c r="C10" i="24"/>
  <c r="B10" i="24"/>
  <c r="C13" i="16"/>
  <c r="B13" i="16"/>
  <c r="C10" i="22"/>
  <c r="B10" i="22"/>
  <c r="J47" i="15" l="1"/>
  <c r="J45" i="31" s="1"/>
  <c r="J49" i="31" l="1"/>
  <c r="J48" i="31"/>
  <c r="J47" i="31"/>
  <c r="J50" i="31"/>
  <c r="K47" i="15"/>
  <c r="J40" i="29"/>
  <c r="G39" i="16"/>
  <c r="F39" i="16"/>
  <c r="E39" i="16"/>
  <c r="K43" i="31" l="1"/>
  <c r="K41" i="31"/>
  <c r="K42" i="31"/>
  <c r="K40" i="29"/>
  <c r="K45" i="31"/>
  <c r="K47" i="31" s="1"/>
  <c r="J52" i="31"/>
  <c r="K40" i="31"/>
  <c r="J54" i="31"/>
  <c r="J43" i="29"/>
  <c r="J44" i="29"/>
  <c r="J45" i="29"/>
  <c r="J42" i="29"/>
  <c r="E15" i="16"/>
  <c r="K50" i="31" l="1"/>
  <c r="H7" i="31" s="1"/>
  <c r="I7" i="31" s="1"/>
  <c r="AA23" i="5" s="1"/>
  <c r="K49" i="31"/>
  <c r="K48" i="31"/>
  <c r="L43" i="31"/>
  <c r="J7" i="31" s="1"/>
  <c r="H4" i="31"/>
  <c r="I4" i="31" s="1"/>
  <c r="AA20" i="5" s="1"/>
  <c r="J51" i="31"/>
  <c r="L47" i="31"/>
  <c r="L40" i="31"/>
  <c r="I10" i="31"/>
  <c r="I12" i="31"/>
  <c r="L50" i="31"/>
  <c r="J49" i="29"/>
  <c r="J46" i="29" s="1"/>
  <c r="J47" i="29"/>
  <c r="K35" i="29"/>
  <c r="K42" i="29"/>
  <c r="K45" i="29"/>
  <c r="H7" i="29" s="1"/>
  <c r="I7" i="29" s="1"/>
  <c r="Z23" i="5" s="1"/>
  <c r="K38" i="29"/>
  <c r="K37" i="29"/>
  <c r="K44" i="29"/>
  <c r="H6" i="29" s="1"/>
  <c r="I6" i="29" s="1"/>
  <c r="Z22" i="5" s="1"/>
  <c r="K43" i="29"/>
  <c r="H5" i="29" s="1"/>
  <c r="I5" i="29" s="1"/>
  <c r="Z21" i="5" s="1"/>
  <c r="K36" i="29"/>
  <c r="N27" i="16"/>
  <c r="F5" i="16" s="1"/>
  <c r="I11" i="31" l="1"/>
  <c r="H5" i="31"/>
  <c r="I5" i="31" s="1"/>
  <c r="AA21" i="5" s="1"/>
  <c r="H6" i="31"/>
  <c r="I6" i="31" s="1"/>
  <c r="AA22" i="5" s="1"/>
  <c r="K52" i="31"/>
  <c r="L49" i="31"/>
  <c r="L42" i="31"/>
  <c r="H8" i="31"/>
  <c r="L48" i="31"/>
  <c r="L41" i="31"/>
  <c r="K54" i="31"/>
  <c r="I13" i="31"/>
  <c r="J4" i="31"/>
  <c r="I8" i="31"/>
  <c r="K49" i="29"/>
  <c r="K46" i="29" s="1"/>
  <c r="K47" i="29"/>
  <c r="L42" i="29"/>
  <c r="L35" i="29"/>
  <c r="L36" i="29"/>
  <c r="J5" i="29" s="1"/>
  <c r="L43" i="29"/>
  <c r="H4" i="29"/>
  <c r="L38" i="29"/>
  <c r="J7" i="29" s="1"/>
  <c r="L45" i="29"/>
  <c r="L44" i="29"/>
  <c r="L37" i="29"/>
  <c r="J6" i="29" s="1"/>
  <c r="C55" i="24"/>
  <c r="C41" i="24"/>
  <c r="E11" i="24"/>
  <c r="F11" i="24" s="1"/>
  <c r="G11" i="24" s="1"/>
  <c r="H11" i="24" s="1"/>
  <c r="I11" i="24" s="1"/>
  <c r="J11" i="24" s="1"/>
  <c r="K11" i="24" s="1"/>
  <c r="L11" i="24" s="1"/>
  <c r="M11" i="24" s="1"/>
  <c r="I7" i="24"/>
  <c r="I4" i="24"/>
  <c r="L54" i="31" l="1"/>
  <c r="L51" i="31" s="1"/>
  <c r="L52" i="31"/>
  <c r="K51" i="31"/>
  <c r="L49" i="29"/>
  <c r="L46" i="29" s="1"/>
  <c r="L47" i="29"/>
  <c r="H8" i="29"/>
  <c r="I4" i="29"/>
  <c r="Z20" i="5" s="1"/>
  <c r="I8" i="24"/>
  <c r="E7" i="24"/>
  <c r="E4" i="24"/>
  <c r="J4" i="29" l="1"/>
  <c r="I8" i="29"/>
  <c r="E8" i="24"/>
  <c r="D14" i="13" l="1"/>
  <c r="D14" i="23"/>
  <c r="E14" i="23" s="1"/>
  <c r="F14" i="23" s="1"/>
  <c r="G14" i="23" s="1"/>
  <c r="H14" i="23" s="1"/>
  <c r="I14" i="23" s="1"/>
  <c r="J14" i="23" s="1"/>
  <c r="K14" i="23" s="1"/>
  <c r="L14" i="23" s="1"/>
  <c r="E14" i="16"/>
  <c r="E11" i="22"/>
  <c r="E14" i="15"/>
  <c r="F14" i="15" s="1"/>
  <c r="G14" i="15" s="1"/>
  <c r="H14" i="15" s="1"/>
  <c r="I14" i="15" s="1"/>
  <c r="J14" i="15" s="1"/>
  <c r="K14" i="15" s="1"/>
  <c r="L14" i="15" s="1"/>
  <c r="M11" i="22" s="1"/>
  <c r="C52" i="23"/>
  <c r="C35" i="23"/>
  <c r="C41" i="23" s="1"/>
  <c r="C32" i="23"/>
  <c r="C38" i="23" s="1"/>
  <c r="L35" i="23"/>
  <c r="L32" i="23"/>
  <c r="G4" i="23"/>
  <c r="G6" i="23" s="1"/>
  <c r="C38" i="16"/>
  <c r="C54" i="22"/>
  <c r="M52" i="22"/>
  <c r="M29" i="22"/>
  <c r="L29" i="22"/>
  <c r="K29" i="22"/>
  <c r="M26" i="22"/>
  <c r="L26" i="22"/>
  <c r="K26" i="22"/>
  <c r="C37" i="22"/>
  <c r="C43" i="22" s="1"/>
  <c r="D43" i="22" s="1"/>
  <c r="H37" i="22"/>
  <c r="G37" i="22"/>
  <c r="G34" i="22"/>
  <c r="F34" i="22"/>
  <c r="I7" i="22"/>
  <c r="I4" i="22"/>
  <c r="I8" i="22" l="1"/>
  <c r="M34" i="22"/>
  <c r="H34" i="22"/>
  <c r="I34" i="22"/>
  <c r="F37" i="22"/>
  <c r="I37" i="22"/>
  <c r="J11" i="23"/>
  <c r="F4" i="22"/>
  <c r="M37" i="22"/>
  <c r="F7" i="22"/>
  <c r="D4" i="23"/>
  <c r="F11" i="22"/>
  <c r="H11" i="22"/>
  <c r="G11" i="22"/>
  <c r="I11" i="22"/>
  <c r="J11" i="22"/>
  <c r="K11" i="22"/>
  <c r="L11" i="22"/>
  <c r="E37" i="22"/>
  <c r="E43" i="22" s="1"/>
  <c r="E7" i="22"/>
  <c r="E4" i="22"/>
  <c r="C34" i="22"/>
  <c r="C40" i="22" s="1"/>
  <c r="D40" i="22" s="1"/>
  <c r="E34" i="22"/>
  <c r="E40" i="22" l="1"/>
  <c r="D6" i="23"/>
  <c r="F8" i="22"/>
  <c r="E8" i="22"/>
  <c r="A2" i="19" l="1"/>
  <c r="AA15" i="5" l="1"/>
  <c r="AA14" i="5"/>
  <c r="E16" i="20" l="1"/>
  <c r="E15" i="20"/>
  <c r="D16" i="20"/>
  <c r="AA13" i="5"/>
  <c r="D15" i="20"/>
  <c r="J11" i="13"/>
  <c r="C16" i="10" l="1"/>
  <c r="D14" i="20"/>
  <c r="E14" i="20"/>
  <c r="K11" i="15"/>
  <c r="L11" i="16"/>
  <c r="B13" i="12" l="1"/>
  <c r="B7" i="12" s="1"/>
  <c r="B8" i="12" s="1"/>
  <c r="T15" i="5"/>
  <c r="T14" i="5"/>
  <c r="T13" i="5"/>
  <c r="C13" i="12" l="1"/>
  <c r="C7" i="12" s="1"/>
  <c r="D38" i="16" l="1"/>
  <c r="D15" i="16"/>
  <c r="B52" i="16" l="1"/>
  <c r="B54" i="15"/>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41" i="15" l="1"/>
  <c r="H46" i="24" l="1"/>
  <c r="G35" i="13"/>
  <c r="G43" i="23"/>
  <c r="H45" i="16"/>
  <c r="H45" i="22"/>
  <c r="E46" i="24"/>
  <c r="D35" i="13"/>
  <c r="E45" i="16"/>
  <c r="D43" i="23"/>
  <c r="E45" i="22"/>
  <c r="F46" i="24"/>
  <c r="E35" i="13"/>
  <c r="E43" i="23"/>
  <c r="F45" i="16"/>
  <c r="F45" i="22"/>
  <c r="G46" i="24"/>
  <c r="F35" i="13"/>
  <c r="F43" i="23"/>
  <c r="G45" i="16"/>
  <c r="G45" i="22"/>
  <c r="I46" i="24"/>
  <c r="H35" i="13"/>
  <c r="H43" i="23"/>
  <c r="I45" i="16"/>
  <c r="I45" i="22"/>
  <c r="E49" i="22" l="1"/>
  <c r="E48" i="22"/>
  <c r="E50" i="22"/>
  <c r="E47" i="22"/>
  <c r="D38" i="13"/>
  <c r="D37" i="13"/>
  <c r="J46" i="24"/>
  <c r="I43" i="23"/>
  <c r="J45" i="16"/>
  <c r="I35" i="13"/>
  <c r="J45" i="22"/>
  <c r="C52" i="16"/>
  <c r="D52" i="16" s="1"/>
  <c r="E54" i="22" l="1"/>
  <c r="E51" i="22" s="1"/>
  <c r="F42" i="22"/>
  <c r="F49" i="22"/>
  <c r="F41" i="22"/>
  <c r="F48" i="22"/>
  <c r="F47" i="22"/>
  <c r="E52" i="22"/>
  <c r="F40" i="22"/>
  <c r="E37" i="13"/>
  <c r="E32" i="13"/>
  <c r="D40" i="13"/>
  <c r="D42" i="13"/>
  <c r="D39" i="13" s="1"/>
  <c r="F50" i="22"/>
  <c r="F43" i="22"/>
  <c r="E33" i="13"/>
  <c r="E38" i="13"/>
  <c r="L35" i="15"/>
  <c r="K35" i="15"/>
  <c r="J35" i="15"/>
  <c r="L32" i="15"/>
  <c r="K32" i="15"/>
  <c r="J32" i="15"/>
  <c r="F54" i="22" l="1"/>
  <c r="F51" i="22" s="1"/>
  <c r="G42" i="22"/>
  <c r="G41" i="22"/>
  <c r="G48" i="22"/>
  <c r="G49" i="22"/>
  <c r="G47" i="22"/>
  <c r="G40" i="22"/>
  <c r="F52" i="22"/>
  <c r="F33" i="13"/>
  <c r="F38" i="13"/>
  <c r="F32" i="13"/>
  <c r="F37" i="13"/>
  <c r="G43" i="22"/>
  <c r="G50" i="22"/>
  <c r="E40" i="13"/>
  <c r="E42" i="13"/>
  <c r="E39" i="13" s="1"/>
  <c r="G38" i="13" l="1"/>
  <c r="G37" i="13"/>
  <c r="H49" i="22"/>
  <c r="G54" i="22"/>
  <c r="G51" i="22" s="1"/>
  <c r="H42" i="22"/>
  <c r="H41" i="22"/>
  <c r="H48" i="22"/>
  <c r="H50" i="22"/>
  <c r="H43" i="22"/>
  <c r="H40" i="22"/>
  <c r="H47" i="22"/>
  <c r="G33" i="13"/>
  <c r="G52" i="22"/>
  <c r="G32" i="13"/>
  <c r="F42" i="13"/>
  <c r="F39" i="13" s="1"/>
  <c r="F40" i="13"/>
  <c r="H37" i="13" l="1"/>
  <c r="H54" i="22"/>
  <c r="H51" i="22" s="1"/>
  <c r="I48" i="22"/>
  <c r="I41" i="22"/>
  <c r="I42" i="22"/>
  <c r="I49" i="22"/>
  <c r="H33" i="13"/>
  <c r="H38" i="13"/>
  <c r="I40" i="22"/>
  <c r="I47" i="22"/>
  <c r="G40" i="13"/>
  <c r="G42" i="13"/>
  <c r="G39" i="13" s="1"/>
  <c r="H32" i="13"/>
  <c r="H52" i="22"/>
  <c r="I50" i="22"/>
  <c r="I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I54" i="22" l="1"/>
  <c r="I51" i="22" s="1"/>
  <c r="I52" i="22"/>
  <c r="K46" i="24"/>
  <c r="J43" i="23"/>
  <c r="K45" i="16"/>
  <c r="J35" i="13"/>
  <c r="K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L45" i="22"/>
  <c r="L45" i="16"/>
  <c r="K38" i="13" l="1"/>
  <c r="H4" i="13"/>
  <c r="L32" i="13"/>
  <c r="L37" i="13"/>
  <c r="L33" i="13" l="1"/>
  <c r="K40" i="13"/>
  <c r="H5" i="13"/>
  <c r="I5" i="13" s="1"/>
  <c r="I9" i="13" s="1"/>
  <c r="F22" i="5" s="1"/>
  <c r="K42" i="13"/>
  <c r="K39" i="13" s="1"/>
  <c r="L38" i="13"/>
  <c r="L40" i="13" s="1"/>
  <c r="I4" i="13"/>
  <c r="F20" i="5" l="1"/>
  <c r="L42" i="13"/>
  <c r="L39" i="13" s="1"/>
  <c r="J5" i="13"/>
  <c r="I8" i="13"/>
  <c r="I10" i="13"/>
  <c r="F23" i="5" s="1"/>
  <c r="H6" i="13"/>
  <c r="V22" i="5"/>
  <c r="I6" i="13"/>
  <c r="J4" i="13"/>
  <c r="V21" i="5" l="1"/>
  <c r="F21" i="5"/>
  <c r="V23" i="5"/>
  <c r="I11" i="13"/>
  <c r="V20" i="5" l="1"/>
  <c r="E13" i="20" l="1"/>
  <c r="D13" i="20"/>
  <c r="E5" i="20" l="1"/>
  <c r="E21" i="20" s="1"/>
  <c r="B15" i="10"/>
  <c r="B13" i="10"/>
  <c r="B14" i="10"/>
  <c r="D10" i="10"/>
  <c r="D11" i="10" s="1"/>
  <c r="V14" i="5" l="1"/>
  <c r="E7" i="20" s="1"/>
  <c r="E23" i="20" s="1"/>
  <c r="B16" i="10"/>
  <c r="V13" i="5"/>
  <c r="E6" i="20" s="1"/>
  <c r="E22" i="20" s="1"/>
  <c r="V15" i="5"/>
  <c r="E8" i="20" s="1"/>
  <c r="E24" i="20" s="1"/>
  <c r="F4" i="5"/>
  <c r="M4" i="5"/>
  <c r="V25" i="5" s="1"/>
  <c r="M7" i="5" l="1"/>
  <c r="F7" i="5"/>
  <c r="F5" i="5"/>
  <c r="M5" i="5"/>
  <c r="V26" i="5" s="1"/>
  <c r="F6" i="5"/>
  <c r="M6" i="5"/>
  <c r="E26" i="20"/>
  <c r="K23" i="15"/>
  <c r="K41" i="15" s="1"/>
  <c r="E28" i="20" l="1"/>
  <c r="V27" i="5"/>
  <c r="E29" i="20"/>
  <c r="V28" i="5"/>
  <c r="E27" i="20"/>
  <c r="J22" i="15"/>
  <c r="J40" i="15" l="1"/>
  <c r="K22" i="15" l="1"/>
  <c r="K40" i="15" l="1"/>
  <c r="J23" i="15" l="1"/>
  <c r="J41" i="15" s="1"/>
  <c r="K38" i="16" l="1"/>
  <c r="L38" i="16" l="1"/>
  <c r="T12" i="5"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J37" i="22" l="1"/>
  <c r="J36" i="22" l="1"/>
  <c r="J43" i="22"/>
  <c r="J50" i="22"/>
  <c r="J34" i="22"/>
  <c r="J47" i="22" l="1"/>
  <c r="J40" i="22"/>
  <c r="J42" i="22"/>
  <c r="J49" i="22"/>
  <c r="J35" i="22" l="1"/>
  <c r="J48" i="22" l="1"/>
  <c r="J41" i="22"/>
  <c r="J52" i="22" l="1"/>
  <c r="J54" i="22"/>
  <c r="J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G49" i="15" l="1"/>
  <c r="H45" i="15"/>
  <c r="H50" i="15"/>
  <c r="F52" i="15"/>
  <c r="F54" i="15"/>
  <c r="F51" i="15" s="1"/>
  <c r="G44" i="15"/>
  <c r="I50" i="15" l="1"/>
  <c r="H44" i="15"/>
  <c r="H49" i="15"/>
  <c r="G52" i="15"/>
  <c r="G54" i="15"/>
  <c r="G51" i="15" s="1"/>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L34" i="22" l="1"/>
  <c r="K34" i="22"/>
  <c r="G4" i="22"/>
  <c r="L37" i="22"/>
  <c r="L36" i="22"/>
  <c r="H4" i="22" l="1"/>
  <c r="K37" i="22"/>
  <c r="G7" i="22"/>
  <c r="H7" i="22" s="1"/>
  <c r="K36" i="22"/>
  <c r="G6" i="22"/>
  <c r="H6" i="22" s="1"/>
  <c r="K40" i="22"/>
  <c r="K47" i="22"/>
  <c r="K50" i="22" l="1"/>
  <c r="K43" i="22"/>
  <c r="L40" i="22"/>
  <c r="L47" i="22"/>
  <c r="K49" i="22"/>
  <c r="K42" i="22"/>
  <c r="L43" i="22" l="1"/>
  <c r="L50" i="22"/>
  <c r="J4" i="22"/>
  <c r="L35" i="22"/>
  <c r="M40" i="22"/>
  <c r="K35" i="22"/>
  <c r="G5" i="22"/>
  <c r="L49" i="22"/>
  <c r="L42" i="22"/>
  <c r="J7" i="22" l="1"/>
  <c r="K7" i="22" s="1"/>
  <c r="X23" i="5" s="1"/>
  <c r="M42" i="22"/>
  <c r="H5" i="22"/>
  <c r="G8" i="22"/>
  <c r="K4" i="22"/>
  <c r="X20" i="5" s="1"/>
  <c r="M43" i="22"/>
  <c r="J6" i="22"/>
  <c r="K6" i="22" s="1"/>
  <c r="K41" i="22"/>
  <c r="K48" i="22"/>
  <c r="C9" i="18"/>
  <c r="L7" i="22" l="1"/>
  <c r="C23" i="5"/>
  <c r="J7" i="5" s="1"/>
  <c r="L4" i="22"/>
  <c r="C20" i="5"/>
  <c r="J4" i="5" s="1"/>
  <c r="H8" i="22"/>
  <c r="K52" i="22"/>
  <c r="K54" i="22"/>
  <c r="K51" i="22" s="1"/>
  <c r="L41" i="22"/>
  <c r="L48" i="22"/>
  <c r="L6" i="22"/>
  <c r="X22" i="5"/>
  <c r="C22" i="5"/>
  <c r="B16" i="20"/>
  <c r="B24" i="20" s="1"/>
  <c r="J6" i="5" l="1"/>
  <c r="S27" i="5" s="1"/>
  <c r="S28" i="5"/>
  <c r="C7" i="5"/>
  <c r="J5" i="22"/>
  <c r="L52" i="22"/>
  <c r="L54" i="22"/>
  <c r="M54" i="22" s="1"/>
  <c r="M41" i="22"/>
  <c r="B13" i="20"/>
  <c r="B21" i="20" s="1"/>
  <c r="C6" i="5"/>
  <c r="C4" i="5"/>
  <c r="B15" i="20"/>
  <c r="B23" i="20" s="1"/>
  <c r="S25" i="5" l="1"/>
  <c r="B29" i="20"/>
  <c r="B26" i="20"/>
  <c r="B28" i="20"/>
  <c r="M51" i="22"/>
  <c r="L51" i="22"/>
  <c r="J8" i="22"/>
  <c r="K5" i="22"/>
  <c r="L5" i="22" l="1"/>
  <c r="X21" i="5"/>
  <c r="C21" i="5"/>
  <c r="J5" i="5" s="1"/>
  <c r="K8" i="22"/>
  <c r="C5" i="5" l="1"/>
  <c r="B14" i="20"/>
  <c r="B22" i="20" s="1"/>
  <c r="S26" i="5" l="1"/>
  <c r="B27" i="20"/>
  <c r="B36" i="8" l="1"/>
  <c r="C31" i="8" l="1"/>
  <c r="C36" i="8"/>
  <c r="D36" i="8" l="1"/>
  <c r="D31" i="8"/>
  <c r="F33" i="8" l="1"/>
  <c r="F12" i="8"/>
  <c r="F34" i="8"/>
  <c r="E36" i="8"/>
  <c r="G34" i="8" l="1"/>
  <c r="E26" i="23"/>
  <c r="E34" i="23" s="1"/>
  <c r="F26" i="23"/>
  <c r="F34" i="23" s="1"/>
  <c r="D26" i="23"/>
  <c r="D34" i="23" s="1"/>
  <c r="G33" i="8"/>
  <c r="F25" i="23"/>
  <c r="F33" i="23" s="1"/>
  <c r="E25" i="23"/>
  <c r="E33" i="23" s="1"/>
  <c r="D25" i="23"/>
  <c r="D33" i="23" s="1"/>
  <c r="F13" i="8"/>
  <c r="F35" i="8"/>
  <c r="F11" i="8"/>
  <c r="E27" i="23" l="1"/>
  <c r="E35" i="23" s="1"/>
  <c r="D27" i="23"/>
  <c r="F27" i="23"/>
  <c r="F35" i="23" s="1"/>
  <c r="G35" i="8"/>
  <c r="D35" i="23"/>
  <c r="E14" i="5"/>
  <c r="E13" i="5"/>
  <c r="D40" i="23"/>
  <c r="D47" i="23"/>
  <c r="D39" i="23"/>
  <c r="D46" i="23"/>
  <c r="I33" i="23"/>
  <c r="H33" i="23"/>
  <c r="K33" i="23"/>
  <c r="J33" i="23"/>
  <c r="K34" i="23"/>
  <c r="G34" i="23"/>
  <c r="H34" i="23"/>
  <c r="I34" i="23"/>
  <c r="G33" i="23"/>
  <c r="F14" i="8"/>
  <c r="F36" i="8"/>
  <c r="U13" i="5" l="1"/>
  <c r="E15" i="5"/>
  <c r="D41" i="23"/>
  <c r="D48" i="23"/>
  <c r="E39" i="23"/>
  <c r="E46" i="23"/>
  <c r="E47" i="23"/>
  <c r="E40" i="23"/>
  <c r="U14" i="5"/>
  <c r="K35" i="23"/>
  <c r="H35" i="23"/>
  <c r="G35" i="23"/>
  <c r="I35" i="23"/>
  <c r="G36" i="8"/>
  <c r="J34" i="23"/>
  <c r="U15" i="5"/>
  <c r="G14" i="8"/>
  <c r="F47" i="23" l="1"/>
  <c r="F40" i="23"/>
  <c r="F39" i="23"/>
  <c r="F46" i="23"/>
  <c r="E48" i="23"/>
  <c r="E41" i="23"/>
  <c r="J35" i="23"/>
  <c r="E5" i="23"/>
  <c r="F5" i="23" s="1"/>
  <c r="E31" i="8"/>
  <c r="F29" i="8"/>
  <c r="F8" i="8"/>
  <c r="F30" i="8"/>
  <c r="G30" i="8" s="1"/>
  <c r="F24" i="23" l="1"/>
  <c r="E24" i="23"/>
  <c r="D24" i="23"/>
  <c r="G29" i="8"/>
  <c r="G39" i="23"/>
  <c r="G46" i="23"/>
  <c r="G40" i="23"/>
  <c r="G47" i="23"/>
  <c r="F41" i="23"/>
  <c r="F48" i="23"/>
  <c r="F31" i="8"/>
  <c r="F7" i="8"/>
  <c r="F9" i="8" s="1"/>
  <c r="E12" i="5" l="1"/>
  <c r="E15" i="23"/>
  <c r="E32" i="23"/>
  <c r="G48" i="23"/>
  <c r="G41" i="23"/>
  <c r="H15" i="23"/>
  <c r="D32" i="23"/>
  <c r="D15" i="23"/>
  <c r="H47" i="23"/>
  <c r="H40" i="23"/>
  <c r="K15" i="23"/>
  <c r="F32" i="23"/>
  <c r="F15" i="23"/>
  <c r="J15" i="23"/>
  <c r="I32" i="23"/>
  <c r="H46" i="23"/>
  <c r="H39" i="23"/>
  <c r="G15" i="23"/>
  <c r="G32" i="23"/>
  <c r="G31" i="8"/>
  <c r="U12" i="5" l="1"/>
  <c r="J32" i="23"/>
  <c r="H41" i="23"/>
  <c r="H48" i="23"/>
  <c r="H32" i="23"/>
  <c r="I15" i="23"/>
  <c r="E4" i="23"/>
  <c r="E6" i="23" s="1"/>
  <c r="I39" i="23"/>
  <c r="I46" i="23"/>
  <c r="D38" i="23"/>
  <c r="D45" i="23"/>
  <c r="D50" i="23" s="1"/>
  <c r="K32" i="23"/>
  <c r="I40" i="23"/>
  <c r="I47" i="23"/>
  <c r="G9" i="8"/>
  <c r="J39" i="23" l="1"/>
  <c r="J46" i="23"/>
  <c r="F4" i="23"/>
  <c r="F6" i="23" s="1"/>
  <c r="J40" i="23"/>
  <c r="J47" i="23"/>
  <c r="D52" i="23"/>
  <c r="D49" i="23" s="1"/>
  <c r="E45" i="23"/>
  <c r="E38" i="23"/>
  <c r="I48" i="23"/>
  <c r="I41" i="23"/>
  <c r="F45" i="23" l="1"/>
  <c r="F38" i="23"/>
  <c r="E50" i="23"/>
  <c r="E52" i="23"/>
  <c r="E49" i="23" s="1"/>
  <c r="K47" i="23"/>
  <c r="K40" i="23"/>
  <c r="J41" i="23"/>
  <c r="J48" i="23"/>
  <c r="K39" i="23"/>
  <c r="K46" i="23"/>
  <c r="K41" i="23" l="1"/>
  <c r="K48" i="23"/>
  <c r="H5" i="23" s="1"/>
  <c r="I5" i="23" s="1"/>
  <c r="G45" i="23"/>
  <c r="G38" i="23"/>
  <c r="L40" i="23"/>
  <c r="L47" i="23"/>
  <c r="L39" i="23"/>
  <c r="L46" i="23"/>
  <c r="F50" i="23"/>
  <c r="F52" i="23"/>
  <c r="F49" i="23" s="1"/>
  <c r="E38" i="24"/>
  <c r="E37" i="24"/>
  <c r="H38" i="23" l="1"/>
  <c r="H45" i="23"/>
  <c r="G50" i="23"/>
  <c r="G52" i="23"/>
  <c r="G49" i="23" s="1"/>
  <c r="I8" i="23"/>
  <c r="U21" i="5" s="1"/>
  <c r="I10" i="23"/>
  <c r="U23" i="5" s="1"/>
  <c r="I9" i="23"/>
  <c r="U22" i="5" s="1"/>
  <c r="L41" i="23"/>
  <c r="J5" i="23" s="1"/>
  <c r="L48" i="23"/>
  <c r="D37" i="24"/>
  <c r="D43" i="24" s="1"/>
  <c r="D35" i="24"/>
  <c r="D41" i="24" s="1"/>
  <c r="F38" i="24"/>
  <c r="F37" i="24"/>
  <c r="E21" i="5" l="1"/>
  <c r="E22" i="5"/>
  <c r="E23" i="5"/>
  <c r="I11" i="23"/>
  <c r="H50" i="23"/>
  <c r="H52" i="23"/>
  <c r="H49" i="23" s="1"/>
  <c r="I45" i="23"/>
  <c r="I38" i="23"/>
  <c r="E35" i="24"/>
  <c r="E41" i="24" s="1"/>
  <c r="D38" i="24"/>
  <c r="D44" i="24" s="1"/>
  <c r="E43" i="24"/>
  <c r="E50" i="24"/>
  <c r="F35" i="24"/>
  <c r="G37" i="24"/>
  <c r="E36" i="24"/>
  <c r="G38" i="24"/>
  <c r="D8" i="20" l="1"/>
  <c r="L7" i="5"/>
  <c r="U28" i="5" s="1"/>
  <c r="E7" i="5"/>
  <c r="D6" i="20"/>
  <c r="J38" i="23"/>
  <c r="J45" i="23"/>
  <c r="L5" i="5"/>
  <c r="U26" i="5" s="1"/>
  <c r="E5" i="5"/>
  <c r="D7" i="20"/>
  <c r="I50" i="23"/>
  <c r="I52" i="23"/>
  <c r="I49" i="23" s="1"/>
  <c r="E6" i="5"/>
  <c r="L6" i="5"/>
  <c r="U27" i="5" s="1"/>
  <c r="E48" i="24"/>
  <c r="F48" i="24" s="1"/>
  <c r="E12" i="24"/>
  <c r="E44" i="24"/>
  <c r="E51" i="24"/>
  <c r="D36" i="24"/>
  <c r="D42" i="24" s="1"/>
  <c r="D55" i="24"/>
  <c r="G35" i="24"/>
  <c r="F50" i="24"/>
  <c r="F43" i="24"/>
  <c r="H37" i="24"/>
  <c r="H38" i="24"/>
  <c r="F6" i="20" l="1"/>
  <c r="D22" i="20"/>
  <c r="D27" i="20" s="1"/>
  <c r="D23" i="20"/>
  <c r="D28" i="20" s="1"/>
  <c r="F7" i="20"/>
  <c r="K45" i="23"/>
  <c r="H4" i="23" s="1"/>
  <c r="K38" i="23"/>
  <c r="F8" i="20"/>
  <c r="D24" i="20"/>
  <c r="D29" i="20" s="1"/>
  <c r="J50" i="23"/>
  <c r="J52" i="23"/>
  <c r="J49" i="23" s="1"/>
  <c r="F44" i="24"/>
  <c r="F41" i="24"/>
  <c r="G48" i="24" s="1"/>
  <c r="F36" i="24"/>
  <c r="F12" i="24"/>
  <c r="G50" i="24"/>
  <c r="G43" i="24"/>
  <c r="F51" i="24"/>
  <c r="E42" i="24"/>
  <c r="E49" i="24"/>
  <c r="E53" i="24" s="1"/>
  <c r="I38" i="24"/>
  <c r="I4" i="23" l="1"/>
  <c r="E20" i="5" s="1"/>
  <c r="H6" i="23"/>
  <c r="L38" i="23"/>
  <c r="L45" i="23"/>
  <c r="K52" i="23"/>
  <c r="K49" i="23" s="1"/>
  <c r="K50" i="23"/>
  <c r="G44" i="24"/>
  <c r="G41" i="24"/>
  <c r="G51" i="24"/>
  <c r="I35" i="24"/>
  <c r="H35" i="24"/>
  <c r="F49" i="24"/>
  <c r="F53" i="24" s="1"/>
  <c r="F42" i="24"/>
  <c r="G36" i="24"/>
  <c r="G12" i="24"/>
  <c r="H43" i="24"/>
  <c r="H50" i="24"/>
  <c r="E55" i="24"/>
  <c r="E52" i="24" s="1"/>
  <c r="J38" i="24"/>
  <c r="J37" i="24"/>
  <c r="H36" i="24"/>
  <c r="L50" i="23" l="1"/>
  <c r="L52" i="23"/>
  <c r="L49" i="23" s="1"/>
  <c r="J4" i="23"/>
  <c r="I6" i="23"/>
  <c r="U20" i="5"/>
  <c r="H48" i="24"/>
  <c r="H51" i="24"/>
  <c r="H44" i="24"/>
  <c r="H41" i="24"/>
  <c r="J35" i="24"/>
  <c r="H12" i="24"/>
  <c r="G42" i="24"/>
  <c r="G49" i="24"/>
  <c r="G53" i="24" s="1"/>
  <c r="I37" i="24"/>
  <c r="I43" i="24" s="1"/>
  <c r="F55" i="24"/>
  <c r="F52" i="24" s="1"/>
  <c r="D5" i="20" l="1"/>
  <c r="L4" i="5"/>
  <c r="U25" i="5" s="1"/>
  <c r="E4" i="5"/>
  <c r="I44" i="24"/>
  <c r="I51" i="24"/>
  <c r="I48" i="24"/>
  <c r="I41" i="24"/>
  <c r="H42" i="24"/>
  <c r="H49" i="24"/>
  <c r="H53" i="24" s="1"/>
  <c r="G55" i="24"/>
  <c r="G52" i="24" s="1"/>
  <c r="I36" i="24"/>
  <c r="I12" i="24"/>
  <c r="I50" i="24"/>
  <c r="J43" i="24" s="1"/>
  <c r="D21" i="20" l="1"/>
  <c r="D26" i="20" s="1"/>
  <c r="F5" i="20"/>
  <c r="J51" i="24"/>
  <c r="J44" i="24"/>
  <c r="J48" i="24"/>
  <c r="J41" i="24"/>
  <c r="J36" i="24"/>
  <c r="J12" i="24"/>
  <c r="H55" i="24"/>
  <c r="H52" i="24" s="1"/>
  <c r="I49" i="24"/>
  <c r="I53" i="24" s="1"/>
  <c r="I42" i="24"/>
  <c r="J50" i="24"/>
  <c r="I55" i="24" l="1"/>
  <c r="I52" i="24" s="1"/>
  <c r="J49" i="24"/>
  <c r="J53" i="24" s="1"/>
  <c r="J42" i="24"/>
  <c r="J55" i="24" l="1"/>
  <c r="J52" i="24" s="1"/>
  <c r="E10" i="19" l="1"/>
  <c r="K35" i="24" l="1"/>
  <c r="N21" i="24"/>
  <c r="F4" i="24" s="1"/>
  <c r="G4" i="24"/>
  <c r="H4" i="24" l="1"/>
  <c r="L35" i="24"/>
  <c r="K41" i="24"/>
  <c r="K48" i="24"/>
  <c r="L48" i="24" l="1"/>
  <c r="L41" i="24"/>
  <c r="M48" i="24" l="1"/>
  <c r="M41" i="24"/>
  <c r="J4" i="24"/>
  <c r="K4" i="24" l="1"/>
  <c r="Y20" i="5" l="1"/>
  <c r="L4" i="24"/>
  <c r="D20" i="5"/>
  <c r="K4" i="5" s="1"/>
  <c r="C6" i="19" l="1"/>
  <c r="Y12" i="5" s="1"/>
  <c r="D12" i="5" l="1"/>
  <c r="D4" i="5" l="1"/>
  <c r="H4" i="5" s="1"/>
  <c r="T25" i="5"/>
  <c r="C13" i="20"/>
  <c r="AB12" i="5"/>
  <c r="F13" i="20" l="1"/>
  <c r="C21" i="20"/>
  <c r="N4" i="5"/>
  <c r="F21" i="20" l="1"/>
  <c r="G21" i="20" s="1"/>
  <c r="C26" i="20"/>
  <c r="N22" i="24" l="1"/>
  <c r="F5" i="24" s="1"/>
  <c r="K12" i="24" l="1"/>
  <c r="N23" i="24"/>
  <c r="F6" i="24" s="1"/>
  <c r="K36" i="24"/>
  <c r="N24" i="24"/>
  <c r="F7" i="24" s="1"/>
  <c r="K38" i="24"/>
  <c r="C8" i="19"/>
  <c r="Y14" i="5" s="1"/>
  <c r="D14" i="5" l="1"/>
  <c r="K49" i="24"/>
  <c r="K42" i="24"/>
  <c r="K44" i="24"/>
  <c r="K51" i="24"/>
  <c r="F8" i="24"/>
  <c r="K37" i="24"/>
  <c r="K50" i="24" l="1"/>
  <c r="K43" i="24"/>
  <c r="L38" i="24"/>
  <c r="L44" i="24" s="1"/>
  <c r="G7" i="24"/>
  <c r="H7" i="24" s="1"/>
  <c r="L36" i="24"/>
  <c r="L42" i="24" s="1"/>
  <c r="G5" i="24"/>
  <c r="C9" i="19"/>
  <c r="Y15" i="5" s="1"/>
  <c r="L49" i="24" l="1"/>
  <c r="J5" i="24" s="1"/>
  <c r="D15" i="5"/>
  <c r="H5" i="24"/>
  <c r="L37" i="24"/>
  <c r="L50" i="24" s="1"/>
  <c r="G6" i="24"/>
  <c r="H6" i="24" s="1"/>
  <c r="L12" i="24"/>
  <c r="K55" i="24"/>
  <c r="K52" i="24" s="1"/>
  <c r="L51" i="24"/>
  <c r="K53" i="24"/>
  <c r="M42" i="24" l="1"/>
  <c r="H8" i="24"/>
  <c r="G8" i="24"/>
  <c r="J6" i="24"/>
  <c r="K6" i="24" s="1"/>
  <c r="L53" i="24"/>
  <c r="J7" i="24"/>
  <c r="K7" i="24" s="1"/>
  <c r="K5" i="24"/>
  <c r="L55" i="24"/>
  <c r="L43" i="24"/>
  <c r="M43" i="24" s="1"/>
  <c r="M44" i="24"/>
  <c r="M51" i="24"/>
  <c r="M53" i="24" s="1"/>
  <c r="J8" i="24" l="1"/>
  <c r="Y22" i="5"/>
  <c r="L6" i="24"/>
  <c r="D22" i="5"/>
  <c r="D21" i="5"/>
  <c r="Y21" i="5"/>
  <c r="K8" i="24"/>
  <c r="L5" i="24"/>
  <c r="Y23" i="5"/>
  <c r="D23" i="5"/>
  <c r="K7" i="5" s="1"/>
  <c r="L7" i="24"/>
  <c r="L52" i="24"/>
  <c r="M55" i="24"/>
  <c r="M52" i="24" s="1"/>
  <c r="B10" i="19" l="1"/>
  <c r="D6" i="5"/>
  <c r="K6" i="5"/>
  <c r="T27" i="5" s="1"/>
  <c r="T28" i="5"/>
  <c r="D7" i="5"/>
  <c r="C16" i="20"/>
  <c r="AB15" i="5"/>
  <c r="AB14" i="5"/>
  <c r="C15" i="20"/>
  <c r="F15" i="20" l="1"/>
  <c r="C23" i="20"/>
  <c r="H7" i="5"/>
  <c r="H6" i="5"/>
  <c r="F16" i="20"/>
  <c r="C24" i="20"/>
  <c r="N6" i="5" l="1"/>
  <c r="C29" i="20"/>
  <c r="F24" i="20"/>
  <c r="G24" i="20" s="1"/>
  <c r="N7" i="5"/>
  <c r="C28" i="20"/>
  <c r="F23" i="20"/>
  <c r="G23" i="20" s="1"/>
  <c r="C7" i="19" l="1"/>
  <c r="D10" i="19"/>
  <c r="Y13" i="5" l="1"/>
  <c r="D13" i="5"/>
  <c r="C10" i="19"/>
  <c r="D5" i="5" l="1"/>
  <c r="K5" i="5"/>
  <c r="T26" i="5" s="1"/>
  <c r="C14" i="20"/>
  <c r="AB13" i="5"/>
  <c r="C22" i="20" l="1"/>
  <c r="F14" i="20"/>
  <c r="H5" i="5"/>
  <c r="N5" i="5" l="1"/>
  <c r="F22" i="20"/>
  <c r="G22" i="20" s="1"/>
  <c r="C27" i="20"/>
</calcChain>
</file>

<file path=xl/sharedStrings.xml><?xml version="1.0" encoding="utf-8"?>
<sst xmlns="http://schemas.openxmlformats.org/spreadsheetml/2006/main" count="845" uniqueCount="285">
  <si>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</si>
  <si>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</si>
  <si>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</si>
  <si>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</si>
  <si>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</si>
  <si>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</si>
  <si>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</si>
  <si>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</si>
  <si>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</si>
  <si>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</si>
  <si>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</si>
  <si>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</si>
  <si>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</si>
  <si>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</si>
  <si>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</si>
  <si>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</si>
  <si>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</si>
  <si>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</si>
  <si>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</si>
  <si>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</si>
  <si>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</si>
  <si>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</si>
  <si>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</si>
  <si>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</si>
  <si>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</si>
  <si>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</si>
  <si>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</si>
  <si>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</si>
  <si>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</si>
  <si>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</si>
  <si>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</si>
  <si>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</si>
  <si>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</si>
  <si>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</si>
  <si>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</si>
  <si>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</si>
  <si>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</si>
  <si>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</si>
  <si>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</si>
  <si>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</si>
  <si>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</si>
  <si>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</si>
  <si>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</si>
  <si>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</si>
  <si>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</si>
  <si>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</si>
  <si>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</si>
  <si>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</si>
  <si>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</si>
  <si>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</si>
  <si>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</si>
  <si>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</si>
  <si>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</si>
  <si>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</si>
  <si>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</si>
  <si>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</si>
  <si>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</si>
  <si>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</si>
  <si>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</si>
  <si>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</si>
  <si>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</si>
  <si>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</si>
  <si>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</si>
  <si>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</si>
  <si>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</si>
  <si>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</si>
  <si>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</si>
  <si>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</si>
  <si>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</si>
  <si>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</si>
  <si>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</si>
  <si>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</si>
  <si>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</si>
  <si>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</si>
  <si>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</si>
  <si>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</si>
  <si>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</si>
  <si>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</si>
  <si>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</si>
  <si>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</si>
  <si>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</si>
  <si>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</si>
  <si>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</si>
  <si>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</si>
  <si>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</si>
  <si>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</si>
  <si>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</si>
  <si>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</si>
  <si>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</si>
  <si>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</si>
  <si>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</si>
  <si>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</si>
  <si>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</si>
  <si>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</si>
  <si>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</si>
  <si>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</si>
  <si>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</si>
  <si>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</si>
  <si>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</si>
  <si>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</si>
  <si>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</si>
  <si>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</si>
  <si>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</si>
  <si>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</si>
  <si>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</si>
  <si>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</si>
  <si>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</si>
  <si>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</si>
  <si>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</si>
  <si>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</si>
  <si>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</si>
  <si>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</si>
  <si>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</si>
  <si>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</si>
  <si>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</si>
  <si>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</si>
  <si>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</si>
  <si>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</si>
  <si>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</si>
  <si>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</si>
  <si>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</si>
  <si>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</si>
  <si>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</si>
  <si>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</si>
  <si>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</si>
  <si>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</si>
  <si>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</si>
  <si>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</si>
  <si>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</si>
  <si>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</si>
  <si>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</si>
  <si>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</si>
  <si>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</si>
  <si>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</si>
  <si>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</si>
  <si>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</si>
  <si>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</si>
  <si>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</si>
  <si>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</si>
  <si>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</si>
  <si>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</si>
  <si>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</si>
  <si>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</si>
  <si>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</si>
  <si>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</si>
  <si>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</si>
  <si>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</si>
  <si>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</si>
  <si>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</si>
  <si>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</si>
  <si>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</si>
  <si>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</si>
  <si>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</si>
  <si>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Cycle 2 - Total</t>
  </si>
  <si>
    <t>1. Total Earnings Opportunity - Source: Missouri West EO Calculation PY1-PY3 v2.xlsx, Missouri West EO Calculation PY4.xlsx</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</si>
  <si>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</si>
  <si>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</si>
  <si>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</si>
  <si>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</si>
  <si>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</si>
  <si>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3 - EO TD Adjustments ??</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</si>
  <si>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</si>
  <si>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</si>
  <si>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</si>
  <si>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</si>
  <si>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</si>
  <si>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</si>
  <si>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</si>
  <si>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2. Forecasted program costs by customer class - Source: sum of 3. and 4.</t>
  </si>
  <si>
    <t>2. Forecasted Throughput Disincentive -Sum of 3. and 4.</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</si>
  <si>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</si>
  <si>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</si>
  <si>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</si>
  <si>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</si>
  <si>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</si>
  <si>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</si>
  <si>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</si>
  <si>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2. Forecasted Throughput Disincentive - Source: None, TD reset effective December 2022</t>
  </si>
  <si>
    <t>Cycle 3 - Program Year 1 EO TD Adjustments May 2022 - November 2022 (Amortize February 2023 - January 2024)</t>
  </si>
  <si>
    <t>Allocation</t>
  </si>
  <si>
    <t>Cycle 2 - EO TD Adjustments Carrying Costs May 2022 - November 2022 (Amortize February 2023-January 2025)</t>
  </si>
  <si>
    <t>Evergy Missouri West, Inc. - DSIM Rider Update Filed 06/01/2023</t>
  </si>
  <si>
    <t>Projections for Cycle 3 July 2023 - June 2024 DSIM</t>
  </si>
  <si>
    <t>4. Cycle 3 Extension - July 2023 - June 2024</t>
  </si>
  <si>
    <t>Cumulative Over/Under Carryover From 12/01/2022 Filing</t>
  </si>
  <si>
    <t>Reverse November 2022 - January 2023 Forecast From 12/01/2022 Filing</t>
  </si>
  <si>
    <t>3. Cycle 3 Forecast - July 2023 - June 2024</t>
  </si>
  <si>
    <t>Cycle 2 - EO TD Adjustments December 2022 (Amortize August 2023-July 2025)</t>
  </si>
  <si>
    <t>Cycle 3 - Program Year 2 (including EO TD Adjustments through December 2022) (Amortize August 2023-July 2024)</t>
  </si>
  <si>
    <t>3. Forecasted program costs by customer class - Source: MEEIA Cycle 3 Forecast MO West 42023.xlsx</t>
  </si>
  <si>
    <t>4. Forecasted program costs by customer class - Source: MEEIA Cycle 3 Forecast MO West 42023.xlsx</t>
  </si>
  <si>
    <t>5. Monthly Short-Term Borrowing Rate - Source: Missouri West Short-Term Borrowing Rate November 2022 - April 2023.xlsx</t>
  </si>
  <si>
    <t>7. Cycle 2 kWh Participation - Source: Missouri West Cycle 2 Monthly TD Calc 122022 01092023.xlsx</t>
  </si>
  <si>
    <t>6. Monthly Short-Term Borrowing Rate - Source: Missouri West Short-Term Borrowing Rate November 2022 - April 2023.xlsx</t>
  </si>
  <si>
    <t>3. Forecasted Throughput Disincentive - Source: MEEIA Cycle 3 Forecast MO West 042023.xlsx</t>
  </si>
  <si>
    <t>4. Forecasted Throughput Disincentive - Source: MEEIA Cycle 3 Forecast MO West 042023.xlsx</t>
  </si>
  <si>
    <t>1. &amp; 4. Actual monthly TD - Source: Missouri West Cycle 2 Monthly TD Calc 122022 01092023.xlsx
    Forecasted monthly TD - Source: None</t>
  </si>
  <si>
    <t>3. Actual kWh Sales Impact - Source:  Missouri West Cycle 2 Monthly TD Calc 122022 01092023.xlsx
    Forecasted kWh Sales Impact - Source: None</t>
  </si>
  <si>
    <t>8. Cycle 2 kWh Participation - Source: Missouri West Cycle 2 Monthly TD Calc 122022 01092023.xlsx</t>
  </si>
  <si>
    <t>1. &amp; 4. Actual monthly TD - Source: Missouri West Cycle 3 TD Calc 042023 05152023.xlsx
    Forecasted monthly TD - Source: MEEIA Cycle 3 Forecast MO West 042023.xlsx</t>
  </si>
  <si>
    <t>3. Actual monthly TD - Source: Missouri West Cycle 3 TD Calc 042023 05152023.xlsx
    Forecasted monthly TD - Source: MEEIA Cycle 3 Forecast MO West 042023.xlsx</t>
  </si>
  <si>
    <t>2. EO TD Ex Post Gross Adjustment -  Source: TD Model Missouri West PY1-3 122022.xlsx, TD Model Missouri West PY4 122022.xlsx</t>
  </si>
  <si>
    <t>3. EO TD NTG Adjustment -  Source: TD Model Missouri West PY1-3 122022.xlsx, TD Model Missouri West PY4 122022.xlsx</t>
  </si>
  <si>
    <t>4. Carrying Costs @ AFUDC Rate -  Source: TD Model Missouri West PY1-3 122022.xlsx, TD Model Missouri West PY4 122022.xlsx</t>
  </si>
  <si>
    <t>6. Amortization Over 24 Month Recovery Period - Source: Column 5  PY 1 - 3 divided by 24 times 0 months remaining recovery, PY 4 Column 5 divided by 24 times 0, EO TD Adjustments January - November 2022 Column 5 divided by 24 times 1, EO TD Adjustments Carrying Costs May - October 2022 Column 5 divided by 24 times 7, EO TD Adjustments Carrying Costs November 2021 - April 2022 Column 5 divided by 24 times 12, EO TD Adjustments Carrying Costs May 2022 - November 2022 Column 5 divided by 24 times 12, EO TD Adjustments December 2022 Column 5 divided by 24 times 11</t>
  </si>
  <si>
    <t>2. EO TD Ex Post Gross Adjustment -  Source: Missouri West Cycle 3 PY1 EO TD Adj Calc.xlsx, Missouri West Cycle 3 PY2 EO TD Adj Calc.xlsx</t>
  </si>
  <si>
    <t>1. Total Earnings Opportunity - Source: Missouri West EO Calculated Cycle 3 PY1.xlsx, MO West EO Calculated Cycle 3 PY2.xlsx</t>
  </si>
  <si>
    <t>3. EO TD NTG Adjustment -  Source: Missouri West Cycle 3 PY1 EO TD Adj Calc.xlsx, Missouri West Cycle 3 PY2 EO TD Adj Calc.xlsx</t>
  </si>
  <si>
    <t>4. Carrying Costs @ AFUDC Rate -  Source: Missouri West Cycle 3 PY1 EO TD Adj Calc.xlsx, Missouri West Cycle 3 PY2 EO TD Adj Calc.xlsx</t>
  </si>
  <si>
    <t>6. Amortization Over 12 Month Recovery Period - Source: Column 5  PY 1 EO and EO TD Adjustments divided by 12 times 0 months in forecast period, Program Year 1 EO TD Adjustments November 2021 - April 2022 divided by 12 times 1 months in forecast period, Program Year 1 EO TD Adjustments May 2022 - November 2022 divided by 12 times 7 months in forecast period, PY 2 EO and EO TD Adjustments divided by 12 times 11 months in forecast period</t>
  </si>
  <si>
    <t>4. Total monthly interest - Source: Calculated</t>
  </si>
  <si>
    <t>NOA = Net Ordered Adjustment for the upcoming EP plus the succeeding EP (OA + OAR)</t>
  </si>
  <si>
    <t xml:space="preserve">PE = Projected Energy, in kWh to be delivered during the upcoming RP plus the succeeding RP </t>
  </si>
  <si>
    <t>3. Actual/Forecasted EO Amortization - Source:  EO Cycle 2 tab column G divided by remaining months on EO Cycle 2 tab.</t>
  </si>
  <si>
    <t>3. Actual/Forecasted EO Amortization - Source:  EO Cycle 3 tab column G divided by remaining months on EO Cycle 3 tab.</t>
  </si>
  <si>
    <t>Tab</t>
  </si>
  <si>
    <t>Summary Description</t>
  </si>
  <si>
    <t>Summary of Sources</t>
  </si>
  <si>
    <t>Tariff Tables</t>
  </si>
  <si>
    <t>Calculation of DSIM Rates by Customer Class Effective August 1, 2023 through January 31, 2024</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</si>
  <si>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</si>
  <si>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</si>
  <si>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</si>
  <si>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</si>
  <si>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</si>
  <si>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Projected Program Costs for Cycle 3 for the period July 2023 through June 2024 and projected billed kWh sales for the period August 2023 through July 2024</t>
  </si>
  <si>
    <t>The Company updates a forecast of program costs and throughput disincentive, among other items, based on actual reported results through April 2023 and forecasted results through the remainder of Cycle 3. Program costs by customer class are summarized from that forecast. Projected billed kWh sales by customer class (net of opt outs) are extracted from the Company budget.</t>
  </si>
  <si>
    <t>PCR Cycle 2</t>
  </si>
  <si>
    <t>Program Cost Reconciliation for Cycle 2 for the period November 2022 through April 2023 compares the DSIM revenues billed for the Cycle 2 cost components to the carryforward of under or over recovered Cycle 2 Program Costs.</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</si>
  <si>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</si>
  <si>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PCR Cycle 3</t>
  </si>
  <si>
    <t>Program Cost Reconciliation for Cycle 3 for the period November 2022 through April 2023 compares the DSIM revenues billed for the Cycle 3 cost components to actual program costs incurred plus the carryforward of under or over recovered Cycle 3 Program Costs.</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</si>
  <si>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</si>
  <si>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2</t>
  </si>
  <si>
    <t>Projected Throughput Disincentive for Cycle 2 for the period July 2023 through June 2024.</t>
  </si>
  <si>
    <t>Projected Throughput Disincentive for Cycle 2 for the period July 2023 through June 2024 are zero due to the rebasing of cumulative kWh savings in the most recent rates effective January 2023.</t>
  </si>
  <si>
    <t>PTD Cycle 3</t>
  </si>
  <si>
    <t>Projected Throughput Disincentive for Cycle 3 for the period July 2023 through June 2024</t>
  </si>
  <si>
    <t xml:space="preserve">The Company updates a forecast of program costs and throughput disincentive, among other items, based on actual reported results through April 2023 and forecasted results through the remainder of Cycle 3. Throughput Disincentive by customer class is summarized from that forecast. </t>
  </si>
  <si>
    <t>TDR Cycle 2</t>
  </si>
  <si>
    <t>Throughput Disincentive Reconciliation for Cycle 2 for the period November 2022 through April 2023 compares the DSIM revenues billed for the Cycle 2 cost components to calculated Throughput Disincentive for Cycle 2 (November and December 2022 only as noted above) and the carryforward of under or over recovered Cycle 2 Throughput Disincentive.</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</si>
  <si>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</si>
  <si>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TDR Cycle 3</t>
  </si>
  <si>
    <t>Throughput Disincentive Reconciliation for Cycle 2 for the period November 2022 through April 2023 compares the DSIM revenues billed for the Cycle 3 cost components to calculated Throughput Disincentive for Cycle 3 and the carryforward of under or over recovered Cycle 3 Throughput Disincentive.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</si>
  <si>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</si>
  <si>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EO Cycle 2</t>
  </si>
  <si>
    <t>Earnings Opportunity Cycle 2, including EO TD Ex Post Gross and Net to Gross Adjustments (EO TD Adjustments) for the period July 2023 through June 2024</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</si>
  <si>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</si>
  <si>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EO Cycle 3</t>
  </si>
  <si>
    <t xml:space="preserve">Earnings Opportunity Cycle 3, including EO TD Ex Post Gross and Net to Gross Adjustments (EO TD Adjustments) for the period July 2023 through June 2024 </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</si>
  <si>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2 (2021) based on the final EM&amp;V results approved in  EO TD Adjustments with carrying costs through April 2023 plus continued amortization of previously reported amounts from prior updates as appropriate.</t>
  </si>
  <si>
    <t>EOR Cycle 2</t>
  </si>
  <si>
    <t>Earnings Opportunity Reconciliation for Cycle 2 for the period November 2022 through April 2023 compares the DSIM revenues billed for the Cycle 2 cost components to amortization of EO Cycle 2 above and the carryforward of under or over recovered Cycle 2 Earnings Opportunity.</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</si>
  <si>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</si>
  <si>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EOR Cycle 3</t>
  </si>
  <si>
    <t>Earnings Opportunity Reconciliation for Cycle 3 for the period November 2022 through April 2023 compares the DSIM revenues billed for the Cycle 2 cost components to amortization of EO Cycle 3 above and the carryforward of under or over recovered Cycle 3 Earnings Opportunity.</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</si>
  <si>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</si>
  <si>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2</t>
  </si>
  <si>
    <t>Ordered Adjustments for Cycle 2 for the period July 2023 through June 2024</t>
  </si>
  <si>
    <t>None - There were no additional Ordered Adjustments for Cycle 2 for the period July 2023 through June 2024</t>
  </si>
  <si>
    <t>OA Cycle 3</t>
  </si>
  <si>
    <t>Ordered Adjustments for Cycle 3 for the period July 2023 through June 2024</t>
  </si>
  <si>
    <t>None - There were no additional Ordered Adjustments for Cycle 3 for the period July 2023 through June 2024</t>
  </si>
  <si>
    <t>OAR Cycle 2</t>
  </si>
  <si>
    <t>Ordered Adjustments Reconciliation for Cycle 2 for the period November 2022 through April 2023 compares the DSIM revenues billed for the Cycle 2 cost components to the carryforward of under or over recovered Cycle 2 Ordered Adjustments.</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</si>
  <si>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</si>
  <si>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</si>
  <si>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Ordered Adjustments Reconciliation for Cycle 3 for the period November 2022 through April 2023 compares the DSIM revenues billed for the Cycle 3 cost components to the carryforward of under or over recovered Cycle 3 Ordered Adjustments.</t>
  </si>
  <si>
    <t>1. Ordered Adjustment - Source: None</t>
  </si>
  <si>
    <t>2. Carrying Costs on OA - Source: None</t>
  </si>
  <si>
    <t>1. Ordered Adjustment - Program Costs - Source: None</t>
  </si>
  <si>
    <t>2. Ordered Adjustment - Throughput Disincentive - Source: None</t>
  </si>
  <si>
    <t>3. Carrying Costs on OA - Source: None</t>
  </si>
  <si>
    <t>1. Forecasted kWh by Residential, Small General Service, Large General Service and Large Power Service (Reduced for Opt-Out) - Source: Billed kWh Budget Missouri West 2023-2024.xlsx</t>
  </si>
  <si>
    <t>1. Actual monthly program costs allocated to customer classes: Residential, Small General Service, Large General Service and Large Power Service - Source: None
    Forecasted monthly program costs allocated to customer classes: Residential, Small General Service, Large General Service and Large Power Service - Source: None</t>
  </si>
  <si>
    <t>2. Actual monthly kWh billed sales by customer classes: Residential, Small General Service, Large General Service and Large Power Service (reduced for opt-out) - Source: Missouri West MEEIA 2022-2023 Revenue Analysis.xlsx
    Forecasted monthly kWh billed sales by customer classes: Residential, Small General Service, Large General Service and Large Power Service (reduced for opt-out) - Source: Billed kWh Budget Missouri West 2023-2024.xlsx</t>
  </si>
  <si>
    <t>3. Actual monthly billed revenues by customer classes: Residential, Small General Service, Large General Service and Large Power Service (program cost revenues only) - Missouri West MEEIA 2022-2023 Revenue Analysis.xlsx
    Forecasted monthly billed revenues by customer classes: Residential, Small General Service, Large General Service and Large Power Service (program cost revenues only) - Source: calculated = Forecasted billed kWh sales X tariff rate</t>
  </si>
  <si>
    <t>1. Actual monthly program costs allocated to customer classes: Residential, Small General Service, Large General Service and Large Power Service - Source: 11 2022 MO West Spend Allocations Worksheet.xlsx, 12 2022 MO West Spend Allocations Worksheet.xlsx, 01 2023 MO West Spend Allocations Worksheet.xlsx, 02 2023 MO West Spend Allocations Worksheet.xlsx, 03 2023 MO West Spend Allocations Worksheet.xlsx, 04 2023 MO West Spend Allocations Worksheet.xlsx
    Forecasted monthly program costs allocated to customer classes: Residential, Small General Service, Large General Service and Large Power Service - Source: MEEIA Cycle 3 Forecast MO West 042023.xlsx</t>
  </si>
  <si>
    <t>2. Actual monthly kWh billed sales by customer classes: Residential, Small General Service, Medium General Service, Large General Service and Large Power Service (reduced for opt-out) - Source: Metro MEEIA 2022-2023 Revenue Analysis.xlsx
    Forecasted monthly kWh billed sales by customer classes: Residential, Small General Service, Medium General Service, Large General Service and Large Power Service (reduced for opt-out) - Source: Billed kWh Budget Metro Missouri 2023-2024.xlsx</t>
  </si>
  <si>
    <t>3. Actual monthly billed revenues by customer classes: Residential, Small General Service, Medium General Service, Large General Service and Large Power Service (program cost revenues only) - Metro MEEIA 2022-2023 Revenue Analysis.xlsx
    Forecasted monthly billed revenues by customer classes: Residential, Small General Service, Medium General Service, Large General Service and Large Power Service (program cost revenues only) - Source: calculated = Forecasted billed kWh sales X tariff rate</t>
  </si>
  <si>
    <t>1. Forecasted kWh savings by customer classes: Residential, Small General Service, Large General Service and Large Power Service - Source: None, TD reset effective December 2022</t>
  </si>
  <si>
    <t>1. Forecasted kWh savings by customer classes: Residential, Small General Service, Large General Service and Large Power Service  - Source: MEEIA Cycle 3 Forecast MO West 042023.xlsx</t>
  </si>
  <si>
    <t>2. Actual monthly billed revenues by customer classes: Residential, Small General Service, Large General Service and Large Power Service (TD revenues only) - Missouri West MEEIA 2022-2023 Revenue Analysis.xlsx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</si>
  <si>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(EO revenues only) - Missouri West MEEIA 2022-2023 Revenue Analysis.xlsx
Forecasted monthly billed revenues by customer classes: Residential, Small General Service, Large General Service and Large Power Service (EO revenues only) - Source: calculated = Forecasted billed kWh sales X tariff rate</t>
  </si>
  <si>
    <t>2. Actual monthly billed revenues by customer classes: Residential, Small General Service, Large General Service and Large Power Service (ordered adjustments revenues only) - Source: Missouri West MEEIA 2022-2023 Revenue Analysis.xlsx
Forecasted monthly billed revenues by customer classes: Residential, Small General Service, Large General Service and Large Power Service (ordered adjustments revenues only) - Source: calculated = Forecasted billed kWh sales X tariff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</si>
</sst>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_);_(&quot;$&quot;* \(#,##0.000\);_(&quot;$&quot;* &quot;-&quot;??_);_(@_)"/>
    <numFmt numFmtId="179" formatCode="_(&quot;$&quot;* #,##0.00000_);_(&quot;$&quot;* \(#,##0.00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37">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6"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70" fontId="38" fillId="0" borderId="0" xfId="0" applyNumberFormat="1" applyFont="1"/>
    <xf numFmtId="178"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170" fontId="36" fillId="0" borderId="3" xfId="0" applyNumberFormat="1" applyFont="1" applyFill="1" applyBorder="1" applyAlignment="1">
      <alignment vertical="center"/>
    </xf>
    <xf numFmtId="0" fontId="8" fillId="0" borderId="0" xfId="0" applyFont="1" applyAlignment="1">
      <alignment horizontal="left"/>
    </xf>
    <xf numFmtId="179" fontId="36" fillId="0" borderId="6" xfId="0" applyNumberFormat="1" applyFont="1" applyBorder="1" applyAlignment="1">
      <alignment horizontal="right"/>
    </xf>
    <xf numFmtId="170" fontId="40" fillId="0" borderId="5" xfId="0" applyNumberFormat="1" applyFont="1" applyFill="1" applyBorder="1" applyAlignment="1">
      <alignment vertical="center"/>
    </xf>
    <xf numFmtId="170" fontId="40" fillId="0" borderId="4" xfId="0" applyNumberFormat="1" applyFont="1" applyFill="1" applyBorder="1" applyAlignment="1">
      <alignment vertical="center"/>
    </xf>
    <xf numFmtId="172" fontId="40" fillId="0" borderId="6" xfId="0" applyNumberFormat="1" applyFont="1" applyFill="1" applyBorder="1" applyAlignment="1">
      <alignment horizontal="right"/>
    </xf>
    <xf numFmtId="172" fontId="40" fillId="0" borderId="6" xfId="0" applyNumberFormat="1" applyFont="1" applyBorder="1" applyAlignment="1">
      <alignment horizontal="right"/>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70" xfId="0" applyBorder="1" applyAlignment="1">
      <alignment vertical="top" wrapText="1"/>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0" fontId="8" fillId="0" borderId="0" xfId="0" applyFont="1" applyFill="1" applyAlignment="1">
      <alignment horizontal="left" wrapText="1"/>
    </xf>
    <xf numFmtId="0" fontId="9" fillId="0" borderId="0" xfId="0" applyFont="1" applyAlignment="1">
      <alignment horizontal="center"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Alignment="1">
      <alignment horizontal="left" vertical="center" wrapText="1"/>
    </xf>
    <xf numFmtId="0" fontId="8" fillId="0" borderId="0" xfId="0" applyFont="1" applyFill="1" applyAlignment="1">
      <alignment horizontal="left"/>
    </xf>
    <xf numFmtId="0" fontId="8" fillId="0" borderId="0" xfId="0" applyFont="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Billed%20kWh%20Budget%20Missouri%20West%202023-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03%202023%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04%202023%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Cycle%203%20Monthly%20TD%20Calc%20042023%200515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TD%20Model%20Missouri%20West%20PY1-3%2012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TD%20Model%20Missouri%20West%20PY4%2012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EO%20Calculated%20Cycle%203%20PY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Cycle%203%20PY1%20EO%20TD%20Adj%20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O%20West%20EO%20Calculated%20Cycle%203%20PY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Cycle%203%20PY2%20EO%20TD%20Adj%20Cal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EEIA%20Cycle%203%20Forecast%20MO%20West%2004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Cycle%202%20Monthly%20TD%20Calc%20122022%200109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MEEIA%202022-2023%20Revenue%20Analys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Missouri%20West%20Short-Term%20Borrowing%20Rate%20November%202022%20-%20Apri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11%202022%20MO%20West%20Spend%20Allocations%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12%202022%20MO%20West%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01%202023%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30601%20Filing\02%202023%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U25">
            <v>213455630</v>
          </cell>
          <cell r="V25">
            <v>266401286</v>
          </cell>
          <cell r="W25">
            <v>371714425</v>
          </cell>
        </row>
        <row r="26">
          <cell r="U26">
            <v>98592028</v>
          </cell>
          <cell r="V26">
            <v>107426924</v>
          </cell>
          <cell r="W26">
            <v>121274389</v>
          </cell>
        </row>
        <row r="27">
          <cell r="U27">
            <v>88038679</v>
          </cell>
          <cell r="V27">
            <v>95927883</v>
          </cell>
          <cell r="W27">
            <v>108293106</v>
          </cell>
        </row>
        <row r="28">
          <cell r="U28">
            <v>58900554</v>
          </cell>
          <cell r="V28">
            <v>64178671</v>
          </cell>
          <cell r="W28">
            <v>72451382</v>
          </cell>
        </row>
        <row r="34">
          <cell r="F34">
            <v>1897843244</v>
          </cell>
          <cell r="G34">
            <v>1741339657</v>
          </cell>
        </row>
        <row r="35">
          <cell r="F35">
            <v>648943788</v>
          </cell>
          <cell r="G35">
            <v>619125568</v>
          </cell>
        </row>
        <row r="36">
          <cell r="F36">
            <v>579480460</v>
          </cell>
          <cell r="G36">
            <v>552854000</v>
          </cell>
        </row>
        <row r="37">
          <cell r="F37">
            <v>387690054</v>
          </cell>
          <cell r="G37">
            <v>369876139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3 04072023"/>
      <sheetName val="Input"/>
      <sheetName val="Program Descriptions"/>
    </sheetNames>
    <sheetDataSet>
      <sheetData sheetId="0">
        <row r="27">
          <cell r="N27">
            <v>449577.89</v>
          </cell>
          <cell r="O27">
            <v>117229.98</v>
          </cell>
          <cell r="Q27">
            <v>113484.15999999999</v>
          </cell>
          <cell r="R27">
            <v>19662.280000000002</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3 05042023"/>
      <sheetName val="Input"/>
      <sheetName val="Program Descriptions"/>
    </sheetNames>
    <sheetDataSet>
      <sheetData sheetId="0">
        <row r="27">
          <cell r="N27">
            <v>557711.58000000007</v>
          </cell>
          <cell r="O27">
            <v>206298.8</v>
          </cell>
          <cell r="Q27">
            <v>159730.1</v>
          </cell>
          <cell r="R27">
            <v>77723.620000000024</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PY1-3"/>
      <sheetName val="Monthly TD Calc-PY4"/>
    </sheetNames>
    <sheetDataSet>
      <sheetData sheetId="0" refreshError="1"/>
      <sheetData sheetId="1" refreshError="1"/>
      <sheetData sheetId="2">
        <row r="461">
          <cell r="AM461">
            <v>7399396.1033306736</v>
          </cell>
          <cell r="AN461">
            <v>9516728.0834674723</v>
          </cell>
          <cell r="AO461">
            <v>2414675.7526064552</v>
          </cell>
          <cell r="AP461">
            <v>2184801.7956174109</v>
          </cell>
          <cell r="AQ461">
            <v>2144524.8931233617</v>
          </cell>
          <cell r="AR461">
            <v>2069459.2151027536</v>
          </cell>
        </row>
        <row r="462">
          <cell r="AM462">
            <v>1360494.924083798</v>
          </cell>
          <cell r="AN462">
            <v>1598402.9878585725</v>
          </cell>
          <cell r="AO462">
            <v>647676.67905234429</v>
          </cell>
          <cell r="AP462">
            <v>585786.26019470685</v>
          </cell>
          <cell r="AQ462">
            <v>649260.70291914803</v>
          </cell>
          <cell r="AR462">
            <v>617923.54474668019</v>
          </cell>
        </row>
        <row r="464">
          <cell r="AM464">
            <v>2970721.2210080056</v>
          </cell>
          <cell r="AN464">
            <v>3351746.4096934292</v>
          </cell>
          <cell r="AO464">
            <v>1522133.7957304115</v>
          </cell>
          <cell r="AP464">
            <v>1376080.3579980216</v>
          </cell>
          <cell r="AQ464">
            <v>1523850.8149771788</v>
          </cell>
          <cell r="AR464">
            <v>1455609.6456717332</v>
          </cell>
        </row>
        <row r="465">
          <cell r="AM465">
            <v>1528247.3707023265</v>
          </cell>
          <cell r="AN465">
            <v>1695424.5623548152</v>
          </cell>
          <cell r="AO465">
            <v>375789.54077788809</v>
          </cell>
          <cell r="AP465">
            <v>339889.54457697162</v>
          </cell>
          <cell r="AQ465">
            <v>376799.38171369774</v>
          </cell>
          <cell r="AR465">
            <v>358472.9607431395</v>
          </cell>
        </row>
        <row r="563">
          <cell r="AM563">
            <v>252931.24999999997</v>
          </cell>
          <cell r="AN563">
            <v>298930.09000000003</v>
          </cell>
          <cell r="AO563">
            <v>69291.400000000009</v>
          </cell>
          <cell r="AP563">
            <v>62892.17</v>
          </cell>
          <cell r="AQ563">
            <v>67822.87999999999</v>
          </cell>
          <cell r="AR563">
            <v>68254.63</v>
          </cell>
        </row>
        <row r="564">
          <cell r="AM564">
            <v>59878.619999999995</v>
          </cell>
          <cell r="AN564">
            <v>63963.79</v>
          </cell>
          <cell r="AO564">
            <v>20423.170000000002</v>
          </cell>
          <cell r="AP564">
            <v>17571.460000000003</v>
          </cell>
          <cell r="AQ564">
            <v>20183.219999999998</v>
          </cell>
          <cell r="AR564">
            <v>20518.5</v>
          </cell>
        </row>
        <row r="566">
          <cell r="AM566">
            <v>81154.649999999994</v>
          </cell>
          <cell r="AN566">
            <v>87202.95</v>
          </cell>
          <cell r="AO566">
            <v>28384.27</v>
          </cell>
          <cell r="AP566">
            <v>23537.95</v>
          </cell>
          <cell r="AQ566">
            <v>27854.54</v>
          </cell>
          <cell r="AR566">
            <v>28238.48</v>
          </cell>
        </row>
        <row r="567">
          <cell r="AM567">
            <v>16848.03</v>
          </cell>
          <cell r="AN567">
            <v>19798.77</v>
          </cell>
          <cell r="AO567">
            <v>2033.08</v>
          </cell>
          <cell r="AP567">
            <v>1160.76</v>
          </cell>
          <cell r="AQ567">
            <v>1263.31</v>
          </cell>
          <cell r="AR567">
            <v>1220.7</v>
          </cell>
        </row>
      </sheetData>
      <sheetData sheetId="3">
        <row r="469">
          <cell r="AO469">
            <v>4556.8192775999833</v>
          </cell>
          <cell r="AP469">
            <v>10749.734363031888</v>
          </cell>
          <cell r="AQ469">
            <v>42738.335780045491</v>
          </cell>
          <cell r="AR469">
            <v>77264.251071663661</v>
          </cell>
        </row>
        <row r="470">
          <cell r="AO470">
            <v>31.330382660141147</v>
          </cell>
          <cell r="AP470">
            <v>60.16446599555168</v>
          </cell>
          <cell r="AQ470">
            <v>11726.577373560855</v>
          </cell>
          <cell r="AR470">
            <v>31151.109839352524</v>
          </cell>
        </row>
        <row r="472">
          <cell r="AO472">
            <v>30.070397259189388</v>
          </cell>
          <cell r="AP472">
            <v>57.744886584959431</v>
          </cell>
          <cell r="AQ472">
            <v>14625.910974152648</v>
          </cell>
          <cell r="AR472">
            <v>33612.370780672129</v>
          </cell>
        </row>
        <row r="473">
          <cell r="AO473">
            <v>22.127744838776618</v>
          </cell>
          <cell r="AP473">
            <v>42.492425526756151</v>
          </cell>
          <cell r="AQ473">
            <v>1331.2421939401042</v>
          </cell>
          <cell r="AR473">
            <v>3471.7801996967623</v>
          </cell>
        </row>
        <row r="575">
          <cell r="AO575">
            <v>166.57</v>
          </cell>
          <cell r="AP575">
            <v>393.5</v>
          </cell>
          <cell r="AQ575">
            <v>1709.7399999999998</v>
          </cell>
          <cell r="AR575">
            <v>3222.56</v>
          </cell>
        </row>
        <row r="576">
          <cell r="AO576">
            <v>1.1399999999999999</v>
          </cell>
          <cell r="AP576">
            <v>2.2000000000000002</v>
          </cell>
          <cell r="AQ576">
            <v>382.76</v>
          </cell>
          <cell r="AR576">
            <v>1094.23</v>
          </cell>
        </row>
        <row r="578">
          <cell r="AO578">
            <v>1.1000000000000001</v>
          </cell>
          <cell r="AP578">
            <v>2.11</v>
          </cell>
          <cell r="AQ578">
            <v>276.29000000000002</v>
          </cell>
          <cell r="AR578">
            <v>698.97</v>
          </cell>
        </row>
        <row r="579">
          <cell r="AO579">
            <v>0.81</v>
          </cell>
          <cell r="AP579">
            <v>1.55</v>
          </cell>
          <cell r="AQ579">
            <v>6.15</v>
          </cell>
          <cell r="AR579">
            <v>48.59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63">
          <cell r="CE363">
            <v>-8001.6899999999951</v>
          </cell>
        </row>
        <row r="364">
          <cell r="CE364">
            <v>4084.0400000000009</v>
          </cell>
        </row>
        <row r="366">
          <cell r="CE366">
            <v>6144.8099999999977</v>
          </cell>
        </row>
        <row r="367">
          <cell r="CE367">
            <v>617.09999999999854</v>
          </cell>
        </row>
      </sheetData>
      <sheetData sheetId="3">
        <row r="370">
          <cell r="CE370">
            <v>-31232.54</v>
          </cell>
        </row>
        <row r="371">
          <cell r="CE371">
            <v>-7193.8600000000042</v>
          </cell>
        </row>
        <row r="373">
          <cell r="CE373">
            <v>-6610.0299999999988</v>
          </cell>
        </row>
        <row r="374">
          <cell r="CE374">
            <v>-1163.3999999999987</v>
          </cell>
        </row>
      </sheetData>
      <sheetData sheetId="4" refreshError="1"/>
      <sheetData sheetId="5">
        <row r="55">
          <cell r="CE55">
            <v>-763.16</v>
          </cell>
        </row>
        <row r="56">
          <cell r="CE56">
            <v>-294.06</v>
          </cell>
        </row>
        <row r="58">
          <cell r="CE58">
            <v>-250.49</v>
          </cell>
        </row>
        <row r="59">
          <cell r="CE59">
            <v>-38.64</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63">
          <cell r="CE363">
            <v>24225.260000000009</v>
          </cell>
        </row>
        <row r="364">
          <cell r="CE364">
            <v>2043.4400000000023</v>
          </cell>
        </row>
        <row r="366">
          <cell r="CE366">
            <v>869.81999999999971</v>
          </cell>
        </row>
        <row r="367">
          <cell r="CE367">
            <v>45.6899999999996</v>
          </cell>
        </row>
      </sheetData>
      <sheetData sheetId="3">
        <row r="370">
          <cell r="CE370">
            <v>-9553.9100000000035</v>
          </cell>
        </row>
        <row r="371">
          <cell r="CE371">
            <v>1936.2299999999959</v>
          </cell>
        </row>
        <row r="373">
          <cell r="CE373">
            <v>-316.24999999999636</v>
          </cell>
        </row>
        <row r="374">
          <cell r="CE374">
            <v>61.150000000000546</v>
          </cell>
        </row>
      </sheetData>
      <sheetData sheetId="4" refreshError="1"/>
      <sheetData sheetId="5">
        <row r="55">
          <cell r="CE55">
            <v>180.84</v>
          </cell>
        </row>
        <row r="56">
          <cell r="CE56">
            <v>134.04</v>
          </cell>
        </row>
        <row r="58">
          <cell r="CE58">
            <v>18.809999999999999</v>
          </cell>
        </row>
        <row r="59">
          <cell r="CE59">
            <v>3.44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136.68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70.02</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28.98</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-2.02</v>
          </cell>
        </row>
      </sheetData>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Summary"/>
      <sheetName val="Monthly TD Calc"/>
      <sheetName val="Monthly TD Calc Ext"/>
      <sheetName val="Monthly Program Costs"/>
      <sheetName val="Monthly Program Costs Ext"/>
      <sheetName val="Monthly kWh-kW"/>
      <sheetName val="R&amp;P"/>
      <sheetName val="TRC Ext"/>
      <sheetName val="ICF PY4 Bridge Yr Projections "/>
      <sheetName val="Tstats Ext"/>
      <sheetName val="Simple"/>
      <sheetName val="BDR Ext"/>
      <sheetName val="Internal Mktg Ext"/>
      <sheetName val="Labor &amp; Oth Admin"/>
      <sheetName val="EM&amp;V Ext"/>
      <sheetName val="EO Ex Post TD Calc"/>
      <sheetName val="EO NTG TD Calc"/>
      <sheetName val="EMV Results"/>
      <sheetName val="ICF SOW Amdt 2"/>
      <sheetName val="TRC SOW Amdt 1"/>
      <sheetName val="MO West EO Matrix @Meter"/>
      <sheetName val="MO West EO Table"/>
      <sheetName val="PAYS"/>
      <sheetName val="Mktg Forecast"/>
      <sheetName val="MEEIA Labor Alloc"/>
      <sheetName val="Other Admin"/>
      <sheetName val="EMV Costs"/>
      <sheetName val="Implementer Contract Rates"/>
      <sheetName val="Billed kWh Sales"/>
      <sheetName val="DSIM Revenue"/>
    </sheetNames>
    <sheetDataSet>
      <sheetData sheetId="0" refreshError="1"/>
      <sheetData sheetId="1" refreshError="1"/>
      <sheetData sheetId="2" refreshError="1"/>
      <sheetData sheetId="3">
        <row r="462">
          <cell r="AS462">
            <v>2036075.2812161483</v>
          </cell>
          <cell r="AT462">
            <v>1841156.1568917814</v>
          </cell>
          <cell r="AU462">
            <v>2192580.4348849822</v>
          </cell>
          <cell r="AV462">
            <v>2125264.1468757996</v>
          </cell>
          <cell r="AW462">
            <v>1816194.8204809376</v>
          </cell>
          <cell r="AX462">
            <v>1954425.6197791183</v>
          </cell>
          <cell r="AY462">
            <v>1886771.1263328185</v>
          </cell>
          <cell r="AZ462">
            <v>2264227.1840785174</v>
          </cell>
          <cell r="BA462">
            <v>2268145.7076064362</v>
          </cell>
          <cell r="BB462">
            <v>2052955.2550772545</v>
          </cell>
          <cell r="BC462">
            <v>2010756.9165646387</v>
          </cell>
          <cell r="BD462">
            <v>1941068.4825115944</v>
          </cell>
          <cell r="BE462">
            <v>2036060.0312161546</v>
          </cell>
          <cell r="BF462">
            <v>1841140.9068917874</v>
          </cell>
        </row>
        <row r="463">
          <cell r="AS463">
            <v>620498.50764716126</v>
          </cell>
          <cell r="AT463">
            <v>594353.37431583577</v>
          </cell>
          <cell r="AU463">
            <v>670851.52100383409</v>
          </cell>
          <cell r="AV463">
            <v>674925.75973283476</v>
          </cell>
          <cell r="AW463">
            <v>578983.11024355714</v>
          </cell>
          <cell r="AX463">
            <v>619318.93147436483</v>
          </cell>
          <cell r="AY463">
            <v>585415.43581181695</v>
          </cell>
          <cell r="AZ463">
            <v>587484.25410190038</v>
          </cell>
          <cell r="BA463">
            <v>618474.48921467317</v>
          </cell>
          <cell r="BB463">
            <v>559381.74893588596</v>
          </cell>
          <cell r="BC463">
            <v>620027.19149757572</v>
          </cell>
          <cell r="BD463">
            <v>590022.37745431252</v>
          </cell>
          <cell r="BE463">
            <v>620498.50764716126</v>
          </cell>
          <cell r="BF463">
            <v>594353.37431583577</v>
          </cell>
        </row>
        <row r="465">
          <cell r="AS465">
            <v>1486541.5015311404</v>
          </cell>
          <cell r="AT465">
            <v>1425804.7787961524</v>
          </cell>
          <cell r="AU465">
            <v>1464908.0449105839</v>
          </cell>
          <cell r="AV465">
            <v>1492076.6899551055</v>
          </cell>
          <cell r="AW465">
            <v>1392990.6358722448</v>
          </cell>
          <cell r="AX465">
            <v>1489975.9669986879</v>
          </cell>
          <cell r="AY465">
            <v>1410604.7994368006</v>
          </cell>
          <cell r="AZ465">
            <v>1415457.5687820227</v>
          </cell>
          <cell r="BA465">
            <v>1483295.5887133887</v>
          </cell>
          <cell r="BB465">
            <v>1340950.390618583</v>
          </cell>
          <cell r="BC465">
            <v>1484945.4605711882</v>
          </cell>
          <cell r="BD465">
            <v>1418573.0821850128</v>
          </cell>
          <cell r="BE465">
            <v>1486541.5015311404</v>
          </cell>
          <cell r="BF465">
            <v>1425804.7787961524</v>
          </cell>
        </row>
        <row r="466">
          <cell r="AS466">
            <v>360441.27480073861</v>
          </cell>
          <cell r="AT466">
            <v>345347.26354334294</v>
          </cell>
          <cell r="AU466">
            <v>354634.25080033665</v>
          </cell>
          <cell r="AV466">
            <v>361392.68908791704</v>
          </cell>
          <cell r="AW466">
            <v>336342.59135880152</v>
          </cell>
          <cell r="AX466">
            <v>359661.0082512449</v>
          </cell>
          <cell r="AY466">
            <v>339942.83588674001</v>
          </cell>
          <cell r="AZ466">
            <v>341100.64337413327</v>
          </cell>
          <cell r="BA466">
            <v>359193.02658951207</v>
          </cell>
          <cell r="BB466">
            <v>324875.90435435122</v>
          </cell>
          <cell r="BC466">
            <v>360170.64025624929</v>
          </cell>
          <cell r="BD466">
            <v>342656.21869201883</v>
          </cell>
          <cell r="BE466">
            <v>360441.27480073861</v>
          </cell>
          <cell r="BF466">
            <v>345347.26354334294</v>
          </cell>
        </row>
        <row r="564">
          <cell r="AS564">
            <v>68519</v>
          </cell>
          <cell r="AT564">
            <v>111424.59999999999</v>
          </cell>
          <cell r="AU564">
            <v>140951.69999999998</v>
          </cell>
          <cell r="AV564">
            <v>136149.75</v>
          </cell>
          <cell r="AW564">
            <v>111086.54000000001</v>
          </cell>
          <cell r="AX564">
            <v>64736.869999999995</v>
          </cell>
          <cell r="AY564">
            <v>65545.89</v>
          </cell>
          <cell r="AZ564">
            <v>70792.56</v>
          </cell>
          <cell r="BA564">
            <v>63674.26999999999</v>
          </cell>
          <cell r="BB564">
            <v>58978.22</v>
          </cell>
          <cell r="BC564">
            <v>63428.310000000005</v>
          </cell>
          <cell r="BD564">
            <v>63863.07</v>
          </cell>
          <cell r="BE564">
            <v>68518.22</v>
          </cell>
          <cell r="BF564">
            <v>111423.21999999999</v>
          </cell>
        </row>
        <row r="565">
          <cell r="AS565">
            <v>21061.31</v>
          </cell>
          <cell r="AT565">
            <v>31195.190000000002</v>
          </cell>
          <cell r="AU565">
            <v>35063.14</v>
          </cell>
          <cell r="AV565">
            <v>34953.050000000003</v>
          </cell>
          <cell r="AW565">
            <v>29421.949999999997</v>
          </cell>
          <cell r="AX565">
            <v>20872.989999999998</v>
          </cell>
          <cell r="AY565">
            <v>19574.750000000004</v>
          </cell>
          <cell r="AZ565">
            <v>19103.579999999998</v>
          </cell>
          <cell r="BA565">
            <v>18966.05</v>
          </cell>
          <cell r="BB565">
            <v>16770.09</v>
          </cell>
          <cell r="BC565">
            <v>19264.71</v>
          </cell>
          <cell r="BD565">
            <v>19581.830000000002</v>
          </cell>
          <cell r="BE565">
            <v>21061.31</v>
          </cell>
          <cell r="BF565">
            <v>31195.190000000002</v>
          </cell>
        </row>
        <row r="567">
          <cell r="AS567">
            <v>30787.989999999998</v>
          </cell>
          <cell r="AT567">
            <v>34506.35</v>
          </cell>
          <cell r="AU567">
            <v>32881.620000000003</v>
          </cell>
          <cell r="AV567">
            <v>33061.86</v>
          </cell>
          <cell r="AW567">
            <v>30747.039999999997</v>
          </cell>
          <cell r="AX567">
            <v>27185.07</v>
          </cell>
          <cell r="AY567">
            <v>27320.52</v>
          </cell>
          <cell r="AZ567">
            <v>25426.25</v>
          </cell>
          <cell r="BA567">
            <v>24977.919999999998</v>
          </cell>
          <cell r="BB567">
            <v>22950.2</v>
          </cell>
          <cell r="BC567">
            <v>27159.43</v>
          </cell>
          <cell r="BD567">
            <v>27536.129999999997</v>
          </cell>
          <cell r="BE567">
            <v>30787.989999999998</v>
          </cell>
          <cell r="BF567">
            <v>34506.35</v>
          </cell>
        </row>
        <row r="568">
          <cell r="AS568">
            <v>1353.88</v>
          </cell>
          <cell r="AT568">
            <v>2470.5200000000004</v>
          </cell>
          <cell r="AU568">
            <v>2476.9900000000002</v>
          </cell>
          <cell r="AV568">
            <v>2529.7599999999998</v>
          </cell>
          <cell r="AW568">
            <v>2403.1099999999997</v>
          </cell>
          <cell r="AX568">
            <v>1216.6100000000001</v>
          </cell>
          <cell r="AY568">
            <v>1230.9900000000002</v>
          </cell>
          <cell r="AZ568">
            <v>1247.99</v>
          </cell>
          <cell r="BA568">
            <v>1226.67</v>
          </cell>
          <cell r="BB568">
            <v>1115.1600000000001</v>
          </cell>
          <cell r="BC568">
            <v>1215.17</v>
          </cell>
          <cell r="BD568">
            <v>1174.53</v>
          </cell>
          <cell r="BE568">
            <v>1353.88</v>
          </cell>
          <cell r="BF568">
            <v>2470.5200000000004</v>
          </cell>
        </row>
      </sheetData>
      <sheetData sheetId="4">
        <row r="462">
          <cell r="AS462">
            <v>139975.64696969648</v>
          </cell>
          <cell r="AT462">
            <v>367052.19035468774</v>
          </cell>
          <cell r="AU462">
            <v>897322.76732314553</v>
          </cell>
          <cell r="AV462">
            <v>1120738.3857710264</v>
          </cell>
          <cell r="AW462">
            <v>860964.30971969292</v>
          </cell>
          <cell r="AX462">
            <v>890552.71613652131</v>
          </cell>
          <cell r="AY462">
            <v>923871.34088267351</v>
          </cell>
          <cell r="AZ462">
            <v>971676.8540506853</v>
          </cell>
          <cell r="BA462">
            <v>1034697.3302841288</v>
          </cell>
          <cell r="BB462">
            <v>921660.98518681969</v>
          </cell>
          <cell r="BC462">
            <v>1097518.3625854596</v>
          </cell>
          <cell r="BD462">
            <v>1044328.5058974898</v>
          </cell>
          <cell r="BE462">
            <v>1160707.9441751465</v>
          </cell>
          <cell r="BF462">
            <v>1564868.6945480299</v>
          </cell>
        </row>
        <row r="463">
          <cell r="AS463">
            <v>70316.569464699656</v>
          </cell>
          <cell r="AT463">
            <v>118565.9418911856</v>
          </cell>
          <cell r="AU463">
            <v>171137.71555924651</v>
          </cell>
          <cell r="AV463">
            <v>220879.1822525585</v>
          </cell>
          <cell r="AW463">
            <v>252206.74885493203</v>
          </cell>
          <cell r="AX463">
            <v>330059.33411921671</v>
          </cell>
          <cell r="AY463">
            <v>381802.45668708114</v>
          </cell>
          <cell r="AZ463">
            <v>578575.7298616966</v>
          </cell>
          <cell r="BA463">
            <v>774519.7658152181</v>
          </cell>
          <cell r="BB463">
            <v>700131.59247916983</v>
          </cell>
          <cell r="BC463">
            <v>777080.41507397161</v>
          </cell>
          <cell r="BD463">
            <v>741082.86659606127</v>
          </cell>
          <cell r="BE463">
            <v>777921.57882932154</v>
          </cell>
          <cell r="BF463">
            <v>749129.11067990691</v>
          </cell>
        </row>
        <row r="465">
          <cell r="AS465">
            <v>68246.718302336289</v>
          </cell>
          <cell r="AT465">
            <v>114623.62766867279</v>
          </cell>
          <cell r="AU465">
            <v>161549.95291205001</v>
          </cell>
          <cell r="AV465">
            <v>209727.52213468304</v>
          </cell>
          <cell r="AW465">
            <v>242978.30511384993</v>
          </cell>
          <cell r="AX465">
            <v>317718.64699669415</v>
          </cell>
          <cell r="AY465">
            <v>367393.21986960992</v>
          </cell>
          <cell r="AZ465">
            <v>556235.40181994508</v>
          </cell>
          <cell r="BA465">
            <v>744154.07097590133</v>
          </cell>
          <cell r="BB465">
            <v>672662.49825531407</v>
          </cell>
          <cell r="BC465">
            <v>746572.05908463895</v>
          </cell>
          <cell r="BD465">
            <v>712140.37918175291</v>
          </cell>
          <cell r="BE465">
            <v>747394.62290985533</v>
          </cell>
          <cell r="BF465">
            <v>719828.01307865023</v>
          </cell>
        </row>
        <row r="466">
          <cell r="AS466">
            <v>24586.739894084458</v>
          </cell>
          <cell r="AT466">
            <v>59775.76586542905</v>
          </cell>
          <cell r="AU466">
            <v>93632.686561621769</v>
          </cell>
          <cell r="AV466">
            <v>128615.65674502101</v>
          </cell>
          <cell r="AW466">
            <v>154785.57673132984</v>
          </cell>
          <cell r="AX466">
            <v>208096.44535257417</v>
          </cell>
          <cell r="AY466">
            <v>246016.8911162852</v>
          </cell>
          <cell r="AZ466">
            <v>384889.25594011333</v>
          </cell>
          <cell r="BA466">
            <v>522010.10295977327</v>
          </cell>
          <cell r="BB466">
            <v>471857.26528196177</v>
          </cell>
          <cell r="BC466">
            <v>523770.04930675903</v>
          </cell>
          <cell r="BD466">
            <v>499569.69830126921</v>
          </cell>
          <cell r="BE466">
            <v>524347.73112450412</v>
          </cell>
          <cell r="BF466">
            <v>505124.32911289734</v>
          </cell>
        </row>
        <row r="564">
          <cell r="AS564">
            <v>5967.87</v>
          </cell>
          <cell r="AT564">
            <v>27703.489999999998</v>
          </cell>
          <cell r="AU564">
            <v>68797.469999999987</v>
          </cell>
          <cell r="AV564">
            <v>86123.19</v>
          </cell>
          <cell r="AW564">
            <v>66189.599999999991</v>
          </cell>
          <cell r="AX564">
            <v>37351.600000000006</v>
          </cell>
          <cell r="AY564">
            <v>40623.630000000005</v>
          </cell>
          <cell r="AZ564">
            <v>38790.660000000003</v>
          </cell>
          <cell r="BA564">
            <v>37081.69</v>
          </cell>
          <cell r="BB564">
            <v>33738.699999999997</v>
          </cell>
          <cell r="BC564">
            <v>43906.05</v>
          </cell>
          <cell r="BD564">
            <v>43557.120000000003</v>
          </cell>
          <cell r="BE564">
            <v>49486.900000000009</v>
          </cell>
          <cell r="BF564">
            <v>118109.48999999999</v>
          </cell>
        </row>
        <row r="565">
          <cell r="AS565">
            <v>2508.5500000000002</v>
          </cell>
          <cell r="AT565">
            <v>6564.6999999999989</v>
          </cell>
          <cell r="AU565">
            <v>9280.7500000000018</v>
          </cell>
          <cell r="AV565">
            <v>12004.74</v>
          </cell>
          <cell r="AW565">
            <v>13800.689999999999</v>
          </cell>
          <cell r="AX565">
            <v>11790.05</v>
          </cell>
          <cell r="AY565">
            <v>13545.95</v>
          </cell>
          <cell r="AZ565">
            <v>19852.240000000002</v>
          </cell>
          <cell r="BA565">
            <v>25018.07</v>
          </cell>
          <cell r="BB565">
            <v>22124.560000000001</v>
          </cell>
          <cell r="BC565">
            <v>25474.41</v>
          </cell>
          <cell r="BD565">
            <v>25938.41</v>
          </cell>
          <cell r="BE565">
            <v>27846.699999999997</v>
          </cell>
          <cell r="BF565">
            <v>41605.22</v>
          </cell>
        </row>
        <row r="567">
          <cell r="AS567">
            <v>1464.81</v>
          </cell>
          <cell r="AT567">
            <v>2968.01</v>
          </cell>
          <cell r="AU567">
            <v>4012.26</v>
          </cell>
          <cell r="AV567">
            <v>5359.4</v>
          </cell>
          <cell r="AW567">
            <v>6368.5300000000007</v>
          </cell>
          <cell r="AX567">
            <v>6349.0199999999995</v>
          </cell>
          <cell r="AY567">
            <v>7722.71</v>
          </cell>
          <cell r="AZ567">
            <v>10625.580000000002</v>
          </cell>
          <cell r="BA567">
            <v>13205.97</v>
          </cell>
          <cell r="BB567">
            <v>12130.69</v>
          </cell>
          <cell r="BC567">
            <v>14430.25</v>
          </cell>
          <cell r="BD567">
            <v>14601.400000000001</v>
          </cell>
          <cell r="BE567">
            <v>16318.19</v>
          </cell>
          <cell r="BF567">
            <v>18946.509999999998</v>
          </cell>
        </row>
        <row r="568">
          <cell r="AS568">
            <v>101.48</v>
          </cell>
          <cell r="AT568">
            <v>518.86</v>
          </cell>
          <cell r="AU568">
            <v>884.45</v>
          </cell>
          <cell r="AV568">
            <v>1397.33</v>
          </cell>
          <cell r="AW568">
            <v>1847.45</v>
          </cell>
          <cell r="AX568">
            <v>1123.7</v>
          </cell>
          <cell r="AY568">
            <v>1321.31</v>
          </cell>
          <cell r="AZ568">
            <v>1759.5</v>
          </cell>
          <cell r="BA568">
            <v>2094.31</v>
          </cell>
          <cell r="BB568">
            <v>1902.98</v>
          </cell>
          <cell r="BC568">
            <v>2126.23</v>
          </cell>
          <cell r="BD568">
            <v>2071.0299999999997</v>
          </cell>
          <cell r="BE568">
            <v>2358.12</v>
          </cell>
          <cell r="BF568">
            <v>4393</v>
          </cell>
        </row>
      </sheetData>
      <sheetData sheetId="5">
        <row r="290">
          <cell r="AV290">
            <v>-8072.9699999999993</v>
          </cell>
          <cell r="AW290">
            <v>-8072.9599999999991</v>
          </cell>
          <cell r="AX290">
            <v>0</v>
          </cell>
          <cell r="AY290">
            <v>0</v>
          </cell>
          <cell r="AZ290">
            <v>0</v>
          </cell>
          <cell r="BA290">
            <v>0</v>
          </cell>
          <cell r="BB290">
            <v>0</v>
          </cell>
          <cell r="BC290">
            <v>0</v>
          </cell>
          <cell r="BD290">
            <v>0</v>
          </cell>
          <cell r="BE290">
            <v>0</v>
          </cell>
          <cell r="BF290">
            <v>0</v>
          </cell>
          <cell r="BG290">
            <v>0</v>
          </cell>
          <cell r="BH290">
            <v>0</v>
          </cell>
          <cell r="BI290">
            <v>0</v>
          </cell>
        </row>
        <row r="291">
          <cell r="AV291">
            <v>38281.450000000012</v>
          </cell>
          <cell r="AW291">
            <v>38281.44000000001</v>
          </cell>
          <cell r="AX291">
            <v>0</v>
          </cell>
          <cell r="AY291">
            <v>0</v>
          </cell>
          <cell r="AZ291">
            <v>0</v>
          </cell>
          <cell r="BA291">
            <v>0</v>
          </cell>
          <cell r="BB291">
            <v>0</v>
          </cell>
          <cell r="BC291">
            <v>0</v>
          </cell>
          <cell r="BD291">
            <v>0</v>
          </cell>
          <cell r="BE291">
            <v>0</v>
          </cell>
          <cell r="BF291">
            <v>0</v>
          </cell>
          <cell r="BG291">
            <v>0</v>
          </cell>
          <cell r="BH291">
            <v>0</v>
          </cell>
          <cell r="BI291">
            <v>0</v>
          </cell>
        </row>
        <row r="293">
          <cell r="AV293">
            <v>29804.7</v>
          </cell>
          <cell r="AW293">
            <v>29804.710000000003</v>
          </cell>
          <cell r="AX293">
            <v>0</v>
          </cell>
          <cell r="AY293">
            <v>0</v>
          </cell>
          <cell r="AZ293">
            <v>0</v>
          </cell>
          <cell r="BA293">
            <v>0</v>
          </cell>
          <cell r="BB293">
            <v>0</v>
          </cell>
          <cell r="BC293">
            <v>0</v>
          </cell>
          <cell r="BD293">
            <v>0</v>
          </cell>
          <cell r="BE293">
            <v>0</v>
          </cell>
          <cell r="BF293">
            <v>0</v>
          </cell>
          <cell r="BG293">
            <v>0</v>
          </cell>
          <cell r="BH293">
            <v>0</v>
          </cell>
          <cell r="BI293">
            <v>0</v>
          </cell>
        </row>
        <row r="294">
          <cell r="AV294">
            <v>20402.700000000004</v>
          </cell>
          <cell r="AW294">
            <v>20402.700000000004</v>
          </cell>
          <cell r="AX294">
            <v>0</v>
          </cell>
          <cell r="AY294">
            <v>0</v>
          </cell>
          <cell r="AZ294">
            <v>0</v>
          </cell>
          <cell r="BA294">
            <v>0</v>
          </cell>
          <cell r="BB294">
            <v>0</v>
          </cell>
          <cell r="BC294">
            <v>0</v>
          </cell>
          <cell r="BD294">
            <v>0</v>
          </cell>
          <cell r="BE294">
            <v>0</v>
          </cell>
          <cell r="BF294">
            <v>0</v>
          </cell>
          <cell r="BG294">
            <v>0</v>
          </cell>
          <cell r="BH294">
            <v>0</v>
          </cell>
          <cell r="BI294">
            <v>0</v>
          </cell>
        </row>
      </sheetData>
      <sheetData sheetId="6">
        <row r="290">
          <cell r="AV290">
            <v>613235.89</v>
          </cell>
          <cell r="AW290">
            <v>825492.75999999989</v>
          </cell>
          <cell r="AX290">
            <v>897709.65999999992</v>
          </cell>
          <cell r="AY290">
            <v>942450.11</v>
          </cell>
          <cell r="AZ290">
            <v>835100.02</v>
          </cell>
          <cell r="BA290">
            <v>751762.59</v>
          </cell>
          <cell r="BB290">
            <v>467894.88999999996</v>
          </cell>
          <cell r="BC290">
            <v>571963.57999999996</v>
          </cell>
          <cell r="BD290">
            <v>12358.14</v>
          </cell>
          <cell r="BE290">
            <v>12358.14</v>
          </cell>
          <cell r="BF290">
            <v>12358.14</v>
          </cell>
          <cell r="BG290">
            <v>12358.14</v>
          </cell>
          <cell r="BH290">
            <v>12358.14</v>
          </cell>
          <cell r="BI290">
            <v>12358.14</v>
          </cell>
        </row>
        <row r="291">
          <cell r="AV291">
            <v>224399.43</v>
          </cell>
          <cell r="AW291">
            <v>248652.94999999998</v>
          </cell>
          <cell r="AX291">
            <v>258206.21999999997</v>
          </cell>
          <cell r="AY291">
            <v>271774.31999999995</v>
          </cell>
          <cell r="AZ291">
            <v>273550.29000000004</v>
          </cell>
          <cell r="BA291">
            <v>200881.77000000002</v>
          </cell>
          <cell r="BB291">
            <v>207574.27000000002</v>
          </cell>
          <cell r="BC291">
            <v>677137.85000000009</v>
          </cell>
          <cell r="BD291">
            <v>6803.54</v>
          </cell>
          <cell r="BE291">
            <v>6803.54</v>
          </cell>
          <cell r="BF291">
            <v>6803.54</v>
          </cell>
          <cell r="BG291">
            <v>6803.54</v>
          </cell>
          <cell r="BH291">
            <v>6803.54</v>
          </cell>
          <cell r="BI291">
            <v>6803.54</v>
          </cell>
        </row>
        <row r="293">
          <cell r="AV293">
            <v>215374.94999999998</v>
          </cell>
          <cell r="AW293">
            <v>238653.09</v>
          </cell>
          <cell r="AX293">
            <v>247822.18</v>
          </cell>
          <cell r="AY293">
            <v>260844.61000000002</v>
          </cell>
          <cell r="AZ293">
            <v>262549.17</v>
          </cell>
          <cell r="BA293">
            <v>192803.09</v>
          </cell>
          <cell r="BB293">
            <v>199226.45000000004</v>
          </cell>
          <cell r="BC293">
            <v>649906.02</v>
          </cell>
          <cell r="BD293">
            <v>6529.9199999999992</v>
          </cell>
          <cell r="BE293">
            <v>6529.9199999999992</v>
          </cell>
          <cell r="BF293">
            <v>6529.9199999999992</v>
          </cell>
          <cell r="BG293">
            <v>6529.9199999999992</v>
          </cell>
          <cell r="BH293">
            <v>6529.9199999999992</v>
          </cell>
          <cell r="BI293">
            <v>6529.9199999999992</v>
          </cell>
        </row>
        <row r="294">
          <cell r="AV294">
            <v>158486.84000000003</v>
          </cell>
          <cell r="AW294">
            <v>175616.4</v>
          </cell>
          <cell r="AX294">
            <v>182363.61000000002</v>
          </cell>
          <cell r="AY294">
            <v>191946.35</v>
          </cell>
          <cell r="AZ294">
            <v>193200.66999999998</v>
          </cell>
          <cell r="BA294">
            <v>141876.99</v>
          </cell>
          <cell r="BB294">
            <v>146603.72</v>
          </cell>
          <cell r="BC294">
            <v>478242.92</v>
          </cell>
          <cell r="BD294">
            <v>4805.1499999999996</v>
          </cell>
          <cell r="BE294">
            <v>4805.1499999999996</v>
          </cell>
          <cell r="BF294">
            <v>4805.1499999999996</v>
          </cell>
          <cell r="BG294">
            <v>4805.1499999999996</v>
          </cell>
          <cell r="BH294">
            <v>4805.1499999999996</v>
          </cell>
          <cell r="BI294">
            <v>4805.1499999999996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Z44">
            <v>0.39209287804949344</v>
          </cell>
          <cell r="DB44">
            <v>0.45435908608374953</v>
          </cell>
          <cell r="DC44">
            <v>0.15354803586675725</v>
          </cell>
        </row>
        <row r="285">
          <cell r="CD285">
            <v>3200897.113468044</v>
          </cell>
          <cell r="CE285">
            <v>3799541.9440570329</v>
          </cell>
          <cell r="CF285">
            <v>0</v>
          </cell>
          <cell r="CG285">
            <v>0</v>
          </cell>
          <cell r="CH285">
            <v>0</v>
          </cell>
          <cell r="CI285">
            <v>0</v>
          </cell>
        </row>
        <row r="286">
          <cell r="CD286">
            <v>1783272.6144496959</v>
          </cell>
          <cell r="CE286">
            <v>1777961.0361499267</v>
          </cell>
          <cell r="CF286">
            <v>0</v>
          </cell>
          <cell r="CG286">
            <v>0</v>
          </cell>
          <cell r="CH286">
            <v>0</v>
          </cell>
          <cell r="CI286">
            <v>0</v>
          </cell>
        </row>
        <row r="288">
          <cell r="CD288">
            <v>2703012.0649789949</v>
          </cell>
          <cell r="CE288">
            <v>2698632.3480119267</v>
          </cell>
          <cell r="CF288">
            <v>0</v>
          </cell>
          <cell r="CG288">
            <v>0</v>
          </cell>
          <cell r="CH288">
            <v>0</v>
          </cell>
          <cell r="CI288">
            <v>0</v>
          </cell>
        </row>
        <row r="289">
          <cell r="CD289">
            <v>964706.0990347442</v>
          </cell>
          <cell r="CE289">
            <v>962745.40439030575</v>
          </cell>
          <cell r="CF289">
            <v>0</v>
          </cell>
          <cell r="CG289">
            <v>0</v>
          </cell>
          <cell r="CH289">
            <v>0</v>
          </cell>
          <cell r="CI289">
            <v>0</v>
          </cell>
        </row>
        <row r="326">
          <cell r="CD326">
            <v>149696.35999999999</v>
          </cell>
          <cell r="CE326">
            <v>164387.18</v>
          </cell>
          <cell r="CF326">
            <v>0</v>
          </cell>
          <cell r="CG326">
            <v>0</v>
          </cell>
          <cell r="CH326">
            <v>0</v>
          </cell>
          <cell r="CI326">
            <v>0</v>
          </cell>
        </row>
        <row r="327">
          <cell r="CD327">
            <v>74091.149999999994</v>
          </cell>
          <cell r="CE327">
            <v>67343.210000000006</v>
          </cell>
          <cell r="CF327">
            <v>0</v>
          </cell>
          <cell r="CG327">
            <v>0</v>
          </cell>
          <cell r="CH327">
            <v>0</v>
          </cell>
          <cell r="CI327">
            <v>0</v>
          </cell>
        </row>
        <row r="329">
          <cell r="CD329">
            <v>75716.31</v>
          </cell>
          <cell r="CE329">
            <v>72630.33</v>
          </cell>
          <cell r="CF329">
            <v>0</v>
          </cell>
          <cell r="CG329">
            <v>0</v>
          </cell>
          <cell r="CH329">
            <v>0</v>
          </cell>
          <cell r="CI329">
            <v>0</v>
          </cell>
        </row>
        <row r="330">
          <cell r="CD330">
            <v>12740.14</v>
          </cell>
          <cell r="CE330">
            <v>13601.93</v>
          </cell>
          <cell r="CF330">
            <v>0</v>
          </cell>
          <cell r="CG330">
            <v>0</v>
          </cell>
          <cell r="CH330">
            <v>0</v>
          </cell>
          <cell r="CI3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Aug 2021"/>
      <sheetName val="Mar 2021"/>
      <sheetName val="Apr 2021"/>
      <sheetName val="May 2021"/>
      <sheetName val="Jun 2021"/>
      <sheetName val="Jul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6">
          <cell r="F36">
            <v>0</v>
          </cell>
        </row>
        <row r="37">
          <cell r="F37">
            <v>2764.87</v>
          </cell>
        </row>
        <row r="38">
          <cell r="F38">
            <v>2614.15</v>
          </cell>
        </row>
        <row r="39">
          <cell r="F39">
            <v>624.69000000000005</v>
          </cell>
        </row>
        <row r="44">
          <cell r="F44">
            <v>0</v>
          </cell>
        </row>
        <row r="45">
          <cell r="F45">
            <v>-4166.01</v>
          </cell>
        </row>
        <row r="46">
          <cell r="F46">
            <v>-4770.49</v>
          </cell>
        </row>
        <row r="47">
          <cell r="F47">
            <v>-1825.1</v>
          </cell>
        </row>
        <row r="52">
          <cell r="F52">
            <v>93708.83</v>
          </cell>
        </row>
        <row r="53">
          <cell r="F53">
            <v>54675.539999999994</v>
          </cell>
        </row>
        <row r="54">
          <cell r="F54">
            <v>47500.25</v>
          </cell>
        </row>
        <row r="55">
          <cell r="F55">
            <v>10550.65</v>
          </cell>
        </row>
        <row r="60">
          <cell r="F60">
            <v>-9144.74</v>
          </cell>
        </row>
        <row r="64">
          <cell r="F64">
            <v>0</v>
          </cell>
        </row>
        <row r="68">
          <cell r="F68">
            <v>-11441.8</v>
          </cell>
        </row>
        <row r="69">
          <cell r="F69">
            <v>25696.935739008059</v>
          </cell>
        </row>
        <row r="70">
          <cell r="F70">
            <v>29323.876670586938</v>
          </cell>
        </row>
        <row r="71">
          <cell r="F71">
            <v>8493.847590405001</v>
          </cell>
        </row>
        <row r="76">
          <cell r="F76">
            <v>678899.02999999991</v>
          </cell>
        </row>
        <row r="77">
          <cell r="F77">
            <v>336552.64</v>
          </cell>
        </row>
        <row r="78">
          <cell r="F78">
            <v>359999.47</v>
          </cell>
        </row>
        <row r="79">
          <cell r="F79">
            <v>235728.79</v>
          </cell>
        </row>
        <row r="83">
          <cell r="F83">
            <v>-36580.310000000005</v>
          </cell>
        </row>
        <row r="84">
          <cell r="F84">
            <v>17253.41</v>
          </cell>
        </row>
        <row r="85">
          <cell r="F85">
            <v>47462.62</v>
          </cell>
        </row>
        <row r="86">
          <cell r="F86">
            <v>-32264.560000000001</v>
          </cell>
        </row>
        <row r="90">
          <cell r="F90">
            <v>141704.35</v>
          </cell>
        </row>
        <row r="91">
          <cell r="F91">
            <v>49866.75</v>
          </cell>
        </row>
        <row r="92">
          <cell r="F92">
            <v>45671.57</v>
          </cell>
        </row>
        <row r="93">
          <cell r="F93">
            <v>9218.44</v>
          </cell>
        </row>
        <row r="97">
          <cell r="F97">
            <v>54863.31</v>
          </cell>
        </row>
        <row r="98">
          <cell r="F98">
            <v>16303.84</v>
          </cell>
        </row>
        <row r="99">
          <cell r="F99">
            <v>15223.86</v>
          </cell>
        </row>
        <row r="100">
          <cell r="F100">
            <v>11852.29</v>
          </cell>
        </row>
        <row r="116">
          <cell r="F116">
            <v>228590149.70069999</v>
          </cell>
        </row>
        <row r="117">
          <cell r="F117">
            <v>95893071.72420001</v>
          </cell>
        </row>
        <row r="118">
          <cell r="F118">
            <v>89552105.891400009</v>
          </cell>
        </row>
        <row r="119">
          <cell r="F119">
            <v>65846031.368799999</v>
          </cell>
        </row>
      </sheetData>
      <sheetData sheetId="35">
        <row r="36">
          <cell r="F36">
            <v>0</v>
          </cell>
        </row>
        <row r="37">
          <cell r="F37">
            <v>25.83</v>
          </cell>
        </row>
        <row r="38">
          <cell r="F38">
            <v>22.1</v>
          </cell>
        </row>
        <row r="39">
          <cell r="F39">
            <v>5.36</v>
          </cell>
        </row>
        <row r="44">
          <cell r="F44">
            <v>0</v>
          </cell>
        </row>
        <row r="45">
          <cell r="F45">
            <v>-5461.48</v>
          </cell>
        </row>
        <row r="46">
          <cell r="F46">
            <v>-5539.01</v>
          </cell>
        </row>
        <row r="47">
          <cell r="F47">
            <v>-2067.2799999999997</v>
          </cell>
        </row>
        <row r="52">
          <cell r="F52">
            <v>132174.97</v>
          </cell>
        </row>
        <row r="53">
          <cell r="F53">
            <v>62322.96</v>
          </cell>
        </row>
        <row r="54">
          <cell r="F54">
            <v>48973.14</v>
          </cell>
        </row>
        <row r="55">
          <cell r="F55">
            <v>11032.43</v>
          </cell>
        </row>
        <row r="60">
          <cell r="F60">
            <v>-12897.66</v>
          </cell>
        </row>
        <row r="64">
          <cell r="F64">
            <v>0</v>
          </cell>
        </row>
        <row r="68">
          <cell r="F68">
            <v>-16129.06</v>
          </cell>
        </row>
        <row r="69">
          <cell r="F69">
            <v>29515.808659269558</v>
          </cell>
        </row>
        <row r="70">
          <cell r="F70">
            <v>30490.649330793294</v>
          </cell>
        </row>
        <row r="71">
          <cell r="F71">
            <v>8963.1920099371455</v>
          </cell>
        </row>
        <row r="76">
          <cell r="F76">
            <v>957530.24000000011</v>
          </cell>
        </row>
        <row r="77">
          <cell r="F77">
            <v>383902.42</v>
          </cell>
        </row>
        <row r="78">
          <cell r="F78">
            <v>371419.79</v>
          </cell>
        </row>
        <row r="79">
          <cell r="F79">
            <v>246824.84</v>
          </cell>
        </row>
        <row r="83">
          <cell r="F83">
            <v>-51594.01</v>
          </cell>
        </row>
        <row r="84">
          <cell r="F84">
            <v>19696.990000000002</v>
          </cell>
        </row>
        <row r="85">
          <cell r="F85">
            <v>48968.28</v>
          </cell>
        </row>
        <row r="86">
          <cell r="F86">
            <v>-33783.29</v>
          </cell>
        </row>
        <row r="90">
          <cell r="F90">
            <v>199862.15</v>
          </cell>
        </row>
        <row r="91">
          <cell r="F91">
            <v>56862.75</v>
          </cell>
        </row>
        <row r="92">
          <cell r="F92">
            <v>47120.42</v>
          </cell>
        </row>
        <row r="93">
          <cell r="F93">
            <v>9652.3700000000008</v>
          </cell>
        </row>
        <row r="97">
          <cell r="F97">
            <v>77376.320000000007</v>
          </cell>
        </row>
        <row r="98">
          <cell r="F98">
            <v>18588.63</v>
          </cell>
        </row>
        <row r="99">
          <cell r="F99">
            <v>15706.81</v>
          </cell>
        </row>
        <row r="100">
          <cell r="F100">
            <v>12410.19</v>
          </cell>
        </row>
        <row r="116">
          <cell r="F116">
            <v>322400333.55010003</v>
          </cell>
        </row>
        <row r="117">
          <cell r="F117">
            <v>109357852.72739998</v>
          </cell>
        </row>
        <row r="118">
          <cell r="F118">
            <v>92392985.21860002</v>
          </cell>
        </row>
        <row r="119">
          <cell r="F119">
            <v>68945484.655599996</v>
          </cell>
        </row>
      </sheetData>
      <sheetData sheetId="36">
        <row r="36">
          <cell r="F36">
            <v>0</v>
          </cell>
        </row>
        <row r="37">
          <cell r="F37">
            <v>1513.06</v>
          </cell>
        </row>
        <row r="38">
          <cell r="F38">
            <v>1171.81</v>
          </cell>
        </row>
        <row r="39">
          <cell r="F39">
            <v>239.16</v>
          </cell>
        </row>
        <row r="44">
          <cell r="F44">
            <v>0</v>
          </cell>
        </row>
        <row r="45">
          <cell r="F45">
            <v>-5824.6</v>
          </cell>
        </row>
        <row r="46">
          <cell r="F46">
            <v>-5535.34</v>
          </cell>
        </row>
        <row r="47">
          <cell r="F47">
            <v>-1765.4699999999998</v>
          </cell>
        </row>
        <row r="52">
          <cell r="F52">
            <v>160218.35</v>
          </cell>
        </row>
        <row r="53">
          <cell r="F53">
            <v>70289.88788510111</v>
          </cell>
        </row>
        <row r="54">
          <cell r="F54">
            <v>51303.446559856027</v>
          </cell>
        </row>
        <row r="55">
          <cell r="F55">
            <v>9728.6755550428607</v>
          </cell>
        </row>
        <row r="60">
          <cell r="F60">
            <v>-15629.32</v>
          </cell>
        </row>
        <row r="64">
          <cell r="F64">
            <v>0</v>
          </cell>
        </row>
        <row r="68">
          <cell r="F68">
            <v>-19538.480000000003</v>
          </cell>
        </row>
        <row r="69">
          <cell r="F69">
            <v>33195.129051540498</v>
          </cell>
        </row>
        <row r="70">
          <cell r="F70">
            <v>31829.504225331162</v>
          </cell>
        </row>
        <row r="71">
          <cell r="F71">
            <v>7874.1467231283341</v>
          </cell>
        </row>
        <row r="76">
          <cell r="F76">
            <v>1160570.32</v>
          </cell>
        </row>
        <row r="77">
          <cell r="F77">
            <v>432591.7</v>
          </cell>
        </row>
        <row r="78">
          <cell r="F78">
            <v>389048.75</v>
          </cell>
        </row>
        <row r="79">
          <cell r="F79">
            <v>217573.11</v>
          </cell>
        </row>
        <row r="83">
          <cell r="F83">
            <v>-62512.91</v>
          </cell>
        </row>
        <row r="84">
          <cell r="F84">
            <v>22171.200000000001</v>
          </cell>
        </row>
        <row r="85">
          <cell r="F85">
            <v>51292.5</v>
          </cell>
        </row>
        <row r="86">
          <cell r="F86">
            <v>-29779.56</v>
          </cell>
        </row>
        <row r="90">
          <cell r="F90">
            <v>242304.89</v>
          </cell>
        </row>
        <row r="91">
          <cell r="F91">
            <v>64101.48</v>
          </cell>
        </row>
        <row r="92">
          <cell r="F92">
            <v>49356.93</v>
          </cell>
        </row>
        <row r="93">
          <cell r="F93">
            <v>8508.4500000000007</v>
          </cell>
        </row>
        <row r="97">
          <cell r="F97">
            <v>93788.89</v>
          </cell>
        </row>
        <row r="98">
          <cell r="F98">
            <v>20956.18</v>
          </cell>
        </row>
        <row r="99">
          <cell r="F99">
            <v>16452.310000000001</v>
          </cell>
        </row>
        <row r="100">
          <cell r="F100">
            <v>10939.43</v>
          </cell>
        </row>
        <row r="116">
          <cell r="F116">
            <v>390767821.45130002</v>
          </cell>
        </row>
        <row r="117">
          <cell r="F117">
            <v>123266202.59049997</v>
          </cell>
        </row>
        <row r="118">
          <cell r="F118">
            <v>96778295.011399999</v>
          </cell>
        </row>
        <row r="119">
          <cell r="F119">
            <v>60774612.19309999</v>
          </cell>
        </row>
      </sheetData>
      <sheetData sheetId="37">
        <row r="36">
          <cell r="F36">
            <v>0</v>
          </cell>
        </row>
        <row r="37">
          <cell r="F37">
            <v>334.09</v>
          </cell>
        </row>
        <row r="38">
          <cell r="F38">
            <v>338.81</v>
          </cell>
        </row>
        <row r="39">
          <cell r="F39">
            <v>44.87</v>
          </cell>
        </row>
        <row r="44">
          <cell r="F44">
            <v>0</v>
          </cell>
        </row>
        <row r="45">
          <cell r="F45">
            <v>-3283.02</v>
          </cell>
        </row>
        <row r="46">
          <cell r="F46">
            <v>-2700.45</v>
          </cell>
        </row>
        <row r="47">
          <cell r="F47">
            <v>-558.71</v>
          </cell>
        </row>
        <row r="52">
          <cell r="F52">
            <v>67405.239999999991</v>
          </cell>
        </row>
        <row r="53">
          <cell r="F53">
            <v>21343.418535610585</v>
          </cell>
        </row>
        <row r="54">
          <cell r="F54">
            <v>21349.318449678845</v>
          </cell>
        </row>
        <row r="55">
          <cell r="F55">
            <v>3219.7130147105654</v>
          </cell>
        </row>
        <row r="60">
          <cell r="F60">
            <v>-3368.4700000000003</v>
          </cell>
        </row>
        <row r="64">
          <cell r="F64">
            <v>0</v>
          </cell>
        </row>
        <row r="68">
          <cell r="F68">
            <v>-10098.35</v>
          </cell>
        </row>
        <row r="69">
          <cell r="F69">
            <v>13415.505373414477</v>
          </cell>
        </row>
        <row r="70">
          <cell r="F70">
            <v>12969.385906523572</v>
          </cell>
        </row>
        <row r="71">
          <cell r="F71">
            <v>1525.9087200619517</v>
          </cell>
        </row>
        <row r="76">
          <cell r="F76">
            <v>801993.03</v>
          </cell>
        </row>
        <row r="77">
          <cell r="F77">
            <v>262590.34999999998</v>
          </cell>
        </row>
        <row r="78">
          <cell r="F78">
            <v>304105.3</v>
          </cell>
        </row>
        <row r="79">
          <cell r="F79">
            <v>74642.83</v>
          </cell>
        </row>
        <row r="83">
          <cell r="F83">
            <v>-16839.489999999998</v>
          </cell>
        </row>
        <row r="84">
          <cell r="F84">
            <v>-68000.479999999996</v>
          </cell>
        </row>
        <row r="85">
          <cell r="F85">
            <v>9561.2000000000007</v>
          </cell>
        </row>
        <row r="86">
          <cell r="F86">
            <v>-39757.31</v>
          </cell>
        </row>
        <row r="90">
          <cell r="F90">
            <v>144901.12</v>
          </cell>
        </row>
        <row r="91">
          <cell r="F91">
            <v>48052.4</v>
          </cell>
        </row>
        <row r="92">
          <cell r="F92">
            <v>53036.23</v>
          </cell>
        </row>
        <row r="93">
          <cell r="F93">
            <v>6392.08</v>
          </cell>
        </row>
        <row r="97">
          <cell r="F97">
            <v>-40435.21</v>
          </cell>
        </row>
        <row r="98">
          <cell r="F98">
            <v>-1115.3899999999999</v>
          </cell>
        </row>
        <row r="99">
          <cell r="F99">
            <v>-1292.5</v>
          </cell>
        </row>
        <row r="100">
          <cell r="F100">
            <v>-436.77</v>
          </cell>
        </row>
        <row r="104">
          <cell r="F104">
            <v>43803.25</v>
          </cell>
        </row>
        <row r="105">
          <cell r="F105">
            <v>8962.17</v>
          </cell>
        </row>
        <row r="106">
          <cell r="F106">
            <v>8315.4699999999993</v>
          </cell>
        </row>
        <row r="107">
          <cell r="F107">
            <v>1729.04</v>
          </cell>
        </row>
        <row r="123">
          <cell r="F123">
            <v>336960286.61050004</v>
          </cell>
        </row>
        <row r="124">
          <cell r="F124">
            <v>111682918.58029997</v>
          </cell>
        </row>
        <row r="125">
          <cell r="F125">
            <v>91555632.063200012</v>
          </cell>
        </row>
        <row r="126">
          <cell r="F126">
            <v>37646165.738000005</v>
          </cell>
        </row>
      </sheetData>
      <sheetData sheetId="38">
        <row r="36">
          <cell r="F36">
            <v>0</v>
          </cell>
        </row>
        <row r="37">
          <cell r="F37">
            <v>20.11</v>
          </cell>
        </row>
        <row r="38">
          <cell r="F38">
            <v>20.85</v>
          </cell>
        </row>
        <row r="39">
          <cell r="F39">
            <v>7.46</v>
          </cell>
        </row>
        <row r="44">
          <cell r="F44">
            <v>0</v>
          </cell>
        </row>
        <row r="45">
          <cell r="F45">
            <v>-3083.38</v>
          </cell>
        </row>
        <row r="46">
          <cell r="F46">
            <v>-2622.05</v>
          </cell>
        </row>
        <row r="47">
          <cell r="F47">
            <v>-1310.49</v>
          </cell>
        </row>
        <row r="52">
          <cell r="F52">
            <v>56781.619999999995</v>
          </cell>
        </row>
        <row r="53">
          <cell r="F53">
            <v>19539.329999999998</v>
          </cell>
        </row>
        <row r="54">
          <cell r="F54">
            <v>20142.990000000002</v>
          </cell>
        </row>
        <row r="55">
          <cell r="F55">
            <v>7247.4900000000007</v>
          </cell>
        </row>
        <row r="60">
          <cell r="F60">
            <v>-2839.75</v>
          </cell>
        </row>
        <row r="64">
          <cell r="F64">
            <v>0</v>
          </cell>
        </row>
        <row r="68">
          <cell r="F68">
            <v>-8517.32</v>
          </cell>
        </row>
        <row r="69">
          <cell r="F69">
            <v>12341.757786756685</v>
          </cell>
        </row>
        <row r="70">
          <cell r="F70">
            <v>12259.103804640667</v>
          </cell>
        </row>
        <row r="71">
          <cell r="F71">
            <v>4719.7184086026491</v>
          </cell>
        </row>
        <row r="76">
          <cell r="F76">
            <v>675753.32</v>
          </cell>
        </row>
        <row r="77">
          <cell r="F77">
            <v>241017.22</v>
          </cell>
        </row>
        <row r="78">
          <cell r="F78">
            <v>288915.82</v>
          </cell>
        </row>
        <row r="79">
          <cell r="F79">
            <v>160652.16</v>
          </cell>
        </row>
        <row r="83">
          <cell r="F83">
            <v>-14200.97</v>
          </cell>
        </row>
        <row r="84">
          <cell r="F84">
            <v>-62890.96</v>
          </cell>
        </row>
        <row r="85">
          <cell r="F85">
            <v>8755.02</v>
          </cell>
        </row>
        <row r="86">
          <cell r="F86">
            <v>-53661.46</v>
          </cell>
        </row>
        <row r="90">
          <cell r="F90">
            <v>122073.97</v>
          </cell>
        </row>
        <row r="91">
          <cell r="F91">
            <v>44289.01</v>
          </cell>
        </row>
        <row r="92">
          <cell r="F92">
            <v>50779.14</v>
          </cell>
        </row>
        <row r="93">
          <cell r="F93">
            <v>10057.719999999999</v>
          </cell>
        </row>
        <row r="97">
          <cell r="F97">
            <v>-34073.629999999997</v>
          </cell>
        </row>
        <row r="98">
          <cell r="F98">
            <v>0</v>
          </cell>
        </row>
        <row r="99">
          <cell r="F99">
            <v>0</v>
          </cell>
        </row>
        <row r="100">
          <cell r="F100">
            <v>0</v>
          </cell>
        </row>
        <row r="104">
          <cell r="F104">
            <v>36907.21</v>
          </cell>
        </row>
        <row r="105">
          <cell r="F105">
            <v>8234</v>
          </cell>
        </row>
        <row r="106">
          <cell r="F106">
            <v>7879.52</v>
          </cell>
        </row>
        <row r="107">
          <cell r="F107">
            <v>6085.01</v>
          </cell>
        </row>
        <row r="123">
          <cell r="F123">
            <v>283934281.55830002</v>
          </cell>
        </row>
        <row r="124">
          <cell r="F124">
            <v>103017418.34429999</v>
          </cell>
        </row>
        <row r="125">
          <cell r="F125">
            <v>87550248.15550001</v>
          </cell>
        </row>
        <row r="126">
          <cell r="F126">
            <v>62846491.7152</v>
          </cell>
        </row>
      </sheetData>
      <sheetData sheetId="39">
        <row r="36">
          <cell r="F36">
            <v>0</v>
          </cell>
        </row>
        <row r="37">
          <cell r="F37">
            <v>-377.79</v>
          </cell>
        </row>
        <row r="38">
          <cell r="F38">
            <v>-987.3</v>
          </cell>
        </row>
        <row r="39">
          <cell r="F39">
            <v>-307.11</v>
          </cell>
        </row>
        <row r="44">
          <cell r="F44">
            <v>0</v>
          </cell>
        </row>
        <row r="45">
          <cell r="F45">
            <v>-2774.87</v>
          </cell>
        </row>
        <row r="46">
          <cell r="F46">
            <v>-2283.14</v>
          </cell>
        </row>
        <row r="47">
          <cell r="F47">
            <v>-1020.77</v>
          </cell>
        </row>
        <row r="52">
          <cell r="F52">
            <v>47486.009999999995</v>
          </cell>
        </row>
        <row r="53">
          <cell r="F53">
            <v>17701.904325803385</v>
          </cell>
        </row>
        <row r="54">
          <cell r="F54">
            <v>17874.341441000892</v>
          </cell>
        </row>
        <row r="55">
          <cell r="F55">
            <v>5672.6842331957205</v>
          </cell>
        </row>
        <row r="60">
          <cell r="F60">
            <v>-2374.54</v>
          </cell>
        </row>
        <row r="64">
          <cell r="F64">
            <v>0</v>
          </cell>
        </row>
        <row r="68">
          <cell r="F68">
            <v>-7125.95</v>
          </cell>
        </row>
        <row r="69">
          <cell r="F69">
            <v>11202.613053229465</v>
          </cell>
        </row>
        <row r="70">
          <cell r="F70">
            <v>11034.613299123737</v>
          </cell>
        </row>
        <row r="71">
          <cell r="F71">
            <v>3628.953647646797</v>
          </cell>
        </row>
        <row r="76">
          <cell r="F76">
            <v>565248.96</v>
          </cell>
        </row>
        <row r="77">
          <cell r="F77">
            <v>219534.78</v>
          </cell>
        </row>
        <row r="78">
          <cell r="F78">
            <v>263999.37</v>
          </cell>
        </row>
        <row r="79">
          <cell r="F79">
            <v>132117.47</v>
          </cell>
        </row>
        <row r="83">
          <cell r="F83">
            <v>-11878.53</v>
          </cell>
        </row>
        <row r="84">
          <cell r="F84">
            <v>-57387.6</v>
          </cell>
        </row>
        <row r="85">
          <cell r="F85">
            <v>7763.23</v>
          </cell>
        </row>
        <row r="86">
          <cell r="F86">
            <v>-46766.99</v>
          </cell>
        </row>
        <row r="90">
          <cell r="F90">
            <v>102105.11</v>
          </cell>
        </row>
        <row r="91">
          <cell r="F91">
            <v>40339.199999999997</v>
          </cell>
        </row>
        <row r="92">
          <cell r="F92">
            <v>46513.21</v>
          </cell>
        </row>
        <row r="93">
          <cell r="F93">
            <v>8543.92</v>
          </cell>
        </row>
        <row r="97">
          <cell r="F97">
            <v>-28506.799999999999</v>
          </cell>
        </row>
        <row r="98">
          <cell r="F98">
            <v>0</v>
          </cell>
        </row>
        <row r="99">
          <cell r="F99">
            <v>0</v>
          </cell>
        </row>
        <row r="100">
          <cell r="F100">
            <v>0</v>
          </cell>
        </row>
        <row r="104">
          <cell r="F104">
            <v>30868.75</v>
          </cell>
        </row>
        <row r="105">
          <cell r="F105">
            <v>7509.76</v>
          </cell>
        </row>
        <row r="106">
          <cell r="F106">
            <v>7164.72</v>
          </cell>
        </row>
        <row r="107">
          <cell r="F107">
            <v>4685.3</v>
          </cell>
        </row>
        <row r="123">
          <cell r="F123">
            <v>237511968.08130002</v>
          </cell>
        </row>
        <row r="124">
          <cell r="F124">
            <v>93794092.484200001</v>
          </cell>
        </row>
        <row r="125">
          <cell r="F125">
            <v>80125884.230999991</v>
          </cell>
        </row>
        <row r="126">
          <cell r="F126">
            <v>53313883.725799993</v>
          </cell>
        </row>
      </sheetData>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2"/>
      <sheetName val="Dec 2022"/>
      <sheetName val="Jan 2023"/>
      <sheetName val="Feb 2023"/>
      <sheetName val="Mar 2023"/>
      <sheetName val="Apr 2023"/>
    </sheetNames>
    <sheetDataSet>
      <sheetData sheetId="0">
        <row r="42">
          <cell r="E42">
            <v>4.3267999999999996E-3</v>
          </cell>
        </row>
      </sheetData>
      <sheetData sheetId="1">
        <row r="43">
          <cell r="E43">
            <v>4.6379000000000004E-3</v>
          </cell>
        </row>
      </sheetData>
      <sheetData sheetId="2">
        <row r="43">
          <cell r="E43">
            <v>4.7694E-3</v>
          </cell>
        </row>
      </sheetData>
      <sheetData sheetId="3">
        <row r="40">
          <cell r="E40">
            <v>4.8724500000000004E-3</v>
          </cell>
        </row>
      </sheetData>
      <sheetData sheetId="4">
        <row r="43">
          <cell r="E43">
            <v>5.0207200000000002E-3</v>
          </cell>
        </row>
      </sheetData>
      <sheetData sheetId="5">
        <row r="42">
          <cell r="E42">
            <v>5.1744800000000004E-3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2 12072022"/>
      <sheetName val="Input"/>
      <sheetName val="Program Descriptions"/>
    </sheetNames>
    <sheetDataSet>
      <sheetData sheetId="0">
        <row r="27">
          <cell r="N27">
            <v>732121.53</v>
          </cell>
          <cell r="O27">
            <v>190387.19</v>
          </cell>
          <cell r="Q27">
            <v>792471.95</v>
          </cell>
          <cell r="R27">
            <v>47150.63</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2 12072022"/>
      <sheetName val="Input"/>
      <sheetName val="Program Descriptions"/>
    </sheetNames>
    <sheetDataSet>
      <sheetData sheetId="0">
        <row r="27">
          <cell r="N27">
            <v>1478247.92</v>
          </cell>
          <cell r="O27">
            <v>400216.09</v>
          </cell>
          <cell r="Q27">
            <v>256352.64000000001</v>
          </cell>
          <cell r="R27">
            <v>54683.840000000091</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3 02072023"/>
      <sheetName val="Input"/>
      <sheetName val="Program Descriptions"/>
    </sheetNames>
    <sheetDataSet>
      <sheetData sheetId="0">
        <row r="27">
          <cell r="N27">
            <v>517413.1</v>
          </cell>
          <cell r="O27">
            <v>666892.17000000004</v>
          </cell>
          <cell r="Q27">
            <v>602551.80000000005</v>
          </cell>
          <cell r="R27">
            <v>564460.3899999999</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3 03062023"/>
      <sheetName val="Input"/>
      <sheetName val="Program Descriptions"/>
    </sheetNames>
    <sheetDataSet>
      <sheetData sheetId="0">
        <row r="27">
          <cell r="N27">
            <v>296561.38999999996</v>
          </cell>
          <cell r="O27">
            <v>72197.62</v>
          </cell>
          <cell r="Q27">
            <v>68689.540000000008</v>
          </cell>
          <cell r="R27">
            <v>50546.159999999967</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sheetPr>
    <pageSetUpPr fitToPage="1"/>
  </sheetPr>
  <dimension ref="A1:C72"/>
  <sheetViews>
    <sheetView tabSelected="1" zoomScale="80" zoomScaleNormal="80" workbookViewId="0">
      <pane xSplit="1" ySplit="4" topLeftCell="B5" activePane="bottomRight" state="frozen"/>
      <selection pane="topRight" activeCell="B1" sqref="B1"/>
      <selection pane="bottomLeft" activeCell="A5" sqref="A5"/>
      <selection pane="bottomRight" activeCell="H9" sqref="H9"/>
    </sheetView>
  </sheetViews>
  <sheetFormatPr defaultColWidth="8.7265625" defaultRowHeight="14.5" x14ac:dyDescent="0.35"/>
  <cols>
    <col min="1" max="1" width="17" style="3" bestFit="1" customWidth="1"/>
    <col min="2" max="2" width="62.26953125" style="310" customWidth="1"/>
    <col min="3" max="3" width="55.453125" style="310" customWidth="1"/>
    <col min="4" max="16384" width="8.7265625" style="46"/>
  </cols>
  <sheetData>
    <row r="1" spans="1:3" x14ac:dyDescent="0.35">
      <c r="A1" s="3" t="str">
        <f>+'PPC Cycle 3'!A1</f>
        <v>Evergy Missouri West, Inc. - DSIM Rider Update Filed 06/01/2023</v>
      </c>
    </row>
    <row r="4" spans="1:3" s="3" customFormat="1" x14ac:dyDescent="0.35">
      <c r="A4" s="311" t="s">
        <v>215</v>
      </c>
      <c r="B4" s="312" t="s">
        <v>216</v>
      </c>
      <c r="C4" s="312" t="s">
        <v>217</v>
      </c>
    </row>
    <row r="5" spans="1:3" s="315" customFormat="1" ht="29" x14ac:dyDescent="0.35">
      <c r="A5" s="313" t="s">
        <v>218</v>
      </c>
      <c r="B5" s="314" t="s">
        <v>219</v>
      </c>
      <c r="C5" s="314" t="s">
        <v>220</v>
      </c>
    </row>
    <row r="6" spans="1:3" s="315" customFormat="1" ht="29" x14ac:dyDescent="0.35">
      <c r="A6" s="313" t="s">
        <v>221</v>
      </c>
      <c r="B6" s="314" t="s">
        <v>222</v>
      </c>
      <c r="C6" s="314" t="s">
        <v>223</v>
      </c>
    </row>
    <row r="7" spans="1:3" s="315" customFormat="1" ht="101.5" x14ac:dyDescent="0.35">
      <c r="A7" s="313" t="s">
        <v>224</v>
      </c>
      <c r="B7" s="314" t="s">
        <v>225</v>
      </c>
      <c r="C7" s="314" t="s">
        <v>226</v>
      </c>
    </row>
    <row r="8" spans="1:3" s="315" customFormat="1" ht="72.5" x14ac:dyDescent="0.35">
      <c r="A8" s="313" t="s">
        <v>227</v>
      </c>
      <c r="B8" s="314" t="s">
        <v>228</v>
      </c>
      <c r="C8" s="314" t="s">
        <v>229</v>
      </c>
    </row>
    <row r="9" spans="1:3" s="315" customFormat="1" ht="145" x14ac:dyDescent="0.35">
      <c r="A9" s="313" t="s">
        <v>230</v>
      </c>
      <c r="B9" s="314" t="s">
        <v>231</v>
      </c>
      <c r="C9" s="314" t="s">
        <v>232</v>
      </c>
    </row>
    <row r="10" spans="1:3" s="315" customFormat="1" ht="58" x14ac:dyDescent="0.35">
      <c r="A10" s="313" t="s">
        <v>233</v>
      </c>
      <c r="B10" s="314" t="s">
        <v>234</v>
      </c>
      <c r="C10" s="314" t="s">
        <v>235</v>
      </c>
    </row>
    <row r="11" spans="1:3" s="315" customFormat="1" ht="72.5" x14ac:dyDescent="0.35">
      <c r="A11" s="313" t="s">
        <v>236</v>
      </c>
      <c r="B11" s="314" t="s">
        <v>237</v>
      </c>
      <c r="C11" s="314" t="s">
        <v>238</v>
      </c>
    </row>
    <row r="12" spans="1:3" s="315" customFormat="1" ht="188.5" x14ac:dyDescent="0.35">
      <c r="A12" s="313" t="s">
        <v>239</v>
      </c>
      <c r="B12" s="314" t="s">
        <v>240</v>
      </c>
      <c r="C12" s="314" t="s">
        <v>241</v>
      </c>
    </row>
    <row r="13" spans="1:3" s="315" customFormat="1" ht="217.5" x14ac:dyDescent="0.35">
      <c r="A13" s="313" t="s">
        <v>242</v>
      </c>
      <c r="B13" s="314" t="s">
        <v>243</v>
      </c>
      <c r="C13" s="314" t="s">
        <v>244</v>
      </c>
    </row>
    <row r="14" spans="1:3" s="315" customFormat="1" ht="188.5" x14ac:dyDescent="0.35">
      <c r="A14" s="313" t="s">
        <v>245</v>
      </c>
      <c r="B14" s="314" t="s">
        <v>246</v>
      </c>
      <c r="C14" s="314" t="s">
        <v>247</v>
      </c>
    </row>
    <row r="15" spans="1:3" s="315" customFormat="1" ht="200.5" customHeight="1" x14ac:dyDescent="0.35">
      <c r="A15" s="313" t="s">
        <v>248</v>
      </c>
      <c r="B15" s="314" t="s">
        <v>249</v>
      </c>
      <c r="C15" s="314" t="s">
        <v>250</v>
      </c>
    </row>
    <row r="16" spans="1:3" s="315" customFormat="1" ht="101.5" x14ac:dyDescent="0.35">
      <c r="A16" s="313" t="s">
        <v>251</v>
      </c>
      <c r="B16" s="314" t="s">
        <v>252</v>
      </c>
      <c r="C16" s="314" t="s">
        <v>253</v>
      </c>
    </row>
    <row r="17" spans="1:3" s="315" customFormat="1" ht="101.5" x14ac:dyDescent="0.35">
      <c r="A17" s="313" t="s">
        <v>254</v>
      </c>
      <c r="B17" s="314" t="s">
        <v>255</v>
      </c>
      <c r="C17" s="314" t="s">
        <v>256</v>
      </c>
    </row>
    <row r="18" spans="1:3" s="315" customFormat="1" ht="29" x14ac:dyDescent="0.35">
      <c r="A18" s="313" t="s">
        <v>257</v>
      </c>
      <c r="B18" s="314" t="s">
        <v>258</v>
      </c>
      <c r="C18" s="314" t="s">
        <v>259</v>
      </c>
    </row>
    <row r="19" spans="1:3" s="315" customFormat="1" ht="29" x14ac:dyDescent="0.35">
      <c r="A19" s="313" t="s">
        <v>260</v>
      </c>
      <c r="B19" s="314" t="s">
        <v>261</v>
      </c>
      <c r="C19" s="314" t="s">
        <v>262</v>
      </c>
    </row>
    <row r="20" spans="1:3" s="315" customFormat="1" ht="72.5" x14ac:dyDescent="0.35">
      <c r="A20" s="313" t="s">
        <v>263</v>
      </c>
      <c r="B20" s="314" t="s">
        <v>264</v>
      </c>
      <c r="C20" s="314" t="s">
        <v>265</v>
      </c>
    </row>
    <row r="21" spans="1:3" s="315" customFormat="1" ht="72.5" x14ac:dyDescent="0.35">
      <c r="A21" s="313" t="s">
        <v>266</v>
      </c>
      <c r="B21" s="314" t="s">
        <v>267</v>
      </c>
      <c r="C21" s="314" t="s">
        <v>265</v>
      </c>
    </row>
    <row r="22" spans="1:3" s="315" customFormat="1" x14ac:dyDescent="0.35">
      <c r="A22" s="316"/>
      <c r="B22" s="317"/>
      <c r="C22" s="317"/>
    </row>
    <row r="23" spans="1:3" s="315" customFormat="1" x14ac:dyDescent="0.35">
      <c r="A23" s="316"/>
      <c r="B23" s="317"/>
      <c r="C23" s="317"/>
    </row>
    <row r="24" spans="1:3" s="315" customFormat="1" x14ac:dyDescent="0.35">
      <c r="A24" s="316"/>
      <c r="B24" s="317"/>
      <c r="C24" s="317"/>
    </row>
    <row r="25" spans="1:3" s="315" customFormat="1" x14ac:dyDescent="0.35">
      <c r="A25" s="316"/>
      <c r="B25" s="317"/>
      <c r="C25" s="317"/>
    </row>
    <row r="26" spans="1:3" s="315" customFormat="1" x14ac:dyDescent="0.35">
      <c r="A26" s="316"/>
      <c r="B26" s="317"/>
      <c r="C26" s="317"/>
    </row>
    <row r="27" spans="1:3" s="315" customFormat="1" x14ac:dyDescent="0.35">
      <c r="A27" s="316"/>
      <c r="B27" s="317"/>
      <c r="C27" s="317"/>
    </row>
    <row r="28" spans="1:3" s="315" customFormat="1" x14ac:dyDescent="0.35">
      <c r="A28" s="316"/>
      <c r="B28" s="317"/>
      <c r="C28" s="317"/>
    </row>
    <row r="29" spans="1:3" s="315" customFormat="1" x14ac:dyDescent="0.35">
      <c r="A29" s="316"/>
      <c r="B29" s="317"/>
      <c r="C29" s="317"/>
    </row>
    <row r="30" spans="1:3" s="315" customFormat="1" x14ac:dyDescent="0.35">
      <c r="A30" s="316"/>
      <c r="B30" s="317"/>
      <c r="C30" s="317"/>
    </row>
    <row r="31" spans="1:3" s="315" customFormat="1" x14ac:dyDescent="0.35">
      <c r="A31" s="316"/>
      <c r="B31" s="317"/>
      <c r="C31" s="317"/>
    </row>
    <row r="32" spans="1:3" s="315" customFormat="1" x14ac:dyDescent="0.35">
      <c r="A32" s="316"/>
      <c r="B32" s="317"/>
      <c r="C32" s="317"/>
    </row>
    <row r="33" spans="1:3" s="315" customFormat="1" x14ac:dyDescent="0.35">
      <c r="A33" s="316"/>
      <c r="B33" s="317"/>
      <c r="C33" s="317"/>
    </row>
    <row r="34" spans="1:3" s="315" customFormat="1" x14ac:dyDescent="0.35">
      <c r="A34" s="316"/>
      <c r="B34" s="317"/>
      <c r="C34" s="317"/>
    </row>
    <row r="35" spans="1:3" s="315" customFormat="1" x14ac:dyDescent="0.35">
      <c r="A35" s="316"/>
      <c r="B35" s="317"/>
      <c r="C35" s="317"/>
    </row>
    <row r="36" spans="1:3" s="315" customFormat="1" x14ac:dyDescent="0.35">
      <c r="A36" s="316"/>
      <c r="B36" s="317"/>
      <c r="C36" s="317"/>
    </row>
    <row r="37" spans="1:3" s="315" customFormat="1" x14ac:dyDescent="0.35">
      <c r="A37" s="316"/>
      <c r="B37" s="317"/>
      <c r="C37" s="317"/>
    </row>
    <row r="38" spans="1:3" s="315" customFormat="1" x14ac:dyDescent="0.35">
      <c r="A38" s="316"/>
      <c r="B38" s="317"/>
      <c r="C38" s="317"/>
    </row>
    <row r="39" spans="1:3" s="315" customFormat="1" x14ac:dyDescent="0.35">
      <c r="A39" s="316"/>
      <c r="B39" s="317"/>
      <c r="C39" s="317"/>
    </row>
    <row r="40" spans="1:3" s="315" customFormat="1" x14ac:dyDescent="0.35">
      <c r="A40" s="316"/>
      <c r="B40" s="317"/>
      <c r="C40" s="317"/>
    </row>
    <row r="41" spans="1:3" s="315" customFormat="1" x14ac:dyDescent="0.35">
      <c r="A41" s="316"/>
      <c r="B41" s="317"/>
      <c r="C41" s="317"/>
    </row>
    <row r="42" spans="1:3" s="315" customFormat="1" x14ac:dyDescent="0.35">
      <c r="A42" s="316"/>
      <c r="B42" s="317"/>
      <c r="C42" s="317"/>
    </row>
    <row r="43" spans="1:3" s="315" customFormat="1" x14ac:dyDescent="0.35">
      <c r="A43" s="316"/>
      <c r="B43" s="317"/>
      <c r="C43" s="317"/>
    </row>
    <row r="44" spans="1:3" s="315" customFormat="1" x14ac:dyDescent="0.35">
      <c r="A44" s="316"/>
      <c r="B44" s="317"/>
      <c r="C44" s="317"/>
    </row>
    <row r="45" spans="1:3" s="315" customFormat="1" x14ac:dyDescent="0.35">
      <c r="A45" s="316"/>
      <c r="B45" s="317"/>
      <c r="C45" s="317"/>
    </row>
    <row r="46" spans="1:3" s="315" customFormat="1" x14ac:dyDescent="0.35">
      <c r="A46" s="316"/>
      <c r="B46" s="317"/>
      <c r="C46" s="317"/>
    </row>
    <row r="47" spans="1:3" s="315" customFormat="1" x14ac:dyDescent="0.35">
      <c r="A47" s="316"/>
      <c r="B47" s="317"/>
      <c r="C47" s="317"/>
    </row>
    <row r="48" spans="1:3" s="315" customFormat="1" x14ac:dyDescent="0.35">
      <c r="A48" s="316"/>
      <c r="B48" s="317"/>
      <c r="C48" s="317"/>
    </row>
    <row r="49" spans="1:3" s="315" customFormat="1" x14ac:dyDescent="0.35">
      <c r="A49" s="316"/>
      <c r="B49" s="317"/>
      <c r="C49" s="317"/>
    </row>
    <row r="50" spans="1:3" s="315" customFormat="1" x14ac:dyDescent="0.35">
      <c r="A50" s="316"/>
      <c r="B50" s="317"/>
      <c r="C50" s="317"/>
    </row>
    <row r="51" spans="1:3" s="315" customFormat="1" x14ac:dyDescent="0.35">
      <c r="A51" s="316"/>
      <c r="B51" s="317"/>
      <c r="C51" s="317"/>
    </row>
    <row r="52" spans="1:3" s="315" customFormat="1" x14ac:dyDescent="0.35">
      <c r="A52" s="316"/>
      <c r="B52" s="317"/>
      <c r="C52" s="317"/>
    </row>
    <row r="53" spans="1:3" s="315" customFormat="1" x14ac:dyDescent="0.35">
      <c r="A53" s="316"/>
      <c r="B53" s="317"/>
      <c r="C53" s="317"/>
    </row>
    <row r="54" spans="1:3" s="315" customFormat="1" x14ac:dyDescent="0.35">
      <c r="A54" s="316"/>
      <c r="B54" s="317"/>
      <c r="C54" s="317"/>
    </row>
    <row r="55" spans="1:3" s="315" customFormat="1" x14ac:dyDescent="0.35">
      <c r="A55" s="316"/>
      <c r="B55" s="317"/>
      <c r="C55" s="317"/>
    </row>
    <row r="56" spans="1:3" s="315" customFormat="1" x14ac:dyDescent="0.35">
      <c r="A56" s="316"/>
      <c r="B56" s="317"/>
      <c r="C56" s="317"/>
    </row>
    <row r="57" spans="1:3" s="315" customFormat="1" x14ac:dyDescent="0.35">
      <c r="A57" s="316"/>
      <c r="B57" s="317"/>
      <c r="C57" s="317"/>
    </row>
    <row r="58" spans="1:3" s="315" customFormat="1" x14ac:dyDescent="0.35">
      <c r="A58" s="316"/>
      <c r="B58" s="317"/>
      <c r="C58" s="317"/>
    </row>
    <row r="59" spans="1:3" s="315" customFormat="1" x14ac:dyDescent="0.35">
      <c r="A59" s="316"/>
      <c r="B59" s="317"/>
      <c r="C59" s="317"/>
    </row>
    <row r="60" spans="1:3" s="315" customFormat="1" x14ac:dyDescent="0.35">
      <c r="A60" s="316"/>
      <c r="B60" s="317"/>
      <c r="C60" s="317"/>
    </row>
    <row r="61" spans="1:3" s="315" customFormat="1" x14ac:dyDescent="0.35">
      <c r="A61" s="316"/>
      <c r="B61" s="317"/>
      <c r="C61" s="317"/>
    </row>
    <row r="62" spans="1:3" s="315" customFormat="1" x14ac:dyDescent="0.35">
      <c r="A62" s="316"/>
      <c r="B62" s="317"/>
      <c r="C62" s="317"/>
    </row>
    <row r="63" spans="1:3" s="315" customFormat="1" x14ac:dyDescent="0.35">
      <c r="A63" s="316"/>
      <c r="B63" s="317"/>
      <c r="C63" s="317"/>
    </row>
    <row r="64" spans="1:3" s="315" customFormat="1" x14ac:dyDescent="0.35">
      <c r="A64" s="316"/>
      <c r="B64" s="317"/>
      <c r="C64" s="317"/>
    </row>
    <row r="65" spans="1:3" s="315" customFormat="1" x14ac:dyDescent="0.35">
      <c r="A65" s="316"/>
      <c r="B65" s="317"/>
      <c r="C65" s="317"/>
    </row>
    <row r="66" spans="1:3" s="315" customFormat="1" x14ac:dyDescent="0.35">
      <c r="A66" s="316"/>
      <c r="B66" s="317"/>
      <c r="C66" s="317"/>
    </row>
    <row r="67" spans="1:3" s="315" customFormat="1" x14ac:dyDescent="0.35">
      <c r="A67" s="316"/>
      <c r="B67" s="317"/>
      <c r="C67" s="317"/>
    </row>
    <row r="68" spans="1:3" s="315" customFormat="1" x14ac:dyDescent="0.35">
      <c r="A68" s="316"/>
      <c r="B68" s="317"/>
      <c r="C68" s="317"/>
    </row>
    <row r="69" spans="1:3" s="315" customFormat="1" x14ac:dyDescent="0.35">
      <c r="A69" s="316"/>
      <c r="B69" s="317"/>
      <c r="C69" s="317"/>
    </row>
    <row r="70" spans="1:3" s="315" customFormat="1" x14ac:dyDescent="0.35">
      <c r="A70" s="316"/>
      <c r="B70" s="317"/>
      <c r="C70" s="317"/>
    </row>
    <row r="71" spans="1:3" s="315" customFormat="1" x14ac:dyDescent="0.35">
      <c r="A71" s="316"/>
      <c r="B71" s="317"/>
      <c r="C71" s="317"/>
    </row>
    <row r="72" spans="1:3" s="315" customFormat="1" x14ac:dyDescent="0.35">
      <c r="A72" s="316"/>
      <c r="B72" s="317"/>
      <c r="C72" s="317"/>
    </row>
  </sheetData>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B36"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06/01/2023</v>
      </c>
      <c r="B1" s="3"/>
      <c r="C1" s="3"/>
      <c r="D1" s="3"/>
    </row>
    <row r="2" spans="1:35" x14ac:dyDescent="0.35">
      <c r="E2" s="3" t="s">
        <v>139</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SUM(C15:M15)</f>
        <v>736890.45574879996</v>
      </c>
      <c r="F4" s="136">
        <f>N21</f>
        <v>17850769.312598471</v>
      </c>
      <c r="G4" s="22">
        <f>SUM(C27:L27)</f>
        <v>570291.97000000009</v>
      </c>
      <c r="H4" s="22">
        <f>G4-E4</f>
        <v>-166598.48574879987</v>
      </c>
      <c r="I4" s="22">
        <f>+B41</f>
        <v>-207384.41425119989</v>
      </c>
      <c r="J4" s="22">
        <f>SUM(C48:L48)</f>
        <v>-4746.99</v>
      </c>
      <c r="K4" s="25">
        <f>SUM(H4:J4)</f>
        <v>-378729.88999999978</v>
      </c>
      <c r="L4" s="47">
        <f>+K4-M41</f>
        <v>0</v>
      </c>
    </row>
    <row r="5" spans="1:35" x14ac:dyDescent="0.35">
      <c r="A5" s="20" t="s">
        <v>107</v>
      </c>
      <c r="B5" s="20"/>
      <c r="C5" s="20"/>
      <c r="D5" s="20"/>
      <c r="E5" s="22">
        <f>SUM(C16:M16)</f>
        <v>298348.99624000001</v>
      </c>
      <c r="F5" s="136">
        <f>N22</f>
        <v>4622289.458183229</v>
      </c>
      <c r="G5" s="22">
        <f>SUM(C28:L28)</f>
        <v>168198.34999999998</v>
      </c>
      <c r="H5" s="22">
        <f t="shared" ref="H5:H6" si="0">G5-E5</f>
        <v>-130150.64624000003</v>
      </c>
      <c r="I5" s="22">
        <f>+B42</f>
        <v>-200480.43376000004</v>
      </c>
      <c r="J5" s="22">
        <f>SUM(C49:L49)</f>
        <v>-7078.2599999999993</v>
      </c>
      <c r="K5" s="25">
        <f t="shared" ref="K5:K6" si="1">SUM(H5:J5)</f>
        <v>-337709.34000000008</v>
      </c>
      <c r="L5" s="47">
        <f t="shared" ref="L5:L6" si="2">+K5-M42</f>
        <v>0</v>
      </c>
    </row>
    <row r="6" spans="1:35" x14ac:dyDescent="0.35">
      <c r="A6" s="20" t="s">
        <v>108</v>
      </c>
      <c r="B6" s="20"/>
      <c r="C6" s="20"/>
      <c r="D6" s="20"/>
      <c r="E6" s="22">
        <f>SUM(C17:M17)</f>
        <v>324649.7512</v>
      </c>
      <c r="F6" s="136">
        <f>N23</f>
        <v>11333562.216876082</v>
      </c>
      <c r="G6" s="22">
        <f>SUM(C29:L29)</f>
        <v>237117.02999999997</v>
      </c>
      <c r="H6" s="22">
        <f t="shared" si="0"/>
        <v>-87532.721200000029</v>
      </c>
      <c r="I6" s="22">
        <f>+B43</f>
        <v>-8088.0387999999111</v>
      </c>
      <c r="J6" s="22">
        <f>SUM(C50:L50)</f>
        <v>969.31000000000006</v>
      </c>
      <c r="K6" s="25">
        <f t="shared" si="1"/>
        <v>-94651.449999999939</v>
      </c>
      <c r="L6" s="47">
        <f t="shared" si="2"/>
        <v>0</v>
      </c>
    </row>
    <row r="7" spans="1:35" ht="15" thickBot="1" x14ac:dyDescent="0.4">
      <c r="A7" s="20" t="s">
        <v>109</v>
      </c>
      <c r="B7" s="20"/>
      <c r="C7" s="20"/>
      <c r="D7" s="20"/>
      <c r="E7" s="22">
        <f>SUM(C18:M18)</f>
        <v>55915.247459999999</v>
      </c>
      <c r="F7" s="136">
        <f>N24</f>
        <v>3251261.8015672755</v>
      </c>
      <c r="G7" s="22">
        <f>SUM(C30:L30)</f>
        <v>21786.420000000002</v>
      </c>
      <c r="H7" s="22">
        <f>G7-E7</f>
        <v>-34128.82746</v>
      </c>
      <c r="I7" s="22">
        <f>+B44</f>
        <v>4159.757460000018</v>
      </c>
      <c r="J7" s="22">
        <f>SUM(C51:L51)</f>
        <v>143.17999999999995</v>
      </c>
      <c r="K7" s="25">
        <f>SUM(H7:J7)</f>
        <v>-29825.889999999981</v>
      </c>
      <c r="L7" s="47">
        <f>+K7-M44</f>
        <v>0</v>
      </c>
    </row>
    <row r="8" spans="1:35" ht="15.5" thickTop="1" thickBot="1" x14ac:dyDescent="0.4">
      <c r="E8" s="27">
        <f t="shared" ref="E8:K8" si="3">SUM(E4:E7)</f>
        <v>1415804.4506488</v>
      </c>
      <c r="F8" s="137">
        <f t="shared" si="3"/>
        <v>37057882.789225064</v>
      </c>
      <c r="G8" s="27">
        <f t="shared" si="3"/>
        <v>997393.77000000014</v>
      </c>
      <c r="H8" s="27">
        <f t="shared" si="3"/>
        <v>-418410.68064879993</v>
      </c>
      <c r="I8" s="27">
        <f t="shared" si="3"/>
        <v>-411793.1293511999</v>
      </c>
      <c r="J8" s="27">
        <f t="shared" si="3"/>
        <v>-10712.76</v>
      </c>
      <c r="K8" s="27">
        <f t="shared" si="3"/>
        <v>-840916.56999999983</v>
      </c>
      <c r="T8" s="5"/>
    </row>
    <row r="9" spans="1:35" ht="15.5" thickTop="1" thickBot="1" x14ac:dyDescent="0.4">
      <c r="V9" s="4"/>
      <c r="W9" s="5"/>
    </row>
    <row r="10" spans="1:35" ht="116.5" thickBot="1" x14ac:dyDescent="0.4">
      <c r="B10" s="118" t="str">
        <f>+'PCR Cycle 2'!B13</f>
        <v>Cumulative Over/Under Carryover From 12/01/2022 Filing</v>
      </c>
      <c r="C10" s="151" t="str">
        <f>+'PCR Cycle 2'!C13</f>
        <v>Reverse November 2022 - January 2023 Forecast From 12/01/2022 Filing</v>
      </c>
      <c r="D10" s="211"/>
      <c r="E10" s="336" t="s">
        <v>33</v>
      </c>
      <c r="F10" s="324"/>
      <c r="G10" s="325"/>
      <c r="H10" s="333" t="s">
        <v>33</v>
      </c>
      <c r="I10" s="334"/>
      <c r="J10" s="335"/>
      <c r="K10" s="320" t="s">
        <v>8</v>
      </c>
      <c r="L10" s="321"/>
      <c r="M10" s="322"/>
    </row>
    <row r="11" spans="1:35" x14ac:dyDescent="0.35">
      <c r="A11" s="46" t="s">
        <v>63</v>
      </c>
      <c r="C11" s="105"/>
      <c r="D11" s="212"/>
      <c r="E11" s="19">
        <f>+'PCR Cycle 2'!D14</f>
        <v>44895</v>
      </c>
      <c r="F11" s="19">
        <f t="shared" ref="F11:M11" si="4">EOMONTH(E11,1)</f>
        <v>44926</v>
      </c>
      <c r="G11" s="19">
        <f t="shared" si="4"/>
        <v>44957</v>
      </c>
      <c r="H11" s="14">
        <f t="shared" si="4"/>
        <v>44985</v>
      </c>
      <c r="I11" s="19">
        <f t="shared" si="4"/>
        <v>45016</v>
      </c>
      <c r="J11" s="15">
        <f t="shared" si="4"/>
        <v>45046</v>
      </c>
      <c r="K11" s="19">
        <f t="shared" si="4"/>
        <v>45077</v>
      </c>
      <c r="L11" s="19">
        <f t="shared" si="4"/>
        <v>45107</v>
      </c>
      <c r="M11" s="15">
        <f t="shared" si="4"/>
        <v>45138</v>
      </c>
      <c r="Z11" s="1"/>
      <c r="AA11" s="1"/>
      <c r="AB11" s="1"/>
      <c r="AC11" s="1"/>
      <c r="AD11" s="1"/>
      <c r="AE11" s="1"/>
      <c r="AF11" s="1"/>
      <c r="AG11" s="1"/>
      <c r="AH11" s="1"/>
      <c r="AI11" s="1"/>
    </row>
    <row r="12" spans="1:35" x14ac:dyDescent="0.35">
      <c r="A12" s="46" t="s">
        <v>5</v>
      </c>
      <c r="C12" s="192">
        <v>-701089.77999999991</v>
      </c>
      <c r="D12" s="195"/>
      <c r="E12" s="109">
        <f t="shared" ref="E12:L12" si="5">SUM(E27:E30)</f>
        <v>410812.55000000005</v>
      </c>
      <c r="F12" s="109">
        <f t="shared" si="5"/>
        <v>469895.60000000003</v>
      </c>
      <c r="G12" s="110">
        <f t="shared" si="5"/>
        <v>120301.54</v>
      </c>
      <c r="H12" s="16">
        <f t="shared" si="5"/>
        <v>105561.7</v>
      </c>
      <c r="I12" s="55">
        <f t="shared" si="5"/>
        <v>119498.89</v>
      </c>
      <c r="J12" s="164">
        <f t="shared" si="5"/>
        <v>123296.65999999999</v>
      </c>
      <c r="K12" s="157">
        <f t="shared" si="5"/>
        <v>131764.88999999998</v>
      </c>
      <c r="L12" s="78">
        <f t="shared" si="5"/>
        <v>217351.71999999997</v>
      </c>
      <c r="M12" s="79"/>
    </row>
    <row r="13" spans="1:35" x14ac:dyDescent="0.35">
      <c r="C13" s="99"/>
      <c r="D13" s="196"/>
      <c r="E13" s="17"/>
      <c r="F13" s="17"/>
      <c r="G13" s="17"/>
      <c r="H13" s="10"/>
      <c r="I13" s="17"/>
      <c r="J13" s="11"/>
      <c r="K13" s="31"/>
      <c r="L13" s="31"/>
      <c r="M13" s="29"/>
    </row>
    <row r="14" spans="1:35" x14ac:dyDescent="0.35">
      <c r="A14" s="46" t="s">
        <v>62</v>
      </c>
      <c r="C14" s="99"/>
      <c r="D14" s="196"/>
      <c r="E14" s="18"/>
      <c r="F14" s="18"/>
      <c r="G14" s="18"/>
      <c r="H14" s="91"/>
      <c r="I14" s="18"/>
      <c r="J14" s="165"/>
      <c r="K14" s="31"/>
      <c r="L14" s="31"/>
      <c r="M14" s="29"/>
      <c r="N14" s="3" t="s">
        <v>68</v>
      </c>
      <c r="O14" s="39"/>
    </row>
    <row r="15" spans="1:35" x14ac:dyDescent="0.35">
      <c r="A15" s="46" t="s">
        <v>24</v>
      </c>
      <c r="C15" s="192">
        <v>-582236.80425120005</v>
      </c>
      <c r="D15" s="195">
        <v>0</v>
      </c>
      <c r="E15" s="134">
        <f>ROUND('[4]Nov 2022'!$F90,2)</f>
        <v>141704.35</v>
      </c>
      <c r="F15" s="134">
        <f>ROUND('[4]Dec 2022'!$F90,2)</f>
        <v>199862.15</v>
      </c>
      <c r="G15" s="134">
        <f>ROUND('[4]Jan 2023'!$F90,2)</f>
        <v>242304.89</v>
      </c>
      <c r="H15" s="16">
        <f>ROUND('[4]Feb 2023'!$F90,2)</f>
        <v>144901.12</v>
      </c>
      <c r="I15" s="121">
        <f>ROUND('[4]Mar 2023'!$F90,2)</f>
        <v>122073.97</v>
      </c>
      <c r="J15" s="169">
        <f>ROUND('[4]Apr 2023'!$F90,2)</f>
        <v>102105.11</v>
      </c>
      <c r="K15" s="123">
        <f>ROUND('PCR Cycle 2'!J26*'TDR Cycle 3'!$N15,2)</f>
        <v>91785.919999999998</v>
      </c>
      <c r="L15" s="41">
        <f>ROUND('PCR Cycle 2'!K26*'TDR Cycle 3'!$N15,2)</f>
        <v>114552.55</v>
      </c>
      <c r="M15" s="61">
        <f>ROUND('PCR Cycle 2'!L26*'TDR Cycle 3'!$N15,2)</f>
        <v>159837.20000000001</v>
      </c>
      <c r="N15" s="72">
        <v>4.2999999999999999E-4</v>
      </c>
      <c r="O15" s="4"/>
    </row>
    <row r="16" spans="1:35" x14ac:dyDescent="0.35">
      <c r="A16" s="46" t="s">
        <v>107</v>
      </c>
      <c r="C16" s="192">
        <v>-145898.73376000003</v>
      </c>
      <c r="D16" s="195">
        <v>0</v>
      </c>
      <c r="E16" s="134">
        <f>ROUND('[4]Nov 2022'!$F91,2)</f>
        <v>49866.75</v>
      </c>
      <c r="F16" s="134">
        <f>ROUND('[4]Dec 2022'!$F91,2)</f>
        <v>56862.75</v>
      </c>
      <c r="G16" s="134">
        <f>ROUND('[4]Jan 2023'!$F91,2)</f>
        <v>64101.48</v>
      </c>
      <c r="H16" s="16">
        <f>ROUND('[4]Feb 2023'!$F91,2)</f>
        <v>48052.4</v>
      </c>
      <c r="I16" s="121">
        <f>ROUND('[4]Mar 2023'!$F91,2)</f>
        <v>44289.01</v>
      </c>
      <c r="J16" s="169">
        <f>ROUND('[4]Apr 2023'!$F91,2)</f>
        <v>40339.199999999997</v>
      </c>
      <c r="K16" s="123">
        <f>ROUND('PCR Cycle 2'!J27*'TDR Cycle 3'!$N16,2)</f>
        <v>42394.57</v>
      </c>
      <c r="L16" s="41">
        <f>ROUND('PCR Cycle 2'!K27*'TDR Cycle 3'!$N16,2)</f>
        <v>46193.58</v>
      </c>
      <c r="M16" s="61">
        <f>ROUND('PCR Cycle 2'!L27*'TDR Cycle 3'!$N16,2)</f>
        <v>52147.99</v>
      </c>
      <c r="N16" s="72">
        <v>4.2999999999999994E-4</v>
      </c>
      <c r="O16" s="4"/>
    </row>
    <row r="17" spans="1:15" x14ac:dyDescent="0.35">
      <c r="A17" s="46" t="s">
        <v>108</v>
      </c>
      <c r="C17" s="192">
        <v>-137338.34879999998</v>
      </c>
      <c r="D17" s="195">
        <v>0</v>
      </c>
      <c r="E17" s="134">
        <f>ROUND('[4]Nov 2022'!$F92,2)</f>
        <v>45671.57</v>
      </c>
      <c r="F17" s="134">
        <f>ROUND('[4]Dec 2022'!$F92,2)</f>
        <v>47120.42</v>
      </c>
      <c r="G17" s="134">
        <f>ROUND('[4]Jan 2023'!$F92,2)</f>
        <v>49356.93</v>
      </c>
      <c r="H17" s="16">
        <f>ROUND('[4]Feb 2023'!$F92,2)</f>
        <v>53036.23</v>
      </c>
      <c r="I17" s="121">
        <f>ROUND('[4]Mar 2023'!$F92,2)</f>
        <v>50779.14</v>
      </c>
      <c r="J17" s="169">
        <f>ROUND('[4]Apr 2023'!$F92,2)</f>
        <v>46513.21</v>
      </c>
      <c r="K17" s="123">
        <f>ROUND('PCR Cycle 2'!J28*'TDR Cycle 3'!$N17,2)</f>
        <v>51062.43</v>
      </c>
      <c r="L17" s="41">
        <f>ROUND('PCR Cycle 2'!K28*'TDR Cycle 3'!$N17,2)</f>
        <v>55638.17</v>
      </c>
      <c r="M17" s="61">
        <f>ROUND('PCR Cycle 2'!L28*'TDR Cycle 3'!$N17,2)</f>
        <v>62810</v>
      </c>
      <c r="N17" s="72">
        <v>5.8E-4</v>
      </c>
      <c r="O17" s="4"/>
    </row>
    <row r="18" spans="1:15" x14ac:dyDescent="0.35">
      <c r="A18" s="46" t="s">
        <v>109</v>
      </c>
      <c r="C18" s="192">
        <v>-27742.632540000006</v>
      </c>
      <c r="D18" s="195">
        <v>0</v>
      </c>
      <c r="E18" s="134">
        <f>ROUND('[4]Nov 2022'!$F93,2)</f>
        <v>9218.44</v>
      </c>
      <c r="F18" s="134">
        <f>ROUND('[4]Dec 2022'!$F93,2)</f>
        <v>9652.3700000000008</v>
      </c>
      <c r="G18" s="134">
        <f>ROUND('[4]Jan 2023'!$F93,2)</f>
        <v>8508.4500000000007</v>
      </c>
      <c r="H18" s="16">
        <f>ROUND('[4]Feb 2023'!$F93,2)</f>
        <v>6392.08</v>
      </c>
      <c r="I18" s="121">
        <f>ROUND('[4]Mar 2023'!$F93,2)</f>
        <v>10057.719999999999</v>
      </c>
      <c r="J18" s="169">
        <f>ROUND('[4]Apr 2023'!$F93,2)</f>
        <v>8543.92</v>
      </c>
      <c r="K18" s="123">
        <f>ROUND('PCR Cycle 2'!J29*'TDR Cycle 3'!$N18,2)</f>
        <v>9424.09</v>
      </c>
      <c r="L18" s="41">
        <f>ROUND('PCR Cycle 2'!K29*'TDR Cycle 3'!$N18,2)</f>
        <v>10268.59</v>
      </c>
      <c r="M18" s="61">
        <f>ROUND('PCR Cycle 2'!L29*'TDR Cycle 3'!$N18,2)</f>
        <v>11592.22</v>
      </c>
      <c r="N18" s="72">
        <v>1.6000000000000001E-4</v>
      </c>
      <c r="O18" s="4"/>
    </row>
    <row r="19" spans="1:15" x14ac:dyDescent="0.35">
      <c r="C19" s="67"/>
      <c r="D19" s="197"/>
      <c r="E19" s="68"/>
      <c r="F19" s="68"/>
      <c r="G19" s="68"/>
      <c r="H19" s="67"/>
      <c r="I19" s="68"/>
      <c r="J19" s="167"/>
      <c r="K19" s="56"/>
      <c r="L19" s="56"/>
      <c r="M19" s="13"/>
      <c r="O19" s="4"/>
    </row>
    <row r="20" spans="1:15" x14ac:dyDescent="0.35">
      <c r="A20" s="39" t="s">
        <v>66</v>
      </c>
      <c r="B20" s="39"/>
      <c r="C20" s="67"/>
      <c r="D20" s="197"/>
      <c r="E20" s="56"/>
      <c r="F20" s="56"/>
      <c r="G20" s="56"/>
      <c r="H20" s="12"/>
      <c r="I20" s="56"/>
      <c r="J20" s="168"/>
      <c r="K20" s="56"/>
      <c r="L20" s="56"/>
      <c r="M20" s="13"/>
      <c r="N20" s="7"/>
    </row>
    <row r="21" spans="1:15" x14ac:dyDescent="0.35">
      <c r="A21" s="46" t="s">
        <v>24</v>
      </c>
      <c r="C21" s="193">
        <v>-12398384.946574312</v>
      </c>
      <c r="D21" s="198"/>
      <c r="E21" s="111">
        <f>+'[12]Monthly TD Calc-PY1-3'!AM461</f>
        <v>7399396.1033306736</v>
      </c>
      <c r="F21" s="111">
        <f>+'[12]Monthly TD Calc-PY1-3'!AN461</f>
        <v>9516728.0834674723</v>
      </c>
      <c r="G21" s="111">
        <f>+'[12]Monthly TD Calc-PY1-3'!AO461+'[12]Monthly TD Calc-PY4'!AO469</f>
        <v>2419232.5718840552</v>
      </c>
      <c r="H21" s="74">
        <f>+'[12]Monthly TD Calc-PY1-3'!AP461+'[12]Monthly TD Calc-PY4'!AP469</f>
        <v>2195551.529980443</v>
      </c>
      <c r="I21" s="75">
        <f>+'[12]Monthly TD Calc-PY1-3'!AQ461+'[12]Monthly TD Calc-PY4'!AQ469</f>
        <v>2187263.2289034072</v>
      </c>
      <c r="J21" s="169">
        <f>+'[12]Monthly TD Calc-PY1-3'!AR461+'[12]Monthly TD Calc-PY4'!AR469</f>
        <v>2146723.4661744172</v>
      </c>
      <c r="K21" s="158">
        <f>+'[2]Monthly TD Calc'!AS462+'[2]Monthly TD Calc Ext'!AS462</f>
        <v>2176050.9281858448</v>
      </c>
      <c r="L21" s="142">
        <f>+'[2]Monthly TD Calc'!AT462+'[2]Monthly TD Calc Ext'!AT462</f>
        <v>2208208.347246469</v>
      </c>
      <c r="M21" s="80"/>
      <c r="N21" s="59">
        <f>SUM(C21:L21)</f>
        <v>17850769.312598471</v>
      </c>
    </row>
    <row r="22" spans="1:15" x14ac:dyDescent="0.35">
      <c r="A22" s="46" t="s">
        <v>107</v>
      </c>
      <c r="C22" s="193">
        <v>-2283959.2160524721</v>
      </c>
      <c r="D22" s="198"/>
      <c r="E22" s="111">
        <f>+'[12]Monthly TD Calc-PY1-3'!AM462</f>
        <v>1360494.924083798</v>
      </c>
      <c r="F22" s="111">
        <f>+'[12]Monthly TD Calc-PY1-3'!AN462</f>
        <v>1598402.9878585725</v>
      </c>
      <c r="G22" s="111">
        <f>+'[12]Monthly TD Calc-PY1-3'!AO462+'[12]Monthly TD Calc-PY4'!AO470</f>
        <v>647708.00943500444</v>
      </c>
      <c r="H22" s="74">
        <f>+'[12]Monthly TD Calc-PY1-3'!AP462+'[12]Monthly TD Calc-PY4'!AP470</f>
        <v>585846.42466070235</v>
      </c>
      <c r="I22" s="75">
        <f>+'[12]Monthly TD Calc-PY1-3'!AQ462+'[12]Monthly TD Calc-PY4'!AQ470</f>
        <v>660987.28029270889</v>
      </c>
      <c r="J22" s="169">
        <f>+'[12]Monthly TD Calc-PY1-3'!AR462+'[12]Monthly TD Calc-PY4'!AR470</f>
        <v>649074.65458603273</v>
      </c>
      <c r="K22" s="158">
        <f>+'[2]Monthly TD Calc'!AS463+'[2]Monthly TD Calc Ext'!AS463</f>
        <v>690815.07711186097</v>
      </c>
      <c r="L22" s="142">
        <f>+'[2]Monthly TD Calc'!AT463+'[2]Monthly TD Calc Ext'!AT463</f>
        <v>712919.31620702136</v>
      </c>
      <c r="M22" s="80"/>
      <c r="N22" s="59">
        <f t="shared" ref="N22:N24" si="6">SUM(C22:L22)</f>
        <v>4622289.458183229</v>
      </c>
    </row>
    <row r="23" spans="1:15" x14ac:dyDescent="0.35">
      <c r="A23" s="46" t="s">
        <v>108</v>
      </c>
      <c r="C23" s="193">
        <v>-4010122.751539669</v>
      </c>
      <c r="D23" s="198"/>
      <c r="E23" s="111">
        <f>+'[12]Monthly TD Calc-PY1-3'!AM464</f>
        <v>2970721.2210080056</v>
      </c>
      <c r="F23" s="111">
        <f>+'[12]Monthly TD Calc-PY1-3'!AN464</f>
        <v>3351746.4096934292</v>
      </c>
      <c r="G23" s="111">
        <f>+'[12]Monthly TD Calc-PY1-3'!AO464+'[12]Monthly TD Calc-PY4'!AO472</f>
        <v>1522163.8661276707</v>
      </c>
      <c r="H23" s="74">
        <f>+'[12]Monthly TD Calc-PY1-3'!AP464+'[12]Monthly TD Calc-PY4'!AP472</f>
        <v>1376138.1028846067</v>
      </c>
      <c r="I23" s="75">
        <f>+'[12]Monthly TD Calc-PY1-3'!AQ464+'[12]Monthly TD Calc-PY4'!AQ472</f>
        <v>1538476.7259513314</v>
      </c>
      <c r="J23" s="169">
        <f>+'[12]Monthly TD Calc-PY1-3'!AR464+'[12]Monthly TD Calc-PY4'!AR472</f>
        <v>1489222.0164524054</v>
      </c>
      <c r="K23" s="158">
        <f>+'[2]Monthly TD Calc'!AS465+'[2]Monthly TD Calc Ext'!AS465</f>
        <v>1554788.2198334767</v>
      </c>
      <c r="L23" s="158">
        <f>+'[2]Monthly TD Calc'!AT465+'[2]Monthly TD Calc Ext'!AT465</f>
        <v>1540428.4064648252</v>
      </c>
      <c r="M23" s="80"/>
      <c r="N23" s="59">
        <f t="shared" si="6"/>
        <v>11333562.216876082</v>
      </c>
    </row>
    <row r="24" spans="1:15" x14ac:dyDescent="0.35">
      <c r="A24" s="46" t="s">
        <v>109</v>
      </c>
      <c r="C24" s="193">
        <v>-2218380.2459691605</v>
      </c>
      <c r="D24" s="198"/>
      <c r="E24" s="111">
        <f>+'[12]Monthly TD Calc-PY1-3'!AM465</f>
        <v>1528247.3707023265</v>
      </c>
      <c r="F24" s="111">
        <f>+'[12]Monthly TD Calc-PY1-3'!AN465</f>
        <v>1695424.5623548152</v>
      </c>
      <c r="G24" s="111">
        <f>+'[12]Monthly TD Calc-PY1-3'!AO465+'[12]Monthly TD Calc-PY4'!AO473</f>
        <v>375811.66852272686</v>
      </c>
      <c r="H24" s="74">
        <f>+'[12]Monthly TD Calc-PY1-3'!AP465+'[12]Monthly TD Calc-PY4'!AP473</f>
        <v>339932.0370024984</v>
      </c>
      <c r="I24" s="75">
        <f>+'[12]Monthly TD Calc-PY1-3'!AQ465+'[12]Monthly TD Calc-PY4'!AQ473</f>
        <v>378130.62390763784</v>
      </c>
      <c r="J24" s="169">
        <f>+'[12]Monthly TD Calc-PY1-3'!AR465+'[12]Monthly TD Calc-PY4'!AR473</f>
        <v>361944.74094283627</v>
      </c>
      <c r="K24" s="158">
        <f>+'[2]Monthly TD Calc'!AS466+'[2]Monthly TD Calc Ext'!AS466</f>
        <v>385028.01469482307</v>
      </c>
      <c r="L24" s="158">
        <f>+'[2]Monthly TD Calc'!AT466+'[2]Monthly TD Calc Ext'!AT466</f>
        <v>405123.02940877201</v>
      </c>
      <c r="M24" s="80"/>
      <c r="N24" s="59">
        <f t="shared" si="6"/>
        <v>3251261.8015672755</v>
      </c>
    </row>
    <row r="25" spans="1:15" x14ac:dyDescent="0.35">
      <c r="C25" s="67"/>
      <c r="D25" s="197"/>
      <c r="E25" s="68"/>
      <c r="F25" s="68"/>
      <c r="G25" s="68"/>
      <c r="H25" s="67"/>
      <c r="I25" s="68"/>
      <c r="J25" s="167"/>
      <c r="K25" s="56"/>
      <c r="L25" s="56"/>
      <c r="M25" s="13"/>
    </row>
    <row r="26" spans="1:15" x14ac:dyDescent="0.35">
      <c r="A26" s="46" t="s">
        <v>69</v>
      </c>
      <c r="C26" s="36"/>
      <c r="D26" s="199"/>
      <c r="E26" s="37"/>
      <c r="F26" s="37"/>
      <c r="G26" s="37"/>
      <c r="H26" s="36"/>
      <c r="I26" s="37"/>
      <c r="J26" s="170"/>
      <c r="K26" s="52"/>
      <c r="L26" s="52"/>
      <c r="M26" s="38"/>
    </row>
    <row r="27" spans="1:15" x14ac:dyDescent="0.35">
      <c r="A27" s="46" t="s">
        <v>24</v>
      </c>
      <c r="C27" s="192">
        <v>-468937.77999999997</v>
      </c>
      <c r="D27" s="195"/>
      <c r="E27" s="109">
        <f>ROUND('[12]Monthly TD Calc-PY1-3'!AM563,2)</f>
        <v>252931.25</v>
      </c>
      <c r="F27" s="109">
        <f>ROUND('[12]Monthly TD Calc-PY1-3'!AN563,2)</f>
        <v>298930.09000000003</v>
      </c>
      <c r="G27" s="110">
        <f>ROUND('[12]Monthly TD Calc-PY1-3'!AO563+'[12]Monthly TD Calc-PY4'!AO575,2)</f>
        <v>69457.97</v>
      </c>
      <c r="H27" s="16">
        <f>ROUND('[12]Monthly TD Calc-PY1-3'!AP563+'[12]Monthly TD Calc-PY4'!AP575,2)</f>
        <v>63285.67</v>
      </c>
      <c r="I27" s="55">
        <f>ROUND('[12]Monthly TD Calc-PY1-3'!AQ563+'[12]Monthly TD Calc-PY4'!AQ575,2)</f>
        <v>69532.62</v>
      </c>
      <c r="J27" s="252">
        <f>ROUND('[12]Monthly TD Calc-PY1-3'!AR563+'[12]Monthly TD Calc-PY4'!AR575,2)</f>
        <v>71477.19</v>
      </c>
      <c r="K27" s="159">
        <f>ROUND(+'[2]Monthly TD Calc'!AS564+'[2]Monthly TD Calc Ext'!AS564,2)</f>
        <v>74486.87</v>
      </c>
      <c r="L27" s="141">
        <f>ROUND(+'[2]Monthly TD Calc'!AT564+'[2]Monthly TD Calc Ext'!AT564,2)</f>
        <v>139128.09</v>
      </c>
      <c r="M27" s="79"/>
    </row>
    <row r="28" spans="1:15" x14ac:dyDescent="0.35">
      <c r="A28" s="46" t="s">
        <v>107</v>
      </c>
      <c r="C28" s="192">
        <v>-97150.49</v>
      </c>
      <c r="D28" s="195"/>
      <c r="E28" s="109">
        <f>ROUND('[12]Monthly TD Calc-PY1-3'!AM564,2)</f>
        <v>59878.62</v>
      </c>
      <c r="F28" s="109">
        <f>ROUND('[12]Monthly TD Calc-PY1-3'!AN564,2)</f>
        <v>63963.79</v>
      </c>
      <c r="G28" s="110">
        <f>ROUND('[12]Monthly TD Calc-PY1-3'!AO564+'[12]Monthly TD Calc-PY4'!AO576,2)</f>
        <v>20424.310000000001</v>
      </c>
      <c r="H28" s="16">
        <f>ROUND('[12]Monthly TD Calc-PY1-3'!AP564+'[12]Monthly TD Calc-PY4'!AP576,2)</f>
        <v>17573.66</v>
      </c>
      <c r="I28" s="55">
        <f>ROUND('[12]Monthly TD Calc-PY1-3'!AQ564+'[12]Monthly TD Calc-PY4'!AQ576,2)</f>
        <v>20565.98</v>
      </c>
      <c r="J28" s="252">
        <f>ROUND('[12]Monthly TD Calc-PY1-3'!AR564+'[12]Monthly TD Calc-PY4'!AR576,2)</f>
        <v>21612.73</v>
      </c>
      <c r="K28" s="159">
        <f>ROUND(+'[2]Monthly TD Calc'!AS565+'[2]Monthly TD Calc Ext'!AS565,2)</f>
        <v>23569.86</v>
      </c>
      <c r="L28" s="141">
        <f>ROUND(+'[2]Monthly TD Calc'!AT565+'[2]Monthly TD Calc Ext'!AT565,2)</f>
        <v>37759.89</v>
      </c>
      <c r="M28" s="79"/>
    </row>
    <row r="29" spans="1:15" x14ac:dyDescent="0.35">
      <c r="A29" s="46" t="s">
        <v>108</v>
      </c>
      <c r="C29" s="192">
        <v>-109961.44</v>
      </c>
      <c r="D29" s="195"/>
      <c r="E29" s="109">
        <f>ROUND('[12]Monthly TD Calc-PY1-3'!AM566,2)</f>
        <v>81154.649999999994</v>
      </c>
      <c r="F29" s="109">
        <f>ROUND('[12]Monthly TD Calc-PY1-3'!AN566,2)</f>
        <v>87202.95</v>
      </c>
      <c r="G29" s="110">
        <f>ROUND('[12]Monthly TD Calc-PY1-3'!AO566+'[12]Monthly TD Calc-PY4'!AO578,2)</f>
        <v>28385.37</v>
      </c>
      <c r="H29" s="16">
        <f>ROUND('[12]Monthly TD Calc-PY1-3'!AP566+'[12]Monthly TD Calc-PY4'!AP578,2)</f>
        <v>23540.06</v>
      </c>
      <c r="I29" s="55">
        <f>ROUND('[12]Monthly TD Calc-PY1-3'!AQ566+'[12]Monthly TD Calc-PY4'!AQ578,2)</f>
        <v>28130.83</v>
      </c>
      <c r="J29" s="252">
        <f>ROUND('[12]Monthly TD Calc-PY1-3'!AR566+'[12]Monthly TD Calc-PY4'!AR578,2)</f>
        <v>28937.45</v>
      </c>
      <c r="K29" s="159">
        <f>ROUND(+'[2]Monthly TD Calc'!AS567+'[2]Monthly TD Calc Ext'!AS567,2)</f>
        <v>32252.799999999999</v>
      </c>
      <c r="L29" s="141">
        <f>ROUND(+'[2]Monthly TD Calc'!AT567+'[2]Monthly TD Calc Ext'!AT567,2)</f>
        <v>37474.36</v>
      </c>
      <c r="M29" s="79"/>
    </row>
    <row r="30" spans="1:15" x14ac:dyDescent="0.35">
      <c r="A30" s="46" t="s">
        <v>109</v>
      </c>
      <c r="C30" s="192">
        <v>-25040.07</v>
      </c>
      <c r="D30" s="195"/>
      <c r="E30" s="109">
        <f>ROUND('[12]Monthly TD Calc-PY1-3'!AM567,2)</f>
        <v>16848.03</v>
      </c>
      <c r="F30" s="109">
        <f>ROUND('[12]Monthly TD Calc-PY1-3'!AN567,2)</f>
        <v>19798.77</v>
      </c>
      <c r="G30" s="110">
        <f>ROUND('[12]Monthly TD Calc-PY1-3'!AO567+'[12]Monthly TD Calc-PY4'!AO579,2)</f>
        <v>2033.89</v>
      </c>
      <c r="H30" s="16">
        <f>ROUND('[12]Monthly TD Calc-PY1-3'!AP567+'[12]Monthly TD Calc-PY4'!AP579,2)</f>
        <v>1162.31</v>
      </c>
      <c r="I30" s="55">
        <f>ROUND('[12]Monthly TD Calc-PY1-3'!AQ567+'[12]Monthly TD Calc-PY4'!AQ579,2)</f>
        <v>1269.46</v>
      </c>
      <c r="J30" s="252">
        <f>ROUND('[12]Monthly TD Calc-PY1-3'!AR567+'[12]Monthly TD Calc-PY4'!AR579,2)</f>
        <v>1269.29</v>
      </c>
      <c r="K30" s="159">
        <f>ROUND(+'[2]Monthly TD Calc'!AS568+'[2]Monthly TD Calc Ext'!AS568,2)</f>
        <v>1455.36</v>
      </c>
      <c r="L30" s="141">
        <f>ROUND(+'[2]Monthly TD Calc'!AT568+'[2]Monthly TD Calc Ext'!AT568,2)</f>
        <v>2989.38</v>
      </c>
      <c r="M30" s="79"/>
      <c r="O30" s="47"/>
    </row>
    <row r="31" spans="1:15" x14ac:dyDescent="0.35">
      <c r="C31" s="99"/>
      <c r="D31" s="196"/>
      <c r="E31" s="18"/>
      <c r="F31" s="18"/>
      <c r="G31" s="18"/>
      <c r="H31" s="91"/>
      <c r="I31" s="18"/>
      <c r="J31" s="165"/>
      <c r="K31" s="56"/>
      <c r="L31" s="56"/>
      <c r="M31" s="13"/>
    </row>
    <row r="32" spans="1:15" ht="15" thickBot="1" x14ac:dyDescent="0.4">
      <c r="A32" s="3" t="s">
        <v>15</v>
      </c>
      <c r="B32" s="3"/>
      <c r="C32" s="194">
        <v>386.34999999999991</v>
      </c>
      <c r="D32" s="200">
        <v>0.14999999999999947</v>
      </c>
      <c r="E32" s="134">
        <v>-593.22</v>
      </c>
      <c r="F32" s="134">
        <v>105.18000000000008</v>
      </c>
      <c r="G32" s="135">
        <v>-100.18000000000005</v>
      </c>
      <c r="H32" s="26">
        <v>-1054.8900000000001</v>
      </c>
      <c r="I32" s="122">
        <v>-1731.21</v>
      </c>
      <c r="J32" s="171">
        <v>-2263.8200000000002</v>
      </c>
      <c r="K32" s="160">
        <v>-2630.2599999999998</v>
      </c>
      <c r="L32" s="143">
        <v>-2830.6899999999996</v>
      </c>
      <c r="M32" s="82"/>
    </row>
    <row r="33" spans="1:13" x14ac:dyDescent="0.35">
      <c r="C33" s="64"/>
      <c r="D33" s="203"/>
      <c r="E33" s="66"/>
      <c r="F33" s="66"/>
      <c r="G33" s="33"/>
      <c r="H33" s="64"/>
      <c r="I33" s="33"/>
      <c r="J33" s="172"/>
      <c r="K33" s="34"/>
      <c r="L33" s="34"/>
      <c r="M33" s="60"/>
    </row>
    <row r="34" spans="1:13" x14ac:dyDescent="0.35">
      <c r="A34" s="46" t="s">
        <v>52</v>
      </c>
      <c r="C34" s="65"/>
      <c r="D34" s="204"/>
      <c r="E34" s="35"/>
      <c r="F34" s="35"/>
      <c r="G34" s="35"/>
      <c r="H34" s="65"/>
      <c r="I34" s="35"/>
      <c r="J34" s="173"/>
      <c r="K34" s="34"/>
      <c r="L34" s="34"/>
      <c r="M34" s="60"/>
    </row>
    <row r="35" spans="1:13" x14ac:dyDescent="0.35">
      <c r="A35" s="46" t="s">
        <v>24</v>
      </c>
      <c r="C35" s="201">
        <f t="shared" ref="C35:M35" si="7">C27-C15</f>
        <v>113299.02425120008</v>
      </c>
      <c r="D35" s="205">
        <f t="shared" si="7"/>
        <v>0</v>
      </c>
      <c r="E35" s="41">
        <f t="shared" si="7"/>
        <v>111226.9</v>
      </c>
      <c r="F35" s="41">
        <f t="shared" si="7"/>
        <v>99067.940000000031</v>
      </c>
      <c r="G35" s="108">
        <f t="shared" si="7"/>
        <v>-172846.92</v>
      </c>
      <c r="H35" s="40">
        <f t="shared" si="7"/>
        <v>-81615.45</v>
      </c>
      <c r="I35" s="41">
        <f t="shared" si="7"/>
        <v>-52541.350000000006</v>
      </c>
      <c r="J35" s="61">
        <f t="shared" si="7"/>
        <v>-30627.919999999998</v>
      </c>
      <c r="K35" s="123">
        <f t="shared" si="7"/>
        <v>-17299.050000000003</v>
      </c>
      <c r="L35" s="41">
        <f t="shared" si="7"/>
        <v>24575.539999999994</v>
      </c>
      <c r="M35" s="61">
        <f t="shared" si="7"/>
        <v>-159837.20000000001</v>
      </c>
    </row>
    <row r="36" spans="1:13" x14ac:dyDescent="0.35">
      <c r="A36" s="46" t="s">
        <v>107</v>
      </c>
      <c r="C36" s="201">
        <f t="shared" ref="C36:M36" si="8">C28-C16</f>
        <v>48748.243760000027</v>
      </c>
      <c r="D36" s="205">
        <f t="shared" si="8"/>
        <v>0</v>
      </c>
      <c r="E36" s="41">
        <f t="shared" si="8"/>
        <v>10011.870000000003</v>
      </c>
      <c r="F36" s="41">
        <f t="shared" si="8"/>
        <v>7101.0400000000009</v>
      </c>
      <c r="G36" s="108">
        <f t="shared" si="8"/>
        <v>-43677.17</v>
      </c>
      <c r="H36" s="40">
        <f t="shared" si="8"/>
        <v>-30478.74</v>
      </c>
      <c r="I36" s="41">
        <f t="shared" si="8"/>
        <v>-23723.030000000002</v>
      </c>
      <c r="J36" s="61">
        <f t="shared" si="8"/>
        <v>-18726.469999999998</v>
      </c>
      <c r="K36" s="123">
        <f t="shared" si="8"/>
        <v>-18824.71</v>
      </c>
      <c r="L36" s="41">
        <f t="shared" si="8"/>
        <v>-8433.6900000000023</v>
      </c>
      <c r="M36" s="61">
        <f t="shared" si="8"/>
        <v>-52147.99</v>
      </c>
    </row>
    <row r="37" spans="1:13" x14ac:dyDescent="0.35">
      <c r="A37" s="46" t="s">
        <v>108</v>
      </c>
      <c r="C37" s="201">
        <f t="shared" ref="C37:M37" si="9">C29-C17</f>
        <v>27376.908799999976</v>
      </c>
      <c r="D37" s="205">
        <f t="shared" si="9"/>
        <v>0</v>
      </c>
      <c r="E37" s="41">
        <f t="shared" si="9"/>
        <v>35483.079999999994</v>
      </c>
      <c r="F37" s="41">
        <f t="shared" si="9"/>
        <v>40082.53</v>
      </c>
      <c r="G37" s="108">
        <f t="shared" si="9"/>
        <v>-20971.56</v>
      </c>
      <c r="H37" s="40">
        <f t="shared" si="9"/>
        <v>-29496.170000000002</v>
      </c>
      <c r="I37" s="41">
        <f t="shared" si="9"/>
        <v>-22648.309999999998</v>
      </c>
      <c r="J37" s="61">
        <f t="shared" si="9"/>
        <v>-17575.759999999998</v>
      </c>
      <c r="K37" s="123">
        <f t="shared" si="9"/>
        <v>-18809.63</v>
      </c>
      <c r="L37" s="41">
        <f t="shared" si="9"/>
        <v>-18163.809999999998</v>
      </c>
      <c r="M37" s="61">
        <f t="shared" si="9"/>
        <v>-62810</v>
      </c>
    </row>
    <row r="38" spans="1:13" x14ac:dyDescent="0.35">
      <c r="A38" s="46" t="s">
        <v>109</v>
      </c>
      <c r="C38" s="201">
        <f t="shared" ref="C38:M38" si="10">C30-C18</f>
        <v>2702.5625400000063</v>
      </c>
      <c r="D38" s="205">
        <f t="shared" si="10"/>
        <v>0</v>
      </c>
      <c r="E38" s="41">
        <f t="shared" si="10"/>
        <v>7629.5899999999983</v>
      </c>
      <c r="F38" s="41">
        <f t="shared" si="10"/>
        <v>10146.4</v>
      </c>
      <c r="G38" s="108">
        <f t="shared" si="10"/>
        <v>-6474.56</v>
      </c>
      <c r="H38" s="40">
        <f t="shared" si="10"/>
        <v>-5229.7700000000004</v>
      </c>
      <c r="I38" s="41">
        <f t="shared" si="10"/>
        <v>-8788.2599999999984</v>
      </c>
      <c r="J38" s="61">
        <f t="shared" si="10"/>
        <v>-7274.63</v>
      </c>
      <c r="K38" s="123">
        <f t="shared" si="10"/>
        <v>-7968.7300000000005</v>
      </c>
      <c r="L38" s="41">
        <f t="shared" si="10"/>
        <v>-7279.21</v>
      </c>
      <c r="M38" s="61">
        <f t="shared" si="10"/>
        <v>-11592.22</v>
      </c>
    </row>
    <row r="39" spans="1:13" x14ac:dyDescent="0.35">
      <c r="C39" s="99"/>
      <c r="D39" s="196"/>
      <c r="E39" s="17"/>
      <c r="F39" s="17"/>
      <c r="G39" s="17"/>
      <c r="H39" s="10"/>
      <c r="I39" s="17"/>
      <c r="J39" s="11"/>
      <c r="K39" s="17"/>
      <c r="L39" s="17"/>
      <c r="M39" s="11"/>
    </row>
    <row r="40" spans="1:13" ht="15" thickBot="1" x14ac:dyDescent="0.4">
      <c r="A40" s="46" t="s">
        <v>53</v>
      </c>
      <c r="C40" s="99"/>
      <c r="D40" s="196"/>
      <c r="E40" s="17"/>
      <c r="F40" s="17"/>
      <c r="G40" s="17"/>
      <c r="H40" s="10"/>
      <c r="I40" s="17"/>
      <c r="J40" s="11"/>
      <c r="K40" s="17"/>
      <c r="L40" s="17"/>
      <c r="M40" s="11"/>
    </row>
    <row r="41" spans="1:13" x14ac:dyDescent="0.35">
      <c r="A41" s="46" t="s">
        <v>24</v>
      </c>
      <c r="B41" s="116">
        <v>-207384.41425119989</v>
      </c>
      <c r="C41" s="201">
        <f t="shared" ref="C41:M41" si="11">+B41+C35+B48</f>
        <v>-94085.38999999981</v>
      </c>
      <c r="D41" s="205">
        <f t="shared" si="11"/>
        <v>-94344.659999999814</v>
      </c>
      <c r="E41" s="41">
        <f t="shared" si="11"/>
        <v>16882.24000000018</v>
      </c>
      <c r="F41" s="41">
        <f t="shared" si="11"/>
        <v>115782.60000000021</v>
      </c>
      <c r="G41" s="108">
        <f t="shared" si="11"/>
        <v>-56757.069999999803</v>
      </c>
      <c r="H41" s="40">
        <f t="shared" si="11"/>
        <v>-138231.0299999998</v>
      </c>
      <c r="I41" s="41">
        <f t="shared" si="11"/>
        <v>-191247.0699999998</v>
      </c>
      <c r="J41" s="61">
        <f t="shared" si="11"/>
        <v>-222703.2899999998</v>
      </c>
      <c r="K41" s="123">
        <f t="shared" si="11"/>
        <v>-241075.4699999998</v>
      </c>
      <c r="L41" s="41">
        <f t="shared" si="11"/>
        <v>-217702.60999999981</v>
      </c>
      <c r="M41" s="61">
        <f t="shared" si="11"/>
        <v>-378729.88999999984</v>
      </c>
    </row>
    <row r="42" spans="1:13" x14ac:dyDescent="0.35">
      <c r="A42" s="46" t="s">
        <v>107</v>
      </c>
      <c r="B42" s="244">
        <v>-200480.43376000004</v>
      </c>
      <c r="C42" s="201">
        <f t="shared" ref="C42:M42" si="12">+B42+C36+B49</f>
        <v>-151732.19</v>
      </c>
      <c r="D42" s="205">
        <f t="shared" si="12"/>
        <v>-150643.85</v>
      </c>
      <c r="E42" s="41">
        <f t="shared" si="12"/>
        <v>-140631.98000000001</v>
      </c>
      <c r="F42" s="41">
        <f t="shared" si="12"/>
        <v>-134161.09</v>
      </c>
      <c r="G42" s="108">
        <f t="shared" si="12"/>
        <v>-178476.95</v>
      </c>
      <c r="H42" s="40">
        <f t="shared" si="12"/>
        <v>-209702.76</v>
      </c>
      <c r="I42" s="41">
        <f t="shared" si="12"/>
        <v>-234373.30000000002</v>
      </c>
      <c r="J42" s="61">
        <f t="shared" si="12"/>
        <v>-254216.94000000003</v>
      </c>
      <c r="K42" s="123">
        <f t="shared" si="12"/>
        <v>-274308.64</v>
      </c>
      <c r="L42" s="41">
        <f t="shared" si="12"/>
        <v>-284113.03000000003</v>
      </c>
      <c r="M42" s="61">
        <f t="shared" si="12"/>
        <v>-337709.34</v>
      </c>
    </row>
    <row r="43" spans="1:13" x14ac:dyDescent="0.35">
      <c r="A43" s="46" t="s">
        <v>108</v>
      </c>
      <c r="B43" s="244">
        <v>-8088.0387999999111</v>
      </c>
      <c r="C43" s="201">
        <f t="shared" ref="C43:M43" si="13">+B43+C37+B50</f>
        <v>19288.870000000064</v>
      </c>
      <c r="D43" s="205">
        <f t="shared" si="13"/>
        <v>18954.950000000066</v>
      </c>
      <c r="E43" s="41">
        <f t="shared" si="13"/>
        <v>54438.030000000057</v>
      </c>
      <c r="F43" s="41">
        <f t="shared" si="13"/>
        <v>94679.340000000055</v>
      </c>
      <c r="G43" s="108">
        <f t="shared" si="13"/>
        <v>74053.940000000061</v>
      </c>
      <c r="H43" s="40">
        <f t="shared" si="13"/>
        <v>44960.970000000059</v>
      </c>
      <c r="I43" s="41">
        <f t="shared" si="13"/>
        <v>22603.590000000062</v>
      </c>
      <c r="J43" s="61">
        <f t="shared" si="13"/>
        <v>5198.1700000000637</v>
      </c>
      <c r="K43" s="123">
        <f t="shared" si="13"/>
        <v>-13539.089999999936</v>
      </c>
      <c r="L43" s="41">
        <f t="shared" si="13"/>
        <v>-31724.289999999935</v>
      </c>
      <c r="M43" s="61">
        <f t="shared" si="13"/>
        <v>-94651.449999999939</v>
      </c>
    </row>
    <row r="44" spans="1:13" ht="15" thickBot="1" x14ac:dyDescent="0.4">
      <c r="A44" s="46" t="s">
        <v>109</v>
      </c>
      <c r="B44" s="117">
        <v>4159.757460000018</v>
      </c>
      <c r="C44" s="201">
        <f t="shared" ref="C44:M44" si="14">+B44+C38+B51</f>
        <v>6862.3200000000243</v>
      </c>
      <c r="D44" s="205">
        <f t="shared" si="14"/>
        <v>6753.5200000000241</v>
      </c>
      <c r="E44" s="41">
        <f t="shared" si="14"/>
        <v>14383.110000000022</v>
      </c>
      <c r="F44" s="41">
        <f t="shared" si="14"/>
        <v>24575.240000000023</v>
      </c>
      <c r="G44" s="108">
        <f t="shared" si="14"/>
        <v>18191.130000000023</v>
      </c>
      <c r="H44" s="40">
        <f t="shared" si="14"/>
        <v>13063.560000000023</v>
      </c>
      <c r="I44" s="41">
        <f t="shared" si="14"/>
        <v>4351.6900000000251</v>
      </c>
      <c r="J44" s="61">
        <f t="shared" si="14"/>
        <v>-2879.0299999999752</v>
      </c>
      <c r="K44" s="123">
        <f t="shared" si="14"/>
        <v>-10843.839999999976</v>
      </c>
      <c r="L44" s="41">
        <f t="shared" si="14"/>
        <v>-18158.539999999979</v>
      </c>
      <c r="M44" s="61">
        <f t="shared" si="14"/>
        <v>-29825.889999999981</v>
      </c>
    </row>
    <row r="45" spans="1:13" x14ac:dyDescent="0.35">
      <c r="C45" s="99"/>
      <c r="D45" s="196"/>
      <c r="E45" s="17"/>
      <c r="F45" s="17"/>
      <c r="G45" s="17"/>
      <c r="H45" s="10"/>
      <c r="I45" s="17"/>
      <c r="J45" s="11"/>
      <c r="K45" s="17"/>
      <c r="L45" s="17"/>
      <c r="M45" s="11"/>
    </row>
    <row r="46" spans="1:13" x14ac:dyDescent="0.35">
      <c r="A46" s="39" t="s">
        <v>123</v>
      </c>
      <c r="B46" s="39"/>
      <c r="C46" s="104"/>
      <c r="D46" s="206"/>
      <c r="E46" s="83">
        <f>+'PCR Cycle 2'!D47</f>
        <v>4.3267999999999996E-3</v>
      </c>
      <c r="F46" s="83">
        <f>+'PCR Cycle 2'!E47</f>
        <v>4.6379000000000004E-3</v>
      </c>
      <c r="G46" s="83">
        <f>+'PCR Cycle 2'!F47</f>
        <v>4.7694E-3</v>
      </c>
      <c r="H46" s="84">
        <f>+'PCR Cycle 2'!G47</f>
        <v>4.8724500000000004E-3</v>
      </c>
      <c r="I46" s="83">
        <f>+'PCR Cycle 2'!H47</f>
        <v>5.0207200000000002E-3</v>
      </c>
      <c r="J46" s="92">
        <f>+'PCR Cycle 2'!I47</f>
        <v>5.1744800000000004E-3</v>
      </c>
      <c r="K46" s="83">
        <f>+'PCR Cycle 2'!J47</f>
        <v>5.1744800000000004E-3</v>
      </c>
      <c r="L46" s="83">
        <f>+'PCR Cycle 2'!K47</f>
        <v>5.1744800000000004E-3</v>
      </c>
      <c r="M46" s="85"/>
    </row>
    <row r="47" spans="1:13" x14ac:dyDescent="0.35">
      <c r="A47" s="39" t="s">
        <v>37</v>
      </c>
      <c r="B47" s="39"/>
      <c r="C47" s="106"/>
      <c r="D47" s="207"/>
      <c r="E47" s="83"/>
      <c r="F47" s="83"/>
      <c r="G47" s="83"/>
      <c r="H47" s="84"/>
      <c r="I47" s="83"/>
      <c r="J47" s="85"/>
      <c r="K47" s="83"/>
      <c r="L47" s="83"/>
      <c r="M47" s="85"/>
    </row>
    <row r="48" spans="1:13" x14ac:dyDescent="0.35">
      <c r="A48" s="46" t="s">
        <v>24</v>
      </c>
      <c r="C48" s="201">
        <v>-259.27</v>
      </c>
      <c r="D48" s="205"/>
      <c r="E48" s="41">
        <f t="shared" ref="E48:M48" si="15">ROUND((D41+D48+E35/2)*E$46,2)</f>
        <v>-167.58</v>
      </c>
      <c r="F48" s="41">
        <f t="shared" si="15"/>
        <v>307.25</v>
      </c>
      <c r="G48" s="108">
        <f t="shared" si="15"/>
        <v>141.49</v>
      </c>
      <c r="H48" s="40">
        <f t="shared" si="15"/>
        <v>-474.69</v>
      </c>
      <c r="I48" s="123">
        <f t="shared" si="15"/>
        <v>-828.3</v>
      </c>
      <c r="J48" s="61">
        <f t="shared" si="15"/>
        <v>-1073.1300000000001</v>
      </c>
      <c r="K48" s="161">
        <f t="shared" si="15"/>
        <v>-1202.68</v>
      </c>
      <c r="L48" s="108">
        <f t="shared" si="15"/>
        <v>-1190.08</v>
      </c>
      <c r="M48" s="61">
        <f t="shared" si="15"/>
        <v>0</v>
      </c>
    </row>
    <row r="49" spans="1:13" x14ac:dyDescent="0.35">
      <c r="A49" s="46" t="s">
        <v>107</v>
      </c>
      <c r="C49" s="201">
        <v>1088.3399999999999</v>
      </c>
      <c r="D49" s="205"/>
      <c r="E49" s="41">
        <f t="shared" ref="E49:L49" si="16">ROUND((D42+D49+E36/2)*E$46,2)</f>
        <v>-630.15</v>
      </c>
      <c r="F49" s="41">
        <f t="shared" si="16"/>
        <v>-638.69000000000005</v>
      </c>
      <c r="G49" s="108">
        <f t="shared" si="16"/>
        <v>-747.07</v>
      </c>
      <c r="H49" s="40">
        <f t="shared" si="16"/>
        <v>-947.51</v>
      </c>
      <c r="I49" s="123">
        <f t="shared" si="16"/>
        <v>-1117.17</v>
      </c>
      <c r="J49" s="61">
        <f t="shared" si="16"/>
        <v>-1266.99</v>
      </c>
      <c r="K49" s="161">
        <f t="shared" si="16"/>
        <v>-1370.7</v>
      </c>
      <c r="L49" s="108">
        <f t="shared" si="16"/>
        <v>-1448.32</v>
      </c>
      <c r="M49" s="61"/>
    </row>
    <row r="50" spans="1:13" x14ac:dyDescent="0.35">
      <c r="A50" s="46" t="s">
        <v>108</v>
      </c>
      <c r="C50" s="201">
        <v>-333.92</v>
      </c>
      <c r="D50" s="205"/>
      <c r="E50" s="41">
        <f t="shared" ref="E50:L50" si="17">ROUND((D43+D50+E37/2)*E$46,2)</f>
        <v>158.78</v>
      </c>
      <c r="F50" s="41">
        <f t="shared" si="17"/>
        <v>346.16</v>
      </c>
      <c r="G50" s="108">
        <f t="shared" si="17"/>
        <v>403.2</v>
      </c>
      <c r="H50" s="40">
        <f t="shared" si="17"/>
        <v>290.93</v>
      </c>
      <c r="I50" s="123">
        <f t="shared" si="17"/>
        <v>170.34</v>
      </c>
      <c r="J50" s="61">
        <f t="shared" si="17"/>
        <v>72.37</v>
      </c>
      <c r="K50" s="161">
        <f t="shared" si="17"/>
        <v>-21.39</v>
      </c>
      <c r="L50" s="108">
        <f t="shared" si="17"/>
        <v>-117.16</v>
      </c>
      <c r="M50" s="61"/>
    </row>
    <row r="51" spans="1:13" ht="15" thickBot="1" x14ac:dyDescent="0.4">
      <c r="A51" s="46" t="s">
        <v>109</v>
      </c>
      <c r="C51" s="201">
        <v>-108.80000000000001</v>
      </c>
      <c r="D51" s="205"/>
      <c r="E51" s="41">
        <f t="shared" ref="E51:L51" si="18">ROUND((D44+D51+E38/2)*E$46,2)</f>
        <v>45.73</v>
      </c>
      <c r="F51" s="41">
        <f t="shared" si="18"/>
        <v>90.45</v>
      </c>
      <c r="G51" s="108">
        <f t="shared" si="18"/>
        <v>102.2</v>
      </c>
      <c r="H51" s="40">
        <f t="shared" si="18"/>
        <v>76.39</v>
      </c>
      <c r="I51" s="123">
        <f t="shared" si="18"/>
        <v>43.91</v>
      </c>
      <c r="J51" s="61">
        <f t="shared" si="18"/>
        <v>3.92</v>
      </c>
      <c r="K51" s="161">
        <f t="shared" si="18"/>
        <v>-35.49</v>
      </c>
      <c r="L51" s="108">
        <f t="shared" si="18"/>
        <v>-75.13</v>
      </c>
      <c r="M51" s="61">
        <f>ROUND((L44+L51+M38/2)*M$46,2)</f>
        <v>0</v>
      </c>
    </row>
    <row r="52" spans="1:13" ht="15.5" thickTop="1" thickBot="1" x14ac:dyDescent="0.4">
      <c r="A52" s="54" t="s">
        <v>22</v>
      </c>
      <c r="B52" s="54"/>
      <c r="C52" s="202">
        <v>0</v>
      </c>
      <c r="D52" s="208"/>
      <c r="E52" s="42">
        <f t="shared" ref="E52:M52" si="19">SUM(E48:E51)+SUM(E41:E44)-E55</f>
        <v>-6.5483618527650833E-11</v>
      </c>
      <c r="F52" s="42">
        <f t="shared" si="19"/>
        <v>0</v>
      </c>
      <c r="G52" s="50">
        <f t="shared" si="19"/>
        <v>0</v>
      </c>
      <c r="H52" s="51">
        <f t="shared" si="19"/>
        <v>0</v>
      </c>
      <c r="I52" s="42">
        <f t="shared" si="19"/>
        <v>0</v>
      </c>
      <c r="J52" s="62">
        <f t="shared" si="19"/>
        <v>0</v>
      </c>
      <c r="K52" s="162">
        <f t="shared" si="19"/>
        <v>0</v>
      </c>
      <c r="L52" s="50">
        <f t="shared" si="19"/>
        <v>0</v>
      </c>
      <c r="M52" s="62">
        <f t="shared" si="19"/>
        <v>0</v>
      </c>
    </row>
    <row r="53" spans="1:13" ht="15.5" thickTop="1" thickBot="1" x14ac:dyDescent="0.4">
      <c r="A53" s="54" t="s">
        <v>23</v>
      </c>
      <c r="B53" s="54"/>
      <c r="C53" s="202">
        <v>0</v>
      </c>
      <c r="D53" s="208"/>
      <c r="E53" s="42">
        <f t="shared" ref="E53:M53" si="20">SUM(E48:E51)-E32</f>
        <v>0</v>
      </c>
      <c r="F53" s="42">
        <f t="shared" si="20"/>
        <v>-1.0000000000104592E-2</v>
      </c>
      <c r="G53" s="50">
        <f t="shared" si="20"/>
        <v>0</v>
      </c>
      <c r="H53" s="51">
        <f t="shared" si="20"/>
        <v>1.0000000000218279E-2</v>
      </c>
      <c r="I53" s="42">
        <f t="shared" si="20"/>
        <v>-9.9999999999909051E-3</v>
      </c>
      <c r="J53" s="62">
        <f t="shared" si="20"/>
        <v>-9.9999999997635314E-3</v>
      </c>
      <c r="K53" s="163">
        <f>SUM(K48:K51)-K32</f>
        <v>0</v>
      </c>
      <c r="L53" s="42">
        <f t="shared" si="20"/>
        <v>0</v>
      </c>
      <c r="M53" s="42">
        <f t="shared" si="20"/>
        <v>0</v>
      </c>
    </row>
    <row r="54" spans="1:13" ht="15.5" thickTop="1" thickBot="1" x14ac:dyDescent="0.4">
      <c r="C54" s="99"/>
      <c r="D54" s="196"/>
      <c r="E54" s="17"/>
      <c r="F54" s="17"/>
      <c r="G54" s="17"/>
      <c r="H54" s="10"/>
      <c r="I54" s="17"/>
      <c r="J54" s="11"/>
      <c r="K54" s="17"/>
      <c r="L54" s="17"/>
      <c r="M54" s="11"/>
    </row>
    <row r="55" spans="1:13" ht="15" thickBot="1" x14ac:dyDescent="0.4">
      <c r="A55" s="46" t="s">
        <v>36</v>
      </c>
      <c r="B55" s="119">
        <f>SUM(B41:B44)</f>
        <v>-411793.1293511999</v>
      </c>
      <c r="C55" s="201">
        <f t="shared" ref="C55:M55" si="21">(C12-SUM(C15:C18))+SUM(C48:C51)+B55</f>
        <v>-219280.03999999972</v>
      </c>
      <c r="D55" s="205">
        <f t="shared" si="21"/>
        <v>-219280.03999999972</v>
      </c>
      <c r="E55" s="41">
        <f t="shared" si="21"/>
        <v>-55521.819999999687</v>
      </c>
      <c r="F55" s="41">
        <f t="shared" si="21"/>
        <v>100981.26000000036</v>
      </c>
      <c r="G55" s="108">
        <f t="shared" si="21"/>
        <v>-143089.12999999966</v>
      </c>
      <c r="H55" s="40">
        <f t="shared" si="21"/>
        <v>-290964.13999999966</v>
      </c>
      <c r="I55" s="41">
        <f t="shared" si="21"/>
        <v>-400396.30999999965</v>
      </c>
      <c r="J55" s="61">
        <f t="shared" si="21"/>
        <v>-476864.91999999969</v>
      </c>
      <c r="K55" s="161">
        <f t="shared" si="21"/>
        <v>-542397.2999999997</v>
      </c>
      <c r="L55" s="108">
        <f t="shared" si="21"/>
        <v>-554529.15999999968</v>
      </c>
      <c r="M55" s="61">
        <f t="shared" si="21"/>
        <v>-840916.5699999996</v>
      </c>
    </row>
    <row r="56" spans="1:13" x14ac:dyDescent="0.35">
      <c r="A56" s="46" t="s">
        <v>12</v>
      </c>
      <c r="C56" s="120"/>
      <c r="D56" s="209"/>
      <c r="E56" s="17"/>
      <c r="F56" s="17"/>
      <c r="G56" s="17"/>
      <c r="H56" s="10"/>
      <c r="I56" s="17"/>
      <c r="J56" s="11"/>
      <c r="K56" s="17"/>
      <c r="L56" s="17"/>
      <c r="M56" s="11"/>
    </row>
    <row r="57" spans="1:13" ht="15" thickBot="1" x14ac:dyDescent="0.4">
      <c r="A57" s="37"/>
      <c r="B57" s="37"/>
      <c r="C57" s="146"/>
      <c r="D57" s="210"/>
      <c r="E57" s="44"/>
      <c r="F57" s="44"/>
      <c r="G57" s="44"/>
      <c r="H57" s="43"/>
      <c r="I57" s="44"/>
      <c r="J57" s="45"/>
      <c r="K57" s="44"/>
      <c r="L57" s="44"/>
      <c r="M57" s="45"/>
    </row>
    <row r="59" spans="1:13" x14ac:dyDescent="0.35">
      <c r="A59" s="69" t="s">
        <v>11</v>
      </c>
      <c r="B59" s="69"/>
      <c r="C59" s="69"/>
      <c r="D59" s="69"/>
    </row>
    <row r="60" spans="1:13" ht="34.5" customHeight="1" x14ac:dyDescent="0.35">
      <c r="A60" s="323" t="s">
        <v>199</v>
      </c>
      <c r="B60" s="323"/>
      <c r="C60" s="323"/>
      <c r="D60" s="323"/>
      <c r="E60" s="323"/>
      <c r="F60" s="323"/>
      <c r="G60" s="323"/>
      <c r="H60" s="323"/>
      <c r="I60" s="323"/>
      <c r="J60" s="323"/>
      <c r="K60" s="253"/>
      <c r="L60" s="233"/>
      <c r="M60" s="233"/>
    </row>
    <row r="61" spans="1:13" ht="48.65" customHeight="1" x14ac:dyDescent="0.35">
      <c r="A61" s="323" t="s">
        <v>282</v>
      </c>
      <c r="B61" s="323"/>
      <c r="C61" s="323"/>
      <c r="D61" s="323"/>
      <c r="E61" s="323"/>
      <c r="F61" s="323"/>
      <c r="G61" s="323"/>
      <c r="H61" s="323"/>
      <c r="I61" s="323"/>
      <c r="J61" s="323"/>
      <c r="K61" s="323"/>
      <c r="L61" s="233"/>
      <c r="M61" s="233"/>
    </row>
    <row r="62" spans="1:13" ht="33.75" customHeight="1" x14ac:dyDescent="0.35">
      <c r="A62" s="323" t="s">
        <v>200</v>
      </c>
      <c r="B62" s="323"/>
      <c r="C62" s="323"/>
      <c r="D62" s="323"/>
      <c r="E62" s="323"/>
      <c r="F62" s="323"/>
      <c r="G62" s="323"/>
      <c r="H62" s="323"/>
      <c r="I62" s="323"/>
      <c r="J62" s="323"/>
      <c r="K62" s="253"/>
      <c r="L62" s="233"/>
      <c r="M62" s="233"/>
    </row>
    <row r="63" spans="1:13" x14ac:dyDescent="0.35">
      <c r="A63" s="63" t="s">
        <v>67</v>
      </c>
      <c r="B63" s="63"/>
      <c r="C63" s="63"/>
      <c r="D63" s="63"/>
      <c r="E63" s="39"/>
      <c r="F63" s="39"/>
      <c r="G63" s="39"/>
      <c r="H63" s="39"/>
      <c r="I63" s="39"/>
      <c r="J63" s="39"/>
      <c r="K63" s="39"/>
    </row>
    <row r="64" spans="1:13" x14ac:dyDescent="0.35">
      <c r="A64" s="63" t="s">
        <v>193</v>
      </c>
      <c r="B64" s="63"/>
      <c r="C64" s="63"/>
      <c r="D64" s="63"/>
      <c r="E64" s="39"/>
      <c r="F64" s="39"/>
      <c r="G64" s="39"/>
      <c r="H64" s="39"/>
      <c r="I64" s="39"/>
      <c r="J64" s="39"/>
      <c r="K64" s="39"/>
    </row>
    <row r="65" spans="1:11" x14ac:dyDescent="0.35">
      <c r="A65" s="63" t="s">
        <v>70</v>
      </c>
      <c r="B65" s="63"/>
      <c r="C65" s="63"/>
      <c r="D65" s="63"/>
      <c r="E65" s="39"/>
      <c r="F65" s="39"/>
      <c r="G65" s="39"/>
      <c r="H65" s="39"/>
      <c r="I65" s="39"/>
      <c r="J65" s="39"/>
      <c r="K65" s="39"/>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97"/>
  <sheetViews>
    <sheetView workbookViewId="0">
      <pane xSplit="1" ySplit="4" topLeftCell="B5" activePane="bottomRight" state="frozen"/>
      <selection activeCell="K4" sqref="K4"/>
      <selection pane="topRight" activeCell="K4" sqref="K4"/>
      <selection pane="bottomLeft" activeCell="K4" sqref="K4"/>
      <selection pane="bottomRight" activeCell="G9" sqref="G9"/>
    </sheetView>
  </sheetViews>
  <sheetFormatPr defaultRowHeight="14.5" x14ac:dyDescent="0.35"/>
  <cols>
    <col min="1" max="1" width="23.7265625" customWidth="1"/>
    <col min="2" max="2" width="15.26953125" bestFit="1" customWidth="1"/>
    <col min="3" max="3" width="14.26953125" style="46"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3" t="str">
        <f>+'PPC Cycle 3'!A1</f>
        <v>Evergy Missouri West, Inc. - DSIM Rider Update Filed 06/01/2023</v>
      </c>
      <c r="B1" s="46"/>
      <c r="D1" s="46"/>
      <c r="E1" s="46"/>
    </row>
    <row r="2" spans="1:7" x14ac:dyDescent="0.35">
      <c r="A2" s="9" t="str">
        <f>+'PPC Cycle 3'!A2</f>
        <v>Projections for Cycle 3 July 2023 - June 2024 DSIM</v>
      </c>
      <c r="B2" s="46"/>
      <c r="D2" s="46"/>
      <c r="E2" s="46"/>
    </row>
    <row r="3" spans="1:7" ht="45.75" customHeight="1" x14ac:dyDescent="0.35">
      <c r="A3" s="46"/>
      <c r="B3" s="319" t="s">
        <v>98</v>
      </c>
      <c r="C3" s="319"/>
      <c r="D3" s="319"/>
      <c r="E3" s="46"/>
    </row>
    <row r="4" spans="1:7" ht="87" x14ac:dyDescent="0.35">
      <c r="A4" s="46"/>
      <c r="B4" s="70" t="s">
        <v>100</v>
      </c>
      <c r="C4" s="70" t="s">
        <v>101</v>
      </c>
      <c r="D4" s="70" t="s">
        <v>104</v>
      </c>
      <c r="E4" s="70" t="s">
        <v>102</v>
      </c>
      <c r="F4" s="70" t="s">
        <v>99</v>
      </c>
      <c r="G4" s="70" t="s">
        <v>105</v>
      </c>
    </row>
    <row r="5" spans="1:7" s="46" customFormat="1" x14ac:dyDescent="0.35">
      <c r="A5" s="20"/>
      <c r="B5" s="70"/>
      <c r="C5" s="70"/>
      <c r="D5" s="153"/>
    </row>
    <row r="6" spans="1:7" s="46" customFormat="1" x14ac:dyDescent="0.35">
      <c r="A6" s="255" t="s">
        <v>153</v>
      </c>
      <c r="B6" s="70"/>
      <c r="C6" s="70"/>
      <c r="D6" s="152"/>
    </row>
    <row r="7" spans="1:7" s="46" customFormat="1" x14ac:dyDescent="0.35">
      <c r="A7" s="20" t="s">
        <v>24</v>
      </c>
      <c r="B7" s="231">
        <f>+B18+B29+B40+B50+B60+B70+B80</f>
        <v>6580575.5600000005</v>
      </c>
      <c r="C7" s="231">
        <f t="shared" ref="C7:E7" si="0">+C18+C29+C40+C50+C60+C70+C80</f>
        <v>-1695365.81</v>
      </c>
      <c r="D7" s="231">
        <f t="shared" si="0"/>
        <v>-1361421.68</v>
      </c>
      <c r="E7" s="231">
        <f t="shared" si="0"/>
        <v>-87775.260000000024</v>
      </c>
      <c r="F7" s="231">
        <f>SUM(B7:E7)</f>
        <v>3436012.81</v>
      </c>
      <c r="G7" s="231">
        <f t="shared" ref="G7:G8" si="1">+G18+G29+G40+G50+G60+G70+G80</f>
        <v>-53372.37</v>
      </c>
    </row>
    <row r="8" spans="1:7" s="46" customFormat="1" x14ac:dyDescent="0.35">
      <c r="A8" s="20" t="s">
        <v>25</v>
      </c>
      <c r="B8" s="231">
        <f t="shared" ref="B8:E8" si="2">+B19+B30+B41+B51+B61+B71+B81</f>
        <v>6141489.0100000007</v>
      </c>
      <c r="C8" s="231">
        <f t="shared" si="2"/>
        <v>917589.42999999993</v>
      </c>
      <c r="D8" s="231">
        <f t="shared" si="2"/>
        <v>-160545.48000000001</v>
      </c>
      <c r="E8" s="231">
        <f t="shared" si="2"/>
        <v>65611.53</v>
      </c>
      <c r="F8" s="231">
        <f>SUM(B8:E8)</f>
        <v>6964144.4900000002</v>
      </c>
      <c r="G8" s="231">
        <f t="shared" si="1"/>
        <v>1345.54</v>
      </c>
    </row>
    <row r="9" spans="1:7" s="46" customFormat="1" x14ac:dyDescent="0.35">
      <c r="A9" s="20" t="s">
        <v>5</v>
      </c>
      <c r="B9" s="222">
        <f t="shared" ref="B9:E9" si="3">SUM(B7:B8)</f>
        <v>12722064.57</v>
      </c>
      <c r="C9" s="222">
        <f t="shared" si="3"/>
        <v>-777776.38000000012</v>
      </c>
      <c r="D9" s="222">
        <f t="shared" si="3"/>
        <v>-1521967.16</v>
      </c>
      <c r="E9" s="222">
        <f t="shared" si="3"/>
        <v>-22163.730000000025</v>
      </c>
      <c r="F9" s="222">
        <f t="shared" ref="F9:G9" si="4">SUM(F7:F8)</f>
        <v>10400157.300000001</v>
      </c>
      <c r="G9" s="222">
        <f t="shared" si="4"/>
        <v>-52026.83</v>
      </c>
    </row>
    <row r="10" spans="1:7" s="46" customFormat="1" x14ac:dyDescent="0.35">
      <c r="B10" s="219"/>
      <c r="C10" s="219"/>
      <c r="D10" s="220"/>
    </row>
    <row r="11" spans="1:7" s="46" customFormat="1" x14ac:dyDescent="0.35">
      <c r="A11" s="20" t="s">
        <v>107</v>
      </c>
      <c r="B11" s="222">
        <f t="shared" ref="B11:E11" si="5">+B22+B33+B44+B54+B64+B74+B84</f>
        <v>2400450.7000000002</v>
      </c>
      <c r="C11" s="222">
        <f t="shared" si="5"/>
        <v>394893.28</v>
      </c>
      <c r="D11" s="222">
        <f t="shared" si="5"/>
        <v>-42963.699999999975</v>
      </c>
      <c r="E11" s="222">
        <f t="shared" si="5"/>
        <v>29785.539999999997</v>
      </c>
      <c r="F11" s="222">
        <f t="shared" ref="F11:F13" si="6">SUM(B11:E11)</f>
        <v>2782165.8200000003</v>
      </c>
      <c r="G11" s="222">
        <f t="shared" ref="G11:G13" si="7">+G22+G33+G44+G54+G64+G74+G84</f>
        <v>1196.5800000000002</v>
      </c>
    </row>
    <row r="12" spans="1:7" s="46" customFormat="1" x14ac:dyDescent="0.35">
      <c r="A12" s="20" t="s">
        <v>108</v>
      </c>
      <c r="B12" s="222">
        <f t="shared" ref="B12:E12" si="8">+B23+B34+B45+B55+B65+B75+B85</f>
        <v>2683377.23</v>
      </c>
      <c r="C12" s="222">
        <f t="shared" si="8"/>
        <v>480798.51</v>
      </c>
      <c r="D12" s="222">
        <f t="shared" si="8"/>
        <v>-107219.15</v>
      </c>
      <c r="E12" s="222">
        <f t="shared" si="8"/>
        <v>31959.200000000001</v>
      </c>
      <c r="F12" s="222">
        <f t="shared" si="6"/>
        <v>3088915.7900000005</v>
      </c>
      <c r="G12" s="222">
        <f t="shared" si="7"/>
        <v>552.48</v>
      </c>
    </row>
    <row r="13" spans="1:7" s="46" customFormat="1" x14ac:dyDescent="0.35">
      <c r="A13" s="20" t="s">
        <v>109</v>
      </c>
      <c r="B13" s="222">
        <f t="shared" ref="B13:E13" si="9">+B24+B35+B46+B56+B66+B76+B86</f>
        <v>1057661.06</v>
      </c>
      <c r="C13" s="222">
        <f t="shared" si="9"/>
        <v>41897.640000000007</v>
      </c>
      <c r="D13" s="222">
        <f t="shared" si="9"/>
        <v>-10362.630000000001</v>
      </c>
      <c r="E13" s="222">
        <f t="shared" si="9"/>
        <v>3866.7900000000004</v>
      </c>
      <c r="F13" s="222">
        <f t="shared" si="6"/>
        <v>1093062.8600000001</v>
      </c>
      <c r="G13" s="222">
        <f t="shared" si="7"/>
        <v>-403.51</v>
      </c>
    </row>
    <row r="14" spans="1:7" s="46" customFormat="1" x14ac:dyDescent="0.35">
      <c r="A14" s="30" t="s">
        <v>111</v>
      </c>
      <c r="B14" s="222">
        <f t="shared" ref="B14:E14" si="10">SUM(B11:B13)</f>
        <v>6141488.9900000002</v>
      </c>
      <c r="C14" s="222">
        <f t="shared" si="10"/>
        <v>917589.43</v>
      </c>
      <c r="D14" s="222">
        <f t="shared" si="10"/>
        <v>-160545.47999999998</v>
      </c>
      <c r="E14" s="222">
        <f t="shared" si="10"/>
        <v>65611.53</v>
      </c>
      <c r="F14" s="222">
        <f t="shared" ref="F14:G14" si="11">SUM(F11:F13)</f>
        <v>6964144.4700000016</v>
      </c>
      <c r="G14" s="222">
        <f t="shared" si="11"/>
        <v>1345.5500000000002</v>
      </c>
    </row>
    <row r="15" spans="1:7" s="46" customFormat="1" x14ac:dyDescent="0.35">
      <c r="A15" s="20"/>
      <c r="B15" s="70"/>
      <c r="C15" s="70"/>
      <c r="D15" s="152"/>
    </row>
    <row r="16" spans="1:7" s="46" customFormat="1" x14ac:dyDescent="0.35">
      <c r="A16" s="20"/>
      <c r="B16" s="70"/>
      <c r="C16" s="70"/>
      <c r="D16" s="152"/>
    </row>
    <row r="17" spans="1:7" s="46" customFormat="1" x14ac:dyDescent="0.35">
      <c r="A17" s="255" t="s">
        <v>161</v>
      </c>
      <c r="B17" s="70"/>
      <c r="C17" s="70"/>
      <c r="D17" s="152"/>
    </row>
    <row r="18" spans="1:7" s="46" customFormat="1" x14ac:dyDescent="0.35">
      <c r="A18" s="20" t="s">
        <v>24</v>
      </c>
      <c r="B18" s="25">
        <v>5181939.6500000004</v>
      </c>
      <c r="C18" s="25">
        <v>-722286.33</v>
      </c>
      <c r="D18" s="25">
        <v>574414.55000000005</v>
      </c>
      <c r="E18" s="246">
        <v>2229.4899999999998</v>
      </c>
      <c r="F18" s="231">
        <f>SUM(B18:E18)</f>
        <v>5036297.3600000003</v>
      </c>
      <c r="G18" s="247">
        <f>ROUND(F18/24*0,2)</f>
        <v>0</v>
      </c>
    </row>
    <row r="19" spans="1:7" s="46" customFormat="1" x14ac:dyDescent="0.35">
      <c r="A19" s="20" t="s">
        <v>25</v>
      </c>
      <c r="B19" s="221">
        <v>5060008.6900000004</v>
      </c>
      <c r="C19" s="221">
        <v>194085.35</v>
      </c>
      <c r="D19" s="221">
        <v>562321.14</v>
      </c>
      <c r="E19" s="248">
        <v>20418.36</v>
      </c>
      <c r="F19" s="231">
        <f>SUM(B19:E19)</f>
        <v>5836833.54</v>
      </c>
      <c r="G19" s="247">
        <f>ROUND(F19/24*0,2)</f>
        <v>0</v>
      </c>
    </row>
    <row r="20" spans="1:7" s="46" customFormat="1" x14ac:dyDescent="0.35">
      <c r="A20" s="20" t="s">
        <v>5</v>
      </c>
      <c r="B20" s="222">
        <f t="shared" ref="B20:G20" si="12">SUM(B18:B19)</f>
        <v>10241948.34</v>
      </c>
      <c r="C20" s="222">
        <f t="shared" si="12"/>
        <v>-528200.98</v>
      </c>
      <c r="D20" s="222">
        <f t="shared" si="12"/>
        <v>1136735.69</v>
      </c>
      <c r="E20" s="249">
        <f t="shared" si="12"/>
        <v>22647.85</v>
      </c>
      <c r="F20" s="222">
        <f t="shared" si="12"/>
        <v>10873130.9</v>
      </c>
      <c r="G20" s="250">
        <f t="shared" si="12"/>
        <v>0</v>
      </c>
    </row>
    <row r="21" spans="1:7" s="46" customFormat="1" x14ac:dyDescent="0.35">
      <c r="B21" s="219"/>
      <c r="C21" s="219"/>
      <c r="D21" s="220"/>
    </row>
    <row r="22" spans="1:7" x14ac:dyDescent="0.35">
      <c r="A22" s="20" t="s">
        <v>107</v>
      </c>
      <c r="B22" s="25">
        <v>1943830.05</v>
      </c>
      <c r="C22" s="25">
        <v>62654.27</v>
      </c>
      <c r="D22" s="25">
        <v>289519.26</v>
      </c>
      <c r="E22" s="221">
        <v>9487.83</v>
      </c>
      <c r="F22" s="222">
        <f t="shared" ref="F22:F24" si="13">SUM(B22:E22)</f>
        <v>2305491.41</v>
      </c>
      <c r="G22" s="257">
        <f>ROUND(F22/24*0,2)</f>
        <v>0</v>
      </c>
    </row>
    <row r="23" spans="1:7" x14ac:dyDescent="0.35">
      <c r="A23" s="20" t="s">
        <v>108</v>
      </c>
      <c r="B23" s="25">
        <v>2196160.91</v>
      </c>
      <c r="C23" s="25">
        <v>122990.05</v>
      </c>
      <c r="D23" s="25">
        <v>233118.96</v>
      </c>
      <c r="E23" s="25">
        <v>9593.31</v>
      </c>
      <c r="F23" s="222">
        <f t="shared" si="13"/>
        <v>2561863.23</v>
      </c>
      <c r="G23" s="257">
        <f>ROUND(F23/24*0,2)</f>
        <v>0</v>
      </c>
    </row>
    <row r="24" spans="1:7" x14ac:dyDescent="0.35">
      <c r="A24" s="20" t="s">
        <v>109</v>
      </c>
      <c r="B24" s="221">
        <v>920017.71</v>
      </c>
      <c r="C24" s="221">
        <v>8441.0300000000007</v>
      </c>
      <c r="D24" s="221">
        <v>39682.92</v>
      </c>
      <c r="E24" s="221">
        <v>1337.22</v>
      </c>
      <c r="F24" s="222">
        <f t="shared" si="13"/>
        <v>969478.88</v>
      </c>
      <c r="G24" s="257">
        <f>ROUND(F24/24*0,2)</f>
        <v>0</v>
      </c>
    </row>
    <row r="25" spans="1:7" x14ac:dyDescent="0.35">
      <c r="A25" s="30" t="s">
        <v>111</v>
      </c>
      <c r="B25" s="222">
        <f>SUM(B22:B24)</f>
        <v>5060008.67</v>
      </c>
      <c r="C25" s="222">
        <f>SUM(C22:C24)</f>
        <v>194085.35</v>
      </c>
      <c r="D25" s="222">
        <f t="shared" ref="D25:G25" si="14">SUM(D22:D24)</f>
        <v>562321.14</v>
      </c>
      <c r="E25" s="222">
        <f t="shared" si="14"/>
        <v>20418.36</v>
      </c>
      <c r="F25" s="222">
        <f t="shared" si="14"/>
        <v>5836833.5200000005</v>
      </c>
      <c r="G25" s="222">
        <f t="shared" si="14"/>
        <v>0</v>
      </c>
    </row>
    <row r="26" spans="1:7" s="39" customFormat="1" x14ac:dyDescent="0.35">
      <c r="A26" s="30"/>
      <c r="B26" s="256"/>
      <c r="C26" s="256"/>
      <c r="D26" s="256"/>
      <c r="E26" s="256"/>
      <c r="F26" s="256"/>
      <c r="G26" s="256"/>
    </row>
    <row r="27" spans="1:7" s="39" customFormat="1" x14ac:dyDescent="0.35">
      <c r="A27" s="30"/>
      <c r="B27" s="256"/>
      <c r="C27" s="256"/>
      <c r="D27" s="256"/>
      <c r="E27" s="256"/>
      <c r="F27" s="256"/>
      <c r="G27" s="256"/>
    </row>
    <row r="28" spans="1:7" s="46" customFormat="1" x14ac:dyDescent="0.35">
      <c r="A28" s="255" t="s">
        <v>162</v>
      </c>
      <c r="B28" s="70"/>
      <c r="C28" s="70"/>
      <c r="D28" s="152"/>
    </row>
    <row r="29" spans="1:7" s="46" customFormat="1" x14ac:dyDescent="0.35">
      <c r="A29" s="20" t="s">
        <v>24</v>
      </c>
      <c r="B29" s="25">
        <v>1398635.91</v>
      </c>
      <c r="C29" s="25">
        <v>-801107.23</v>
      </c>
      <c r="D29" s="25">
        <v>-1374859.37</v>
      </c>
      <c r="E29" s="246">
        <v>-42421.68</v>
      </c>
      <c r="F29" s="231">
        <f>SUM(B29:E29)</f>
        <v>-819752.37000000023</v>
      </c>
      <c r="G29" s="247">
        <f>ROUND(F29/24*0,2)</f>
        <v>0</v>
      </c>
    </row>
    <row r="30" spans="1:7" s="46" customFormat="1" x14ac:dyDescent="0.35">
      <c r="A30" s="20" t="s">
        <v>25</v>
      </c>
      <c r="B30" s="221">
        <v>1081480.32</v>
      </c>
      <c r="C30" s="221">
        <v>524350.93999999994</v>
      </c>
      <c r="D30" s="221">
        <v>-536449.89</v>
      </c>
      <c r="E30" s="248">
        <v>37990.920000000006</v>
      </c>
      <c r="F30" s="231">
        <f>SUM(B30:E30)</f>
        <v>1107372.29</v>
      </c>
      <c r="G30" s="247">
        <f>ROUND(F30/24*0,2)</f>
        <v>0</v>
      </c>
    </row>
    <row r="31" spans="1:7" s="46" customFormat="1" x14ac:dyDescent="0.35">
      <c r="A31" s="20" t="s">
        <v>5</v>
      </c>
      <c r="B31" s="222">
        <f t="shared" ref="B31:G31" si="15">SUM(B29:B30)</f>
        <v>2480116.23</v>
      </c>
      <c r="C31" s="222">
        <f t="shared" si="15"/>
        <v>-276756.29000000004</v>
      </c>
      <c r="D31" s="222">
        <f t="shared" si="15"/>
        <v>-1911309.2600000002</v>
      </c>
      <c r="E31" s="249">
        <f t="shared" si="15"/>
        <v>-4430.7599999999948</v>
      </c>
      <c r="F31" s="222">
        <f t="shared" si="15"/>
        <v>287619.91999999981</v>
      </c>
      <c r="G31" s="250">
        <f t="shared" si="15"/>
        <v>0</v>
      </c>
    </row>
    <row r="32" spans="1:7" s="46" customFormat="1" x14ac:dyDescent="0.35">
      <c r="B32" s="219"/>
      <c r="C32" s="219"/>
      <c r="D32" s="220"/>
    </row>
    <row r="33" spans="1:7" s="46" customFormat="1" x14ac:dyDescent="0.35">
      <c r="A33" s="20" t="s">
        <v>107</v>
      </c>
      <c r="B33" s="25">
        <v>456620.65</v>
      </c>
      <c r="C33" s="25">
        <v>238713.51</v>
      </c>
      <c r="D33" s="25">
        <v>-250839.18</v>
      </c>
      <c r="E33" s="221">
        <v>16987.560000000001</v>
      </c>
      <c r="F33" s="222">
        <f t="shared" ref="F33:F35" si="16">SUM(B33:E33)</f>
        <v>461482.54000000004</v>
      </c>
      <c r="G33" s="257">
        <f>ROUND(F33/24*0,2)</f>
        <v>0</v>
      </c>
    </row>
    <row r="34" spans="1:7" s="46" customFormat="1" x14ac:dyDescent="0.35">
      <c r="A34" s="20" t="s">
        <v>108</v>
      </c>
      <c r="B34" s="25">
        <v>487216.32</v>
      </c>
      <c r="C34" s="25">
        <v>261085.55</v>
      </c>
      <c r="D34" s="25">
        <v>-248789.11</v>
      </c>
      <c r="E34" s="25">
        <v>18676.650000000001</v>
      </c>
      <c r="F34" s="222">
        <f t="shared" si="16"/>
        <v>518189.41000000003</v>
      </c>
      <c r="G34" s="257">
        <f>ROUND(F34/24*0,2)</f>
        <v>0</v>
      </c>
    </row>
    <row r="35" spans="1:7" s="46" customFormat="1" x14ac:dyDescent="0.35">
      <c r="A35" s="20" t="s">
        <v>109</v>
      </c>
      <c r="B35" s="221">
        <v>137643.35</v>
      </c>
      <c r="C35" s="221">
        <v>24551.88</v>
      </c>
      <c r="D35" s="221">
        <v>-36821.599999999999</v>
      </c>
      <c r="E35" s="221">
        <v>2326.71</v>
      </c>
      <c r="F35" s="222">
        <f t="shared" si="16"/>
        <v>127700.34000000001</v>
      </c>
      <c r="G35" s="257">
        <f>ROUND(F35/24*0,2)</f>
        <v>0</v>
      </c>
    </row>
    <row r="36" spans="1:7" s="46" customFormat="1" x14ac:dyDescent="0.35">
      <c r="A36" s="30" t="s">
        <v>111</v>
      </c>
      <c r="B36" s="222">
        <f>SUM(B33:B35)</f>
        <v>1081480.32</v>
      </c>
      <c r="C36" s="222">
        <f>SUM(C33:C35)</f>
        <v>524350.93999999994</v>
      </c>
      <c r="D36" s="222">
        <f t="shared" ref="D36:G36" si="17">SUM(D33:D35)</f>
        <v>-536449.89</v>
      </c>
      <c r="E36" s="222">
        <f t="shared" si="17"/>
        <v>37990.920000000006</v>
      </c>
      <c r="F36" s="222">
        <f t="shared" si="17"/>
        <v>1107372.29</v>
      </c>
      <c r="G36" s="222">
        <f t="shared" si="17"/>
        <v>0</v>
      </c>
    </row>
    <row r="37" spans="1:7" x14ac:dyDescent="0.35">
      <c r="A37" s="30"/>
      <c r="B37" s="251"/>
      <c r="C37" s="251"/>
      <c r="D37" s="251"/>
      <c r="E37" s="251"/>
      <c r="F37" s="251"/>
      <c r="G37" s="251"/>
    </row>
    <row r="38" spans="1:7" s="39" customFormat="1" x14ac:dyDescent="0.35">
      <c r="A38" s="30"/>
      <c r="B38" s="256"/>
      <c r="C38" s="256"/>
      <c r="D38" s="256"/>
      <c r="E38" s="256"/>
      <c r="F38" s="256"/>
      <c r="G38" s="256"/>
    </row>
    <row r="39" spans="1:7" s="46" customFormat="1" x14ac:dyDescent="0.35">
      <c r="A39" s="255" t="s">
        <v>163</v>
      </c>
      <c r="B39" s="70"/>
      <c r="C39" s="70"/>
      <c r="D39" s="152"/>
    </row>
    <row r="40" spans="1:7" s="46" customFormat="1" x14ac:dyDescent="0.35">
      <c r="A40" s="20" t="s">
        <v>24</v>
      </c>
      <c r="B40" s="25">
        <v>0</v>
      </c>
      <c r="C40" s="25">
        <v>-188195.82</v>
      </c>
      <c r="D40" s="25">
        <v>-520190.41</v>
      </c>
      <c r="E40" s="246">
        <v>-19391.330000000002</v>
      </c>
      <c r="F40" s="231">
        <f>SUM(B40:E40)</f>
        <v>-727777.55999999994</v>
      </c>
      <c r="G40" s="247">
        <f>ROUND(F40/24*1,2)</f>
        <v>-30324.07</v>
      </c>
    </row>
    <row r="41" spans="1:7" s="46" customFormat="1" x14ac:dyDescent="0.35">
      <c r="A41" s="20" t="s">
        <v>25</v>
      </c>
      <c r="B41" s="221">
        <v>0</v>
      </c>
      <c r="C41" s="221">
        <v>185348.24</v>
      </c>
      <c r="D41" s="221">
        <v>-173130.57</v>
      </c>
      <c r="E41" s="248">
        <v>5685.3399999999992</v>
      </c>
      <c r="F41" s="231">
        <f>SUM(B41:E41)</f>
        <v>17903.009999999984</v>
      </c>
      <c r="G41" s="247">
        <f>ROUND(F41/24*1,2)</f>
        <v>745.96</v>
      </c>
    </row>
    <row r="42" spans="1:7" s="46" customFormat="1" x14ac:dyDescent="0.35">
      <c r="A42" s="20" t="s">
        <v>5</v>
      </c>
      <c r="B42" s="222">
        <f t="shared" ref="B42:G42" si="18">SUM(B40:B41)</f>
        <v>0</v>
      </c>
      <c r="C42" s="222">
        <f t="shared" si="18"/>
        <v>-2847.5800000000163</v>
      </c>
      <c r="D42" s="222">
        <f t="shared" si="18"/>
        <v>-693320.98</v>
      </c>
      <c r="E42" s="249">
        <f t="shared" si="18"/>
        <v>-13705.990000000002</v>
      </c>
      <c r="F42" s="222">
        <f t="shared" si="18"/>
        <v>-709874.54999999993</v>
      </c>
      <c r="G42" s="250">
        <f t="shared" si="18"/>
        <v>-29578.11</v>
      </c>
    </row>
    <row r="43" spans="1:7" s="46" customFormat="1" x14ac:dyDescent="0.35">
      <c r="B43" s="219"/>
      <c r="C43" s="219"/>
      <c r="D43" s="220"/>
    </row>
    <row r="44" spans="1:7" s="46" customFormat="1" x14ac:dyDescent="0.35">
      <c r="A44" s="20" t="s">
        <v>107</v>
      </c>
      <c r="B44" s="25">
        <v>0</v>
      </c>
      <c r="C44" s="25">
        <v>87398.02</v>
      </c>
      <c r="D44" s="25">
        <v>-76386.149999999994</v>
      </c>
      <c r="E44" s="221">
        <v>2490.44</v>
      </c>
      <c r="F44" s="222">
        <f t="shared" ref="F44:F46" si="19">SUM(B44:E44)</f>
        <v>13502.31000000001</v>
      </c>
      <c r="G44" s="257">
        <f>ROUND(F44/24*1,2)</f>
        <v>562.6</v>
      </c>
    </row>
    <row r="45" spans="1:7" s="46" customFormat="1" x14ac:dyDescent="0.35">
      <c r="A45" s="20" t="s">
        <v>108</v>
      </c>
      <c r="B45" s="25">
        <v>0</v>
      </c>
      <c r="C45" s="25">
        <v>89708.28</v>
      </c>
      <c r="D45" s="25">
        <v>-84622.720000000001</v>
      </c>
      <c r="E45" s="25">
        <v>2915.7</v>
      </c>
      <c r="F45" s="222">
        <f t="shared" si="19"/>
        <v>8001.2599999999975</v>
      </c>
      <c r="G45" s="257">
        <f>ROUND(F45/24*1,2)</f>
        <v>333.39</v>
      </c>
    </row>
    <row r="46" spans="1:7" s="46" customFormat="1" x14ac:dyDescent="0.35">
      <c r="A46" s="20" t="s">
        <v>109</v>
      </c>
      <c r="B46" s="221">
        <v>0</v>
      </c>
      <c r="C46" s="25">
        <v>8241.94</v>
      </c>
      <c r="D46" s="221">
        <v>-12121.7</v>
      </c>
      <c r="E46" s="221">
        <v>279.2</v>
      </c>
      <c r="F46" s="222">
        <f t="shared" si="19"/>
        <v>-3600.5600000000004</v>
      </c>
      <c r="G46" s="257">
        <f>ROUND(F46/24*1,2)</f>
        <v>-150.02000000000001</v>
      </c>
    </row>
    <row r="47" spans="1:7" s="46" customFormat="1" x14ac:dyDescent="0.35">
      <c r="A47" s="30" t="s">
        <v>111</v>
      </c>
      <c r="B47" s="222">
        <f>SUM(B44:B46)</f>
        <v>0</v>
      </c>
      <c r="C47" s="222">
        <f>SUM(C44:C46)</f>
        <v>185348.24</v>
      </c>
      <c r="D47" s="222">
        <f t="shared" ref="D47:G47" si="20">SUM(D44:D46)</f>
        <v>-173130.57</v>
      </c>
      <c r="E47" s="222">
        <f t="shared" si="20"/>
        <v>5685.3399999999992</v>
      </c>
      <c r="F47" s="222">
        <f t="shared" si="20"/>
        <v>17903.010000000006</v>
      </c>
      <c r="G47" s="222">
        <f t="shared" si="20"/>
        <v>745.97</v>
      </c>
    </row>
    <row r="48" spans="1:7" s="46" customFormat="1" x14ac:dyDescent="0.35">
      <c r="A48" s="30"/>
      <c r="B48" s="251"/>
      <c r="C48" s="251"/>
      <c r="D48" s="251"/>
      <c r="E48" s="251"/>
      <c r="F48" s="251"/>
      <c r="G48" s="251"/>
    </row>
    <row r="49" spans="1:7" s="46" customFormat="1" x14ac:dyDescent="0.35">
      <c r="A49" s="255" t="s">
        <v>165</v>
      </c>
      <c r="B49" s="70"/>
      <c r="C49" s="70"/>
      <c r="D49" s="152"/>
    </row>
    <row r="50" spans="1:7" s="46" customFormat="1" x14ac:dyDescent="0.35">
      <c r="A50" s="20" t="s">
        <v>24</v>
      </c>
      <c r="B50" s="25">
        <v>0</v>
      </c>
      <c r="C50" s="25">
        <v>0</v>
      </c>
      <c r="D50" s="25">
        <v>0</v>
      </c>
      <c r="E50" s="246">
        <v>-10950.18</v>
      </c>
      <c r="F50" s="231">
        <f>SUM(B50:E50)</f>
        <v>-10950.18</v>
      </c>
      <c r="G50" s="247">
        <f>ROUND(F50/24*7,2)</f>
        <v>-3193.8</v>
      </c>
    </row>
    <row r="51" spans="1:7" s="46" customFormat="1" x14ac:dyDescent="0.35">
      <c r="A51" s="20" t="s">
        <v>25</v>
      </c>
      <c r="B51" s="221">
        <v>0</v>
      </c>
      <c r="C51" s="221">
        <v>0</v>
      </c>
      <c r="D51" s="221">
        <v>0</v>
      </c>
      <c r="E51" s="248">
        <v>1989.22</v>
      </c>
      <c r="F51" s="231">
        <f>SUM(B51:E51)</f>
        <v>1989.22</v>
      </c>
      <c r="G51" s="247">
        <f>SUM(G54:G56)</f>
        <v>580.18999999999994</v>
      </c>
    </row>
    <row r="52" spans="1:7" s="46" customFormat="1" x14ac:dyDescent="0.35">
      <c r="A52" s="20" t="s">
        <v>5</v>
      </c>
      <c r="B52" s="222">
        <f t="shared" ref="B52:G52" si="21">SUM(B50:B51)</f>
        <v>0</v>
      </c>
      <c r="C52" s="222">
        <f t="shared" si="21"/>
        <v>0</v>
      </c>
      <c r="D52" s="222">
        <f t="shared" si="21"/>
        <v>0</v>
      </c>
      <c r="E52" s="249">
        <f t="shared" si="21"/>
        <v>-8960.9600000000009</v>
      </c>
      <c r="F52" s="222">
        <f t="shared" si="21"/>
        <v>-8960.9600000000009</v>
      </c>
      <c r="G52" s="250">
        <f t="shared" si="21"/>
        <v>-2613.61</v>
      </c>
    </row>
    <row r="53" spans="1:7" s="46" customFormat="1" x14ac:dyDescent="0.35">
      <c r="B53" s="219"/>
      <c r="C53" s="219"/>
      <c r="D53" s="220"/>
    </row>
    <row r="54" spans="1:7" s="46" customFormat="1" x14ac:dyDescent="0.35">
      <c r="A54" s="20" t="s">
        <v>107</v>
      </c>
      <c r="B54" s="25">
        <v>0</v>
      </c>
      <c r="C54" s="25">
        <v>0</v>
      </c>
      <c r="D54" s="25">
        <v>0</v>
      </c>
      <c r="E54" s="221">
        <v>869.87</v>
      </c>
      <c r="F54" s="222">
        <f t="shared" ref="F54:F56" si="22">SUM(B54:E54)</f>
        <v>869.87</v>
      </c>
      <c r="G54" s="257">
        <f>ROUND(F54/24*7,2)</f>
        <v>253.71</v>
      </c>
    </row>
    <row r="55" spans="1:7" s="46" customFormat="1" x14ac:dyDescent="0.35">
      <c r="A55" s="20" t="s">
        <v>108</v>
      </c>
      <c r="B55" s="25">
        <v>0</v>
      </c>
      <c r="C55" s="25">
        <v>0</v>
      </c>
      <c r="D55" s="25">
        <v>0</v>
      </c>
      <c r="E55" s="25">
        <v>1045.55</v>
      </c>
      <c r="F55" s="222">
        <f t="shared" si="22"/>
        <v>1045.55</v>
      </c>
      <c r="G55" s="257">
        <f>ROUND(F55/24*7,2)</f>
        <v>304.95</v>
      </c>
    </row>
    <row r="56" spans="1:7" s="46" customFormat="1" x14ac:dyDescent="0.35">
      <c r="A56" s="20" t="s">
        <v>109</v>
      </c>
      <c r="B56" s="221">
        <v>0</v>
      </c>
      <c r="C56" s="25">
        <v>0</v>
      </c>
      <c r="D56" s="221">
        <v>0</v>
      </c>
      <c r="E56" s="221">
        <v>73.8</v>
      </c>
      <c r="F56" s="222">
        <f t="shared" si="22"/>
        <v>73.8</v>
      </c>
      <c r="G56" s="257">
        <f>ROUND(F56/24*7,2)</f>
        <v>21.53</v>
      </c>
    </row>
    <row r="57" spans="1:7" s="46" customFormat="1" x14ac:dyDescent="0.35">
      <c r="A57" s="30" t="s">
        <v>111</v>
      </c>
      <c r="B57" s="222">
        <f>SUM(B54:B56)</f>
        <v>0</v>
      </c>
      <c r="C57" s="222">
        <f>SUM(C54:C56)</f>
        <v>0</v>
      </c>
      <c r="D57" s="222">
        <f t="shared" ref="D57:G57" si="23">SUM(D54:D56)</f>
        <v>0</v>
      </c>
      <c r="E57" s="222">
        <f t="shared" si="23"/>
        <v>1989.22</v>
      </c>
      <c r="F57" s="222">
        <f t="shared" si="23"/>
        <v>1989.22</v>
      </c>
      <c r="G57" s="222">
        <f t="shared" si="23"/>
        <v>580.18999999999994</v>
      </c>
    </row>
    <row r="58" spans="1:7" s="46" customFormat="1" x14ac:dyDescent="0.35">
      <c r="A58" s="30"/>
      <c r="B58" s="251"/>
      <c r="C58" s="251"/>
      <c r="D58" s="251"/>
      <c r="E58" s="251"/>
      <c r="F58" s="251"/>
      <c r="G58" s="251"/>
    </row>
    <row r="59" spans="1:7" s="46" customFormat="1" x14ac:dyDescent="0.35">
      <c r="A59" s="255" t="s">
        <v>167</v>
      </c>
      <c r="B59" s="70"/>
      <c r="C59" s="70"/>
      <c r="D59" s="152"/>
    </row>
    <row r="60" spans="1:7" s="46" customFormat="1" x14ac:dyDescent="0.35">
      <c r="A60" s="20" t="s">
        <v>24</v>
      </c>
      <c r="B60" s="25">
        <v>0</v>
      </c>
      <c r="C60" s="25">
        <v>0</v>
      </c>
      <c r="D60" s="25">
        <v>0</v>
      </c>
      <c r="E60" s="246">
        <v>-12711.64</v>
      </c>
      <c r="F60" s="231">
        <f>SUM(B60:E60)</f>
        <v>-12711.64</v>
      </c>
      <c r="G60" s="247">
        <f>ROUND(F60/24*12,2)</f>
        <v>-6355.82</v>
      </c>
    </row>
    <row r="61" spans="1:7" s="46" customFormat="1" x14ac:dyDescent="0.35">
      <c r="A61" s="20" t="s">
        <v>25</v>
      </c>
      <c r="B61" s="221">
        <v>0</v>
      </c>
      <c r="C61" s="221">
        <v>0</v>
      </c>
      <c r="D61" s="221">
        <v>0</v>
      </c>
      <c r="E61" s="248">
        <v>935.53000000000009</v>
      </c>
      <c r="F61" s="231">
        <f>SUM(B61:E61)</f>
        <v>935.53000000000009</v>
      </c>
      <c r="G61" s="247">
        <f>SUM(G64:G66)</f>
        <v>467.77000000000004</v>
      </c>
    </row>
    <row r="62" spans="1:7" s="46" customFormat="1" x14ac:dyDescent="0.35">
      <c r="A62" s="20" t="s">
        <v>5</v>
      </c>
      <c r="B62" s="222">
        <f t="shared" ref="B62:G62" si="24">SUM(B60:B61)</f>
        <v>0</v>
      </c>
      <c r="C62" s="222">
        <f t="shared" si="24"/>
        <v>0</v>
      </c>
      <c r="D62" s="222">
        <f t="shared" si="24"/>
        <v>0</v>
      </c>
      <c r="E62" s="249">
        <f t="shared" si="24"/>
        <v>-11776.109999999999</v>
      </c>
      <c r="F62" s="222">
        <f t="shared" si="24"/>
        <v>-11776.109999999999</v>
      </c>
      <c r="G62" s="250">
        <f t="shared" si="24"/>
        <v>-5888.0499999999993</v>
      </c>
    </row>
    <row r="63" spans="1:7" s="46" customFormat="1" x14ac:dyDescent="0.35">
      <c r="B63" s="219"/>
      <c r="C63" s="219"/>
      <c r="D63" s="220"/>
    </row>
    <row r="64" spans="1:7" s="46" customFormat="1" x14ac:dyDescent="0.35">
      <c r="A64" s="20" t="s">
        <v>107</v>
      </c>
      <c r="B64" s="25">
        <v>0</v>
      </c>
      <c r="C64" s="25">
        <v>0</v>
      </c>
      <c r="D64" s="25">
        <v>0</v>
      </c>
      <c r="E64" s="221">
        <v>463.05</v>
      </c>
      <c r="F64" s="222">
        <f t="shared" ref="F64:F66" si="25">SUM(B64:E64)</f>
        <v>463.05</v>
      </c>
      <c r="G64" s="257">
        <f>ROUND(F64/24*12,2)</f>
        <v>231.53</v>
      </c>
    </row>
    <row r="65" spans="1:7" s="46" customFormat="1" x14ac:dyDescent="0.35">
      <c r="A65" s="20" t="s">
        <v>108</v>
      </c>
      <c r="B65" s="25">
        <v>0</v>
      </c>
      <c r="C65" s="25">
        <v>0</v>
      </c>
      <c r="D65" s="25">
        <v>0</v>
      </c>
      <c r="E65" s="25">
        <v>489.36</v>
      </c>
      <c r="F65" s="222">
        <f t="shared" si="25"/>
        <v>489.36</v>
      </c>
      <c r="G65" s="257">
        <f>ROUND(F65/24*12,2)</f>
        <v>244.68</v>
      </c>
    </row>
    <row r="66" spans="1:7" s="46" customFormat="1" x14ac:dyDescent="0.35">
      <c r="A66" s="20" t="s">
        <v>109</v>
      </c>
      <c r="B66" s="221">
        <v>0</v>
      </c>
      <c r="C66" s="25">
        <v>0</v>
      </c>
      <c r="D66" s="221">
        <v>0</v>
      </c>
      <c r="E66" s="221">
        <v>-16.88</v>
      </c>
      <c r="F66" s="222">
        <f t="shared" si="25"/>
        <v>-16.88</v>
      </c>
      <c r="G66" s="257">
        <f>ROUND(F66/24*12,2)</f>
        <v>-8.44</v>
      </c>
    </row>
    <row r="67" spans="1:7" s="46" customFormat="1" x14ac:dyDescent="0.35">
      <c r="A67" s="30" t="s">
        <v>111</v>
      </c>
      <c r="B67" s="222">
        <f>SUM(B64:B66)</f>
        <v>0</v>
      </c>
      <c r="C67" s="222">
        <f>SUM(C64:C66)</f>
        <v>0</v>
      </c>
      <c r="D67" s="222">
        <f t="shared" ref="D67:G67" si="26">SUM(D64:D66)</f>
        <v>0</v>
      </c>
      <c r="E67" s="222">
        <f t="shared" si="26"/>
        <v>935.53000000000009</v>
      </c>
      <c r="F67" s="222">
        <f t="shared" si="26"/>
        <v>935.53000000000009</v>
      </c>
      <c r="G67" s="222">
        <f t="shared" si="26"/>
        <v>467.77000000000004</v>
      </c>
    </row>
    <row r="68" spans="1:7" s="46" customFormat="1" x14ac:dyDescent="0.35">
      <c r="A68" s="30"/>
      <c r="B68" s="251"/>
      <c r="C68" s="251"/>
      <c r="D68" s="251"/>
      <c r="E68" s="251"/>
      <c r="F68" s="251"/>
      <c r="G68" s="251"/>
    </row>
    <row r="69" spans="1:7" s="46" customFormat="1" x14ac:dyDescent="0.35">
      <c r="A69" s="300" t="s">
        <v>180</v>
      </c>
      <c r="B69" s="70"/>
      <c r="C69" s="70"/>
      <c r="D69" s="152"/>
    </row>
    <row r="70" spans="1:7" s="46" customFormat="1" x14ac:dyDescent="0.35">
      <c r="A70" s="20" t="s">
        <v>24</v>
      </c>
      <c r="B70" s="25">
        <v>0</v>
      </c>
      <c r="C70" s="25">
        <v>0</v>
      </c>
      <c r="D70" s="25">
        <v>0</v>
      </c>
      <c r="E70" s="246">
        <v>-3947.6</v>
      </c>
      <c r="F70" s="231">
        <f>SUM(B70:E70)</f>
        <v>-3947.6</v>
      </c>
      <c r="G70" s="247">
        <f>ROUND(F70/24*12,2)</f>
        <v>-1973.8</v>
      </c>
    </row>
    <row r="71" spans="1:7" s="46" customFormat="1" x14ac:dyDescent="0.35">
      <c r="A71" s="20" t="s">
        <v>25</v>
      </c>
      <c r="B71" s="221">
        <v>0</v>
      </c>
      <c r="C71" s="221">
        <v>0</v>
      </c>
      <c r="D71" s="221">
        <v>0</v>
      </c>
      <c r="E71" s="248">
        <v>-980.94</v>
      </c>
      <c r="F71" s="231">
        <f>SUM(B71:E71)</f>
        <v>-980.94</v>
      </c>
      <c r="G71" s="247">
        <f>SUM(G74:G76)</f>
        <v>-490.48</v>
      </c>
    </row>
    <row r="72" spans="1:7" s="46" customFormat="1" x14ac:dyDescent="0.35">
      <c r="A72" s="20" t="s">
        <v>5</v>
      </c>
      <c r="B72" s="222">
        <f t="shared" ref="B72:G72" si="27">SUM(B70:B71)</f>
        <v>0</v>
      </c>
      <c r="C72" s="222">
        <f t="shared" si="27"/>
        <v>0</v>
      </c>
      <c r="D72" s="222">
        <f t="shared" si="27"/>
        <v>0</v>
      </c>
      <c r="E72" s="249">
        <f t="shared" si="27"/>
        <v>-4928.54</v>
      </c>
      <c r="F72" s="222">
        <f t="shared" si="27"/>
        <v>-4928.54</v>
      </c>
      <c r="G72" s="250">
        <f t="shared" si="27"/>
        <v>-2464.2799999999997</v>
      </c>
    </row>
    <row r="73" spans="1:7" s="46" customFormat="1" x14ac:dyDescent="0.35">
      <c r="B73" s="219"/>
      <c r="C73" s="219"/>
      <c r="D73" s="220"/>
    </row>
    <row r="74" spans="1:7" s="46" customFormat="1" x14ac:dyDescent="0.35">
      <c r="A74" s="20" t="s">
        <v>107</v>
      </c>
      <c r="B74" s="25">
        <v>0</v>
      </c>
      <c r="C74" s="25">
        <v>0</v>
      </c>
      <c r="D74" s="25">
        <v>0</v>
      </c>
      <c r="E74" s="221">
        <v>-353.19</v>
      </c>
      <c r="F74" s="222">
        <f t="shared" ref="F74:F76" si="28">SUM(B74:E74)</f>
        <v>-353.19</v>
      </c>
      <c r="G74" s="257">
        <f>ROUND(F74/24*12,2)</f>
        <v>-176.6</v>
      </c>
    </row>
    <row r="75" spans="1:7" s="46" customFormat="1" x14ac:dyDescent="0.35">
      <c r="A75" s="20" t="s">
        <v>108</v>
      </c>
      <c r="B75" s="25">
        <v>0</v>
      </c>
      <c r="C75" s="25">
        <v>0</v>
      </c>
      <c r="D75" s="25">
        <v>0</v>
      </c>
      <c r="E75" s="25">
        <v>-529.69000000000005</v>
      </c>
      <c r="F75" s="222">
        <f t="shared" si="28"/>
        <v>-529.69000000000005</v>
      </c>
      <c r="G75" s="257">
        <f>ROUND(F75/24*12,2)</f>
        <v>-264.85000000000002</v>
      </c>
    </row>
    <row r="76" spans="1:7" s="46" customFormat="1" x14ac:dyDescent="0.35">
      <c r="A76" s="20" t="s">
        <v>109</v>
      </c>
      <c r="B76" s="221">
        <v>0</v>
      </c>
      <c r="C76" s="25">
        <v>0</v>
      </c>
      <c r="D76" s="221">
        <v>0</v>
      </c>
      <c r="E76" s="221">
        <v>-98.06</v>
      </c>
      <c r="F76" s="222">
        <f t="shared" si="28"/>
        <v>-98.06</v>
      </c>
      <c r="G76" s="257">
        <f>ROUND(F76/24*12,2)</f>
        <v>-49.03</v>
      </c>
    </row>
    <row r="77" spans="1:7" s="46" customFormat="1" x14ac:dyDescent="0.35">
      <c r="A77" s="30" t="s">
        <v>111</v>
      </c>
      <c r="B77" s="222">
        <f>SUM(B74:B76)</f>
        <v>0</v>
      </c>
      <c r="C77" s="222">
        <f>SUM(C74:C76)</f>
        <v>0</v>
      </c>
      <c r="D77" s="222">
        <f t="shared" ref="D77:G77" si="29">SUM(D74:D76)</f>
        <v>0</v>
      </c>
      <c r="E77" s="222">
        <f t="shared" si="29"/>
        <v>-980.94</v>
      </c>
      <c r="F77" s="222">
        <f t="shared" si="29"/>
        <v>-980.94</v>
      </c>
      <c r="G77" s="222">
        <f t="shared" si="29"/>
        <v>-490.48</v>
      </c>
    </row>
    <row r="78" spans="1:7" s="46" customFormat="1" x14ac:dyDescent="0.35">
      <c r="A78" s="30"/>
      <c r="B78" s="251"/>
      <c r="C78" s="251"/>
      <c r="D78" s="251"/>
      <c r="E78" s="251"/>
      <c r="F78" s="251"/>
      <c r="G78" s="251"/>
    </row>
    <row r="79" spans="1:7" s="46" customFormat="1" x14ac:dyDescent="0.35">
      <c r="A79" s="304" t="s">
        <v>187</v>
      </c>
      <c r="B79" s="70"/>
      <c r="C79" s="70"/>
      <c r="D79" s="152"/>
    </row>
    <row r="80" spans="1:7" s="46" customFormat="1" x14ac:dyDescent="0.35">
      <c r="A80" s="20" t="s">
        <v>24</v>
      </c>
      <c r="B80" s="25">
        <v>0</v>
      </c>
      <c r="C80" s="25">
        <f>ROUND('[13]TD EO Ex Post Gross Adj'!$CE$363+'[14]TD EO Ex Post Gross Adj'!$CE$363,2)</f>
        <v>16223.57</v>
      </c>
      <c r="D80" s="25">
        <f>ROUND('[13]TD EO NTG Adj'!$CE$370+'[14]TD EO NTG Adj'!$CE$370,2)</f>
        <v>-40786.449999999997</v>
      </c>
      <c r="E80" s="246">
        <f>ROUND(SUM('[13]EO TD Carrying Costs'!$CE$55:$CE$55)+SUM('[14]EO TD Carrying Costs'!$CE$55:$CE$55),2)</f>
        <v>-582.32000000000005</v>
      </c>
      <c r="F80" s="231">
        <f>SUM(B80:E80)</f>
        <v>-25145.199999999997</v>
      </c>
      <c r="G80" s="247">
        <f>ROUND(F80/24*11,2)</f>
        <v>-11524.88</v>
      </c>
    </row>
    <row r="81" spans="1:7" s="46" customFormat="1" x14ac:dyDescent="0.35">
      <c r="A81" s="20" t="s">
        <v>25</v>
      </c>
      <c r="B81" s="221">
        <f>SUM(B84:B86)</f>
        <v>0</v>
      </c>
      <c r="C81" s="221">
        <f t="shared" ref="C81:E81" si="30">SUM(C84:C86)</f>
        <v>13804.900000000001</v>
      </c>
      <c r="D81" s="221">
        <f t="shared" si="30"/>
        <v>-13286.16</v>
      </c>
      <c r="E81" s="248">
        <f t="shared" si="30"/>
        <v>-426.90000000000003</v>
      </c>
      <c r="F81" s="231">
        <f>SUM(B81:E81)</f>
        <v>91.840000000001567</v>
      </c>
      <c r="G81" s="247">
        <f>SUM(G84:G86)</f>
        <v>42.099999999999966</v>
      </c>
    </row>
    <row r="82" spans="1:7" s="46" customFormat="1" x14ac:dyDescent="0.35">
      <c r="A82" s="20" t="s">
        <v>5</v>
      </c>
      <c r="B82" s="222">
        <f t="shared" ref="B82:G82" si="31">SUM(B80:B81)</f>
        <v>0</v>
      </c>
      <c r="C82" s="222">
        <f t="shared" si="31"/>
        <v>30028.47</v>
      </c>
      <c r="D82" s="222">
        <f t="shared" si="31"/>
        <v>-54072.61</v>
      </c>
      <c r="E82" s="249">
        <f t="shared" si="31"/>
        <v>-1009.22</v>
      </c>
      <c r="F82" s="222">
        <f t="shared" si="31"/>
        <v>-25053.359999999997</v>
      </c>
      <c r="G82" s="250">
        <f t="shared" si="31"/>
        <v>-11482.779999999999</v>
      </c>
    </row>
    <row r="83" spans="1:7" s="46" customFormat="1" x14ac:dyDescent="0.35">
      <c r="B83" s="219"/>
      <c r="C83" s="219"/>
      <c r="D83" s="220"/>
    </row>
    <row r="84" spans="1:7" s="46" customFormat="1" x14ac:dyDescent="0.35">
      <c r="A84" s="20" t="s">
        <v>107</v>
      </c>
      <c r="B84" s="25">
        <v>0</v>
      </c>
      <c r="C84" s="25">
        <f>ROUND('[13]TD EO Ex Post Gross Adj'!$CE$364+'[14]TD EO Ex Post Gross Adj'!$CE$364,2)</f>
        <v>6127.48</v>
      </c>
      <c r="D84" s="25">
        <f>ROUND('[13]TD EO NTG Adj'!$CE$371+'[14]TD EO NTG Adj'!$CE$371,2)</f>
        <v>-5257.63</v>
      </c>
      <c r="E84" s="221">
        <f>ROUND(SUM('[13]EO TD Carrying Costs'!$CE56:$CE56)+SUM('[14]EO TD Carrying Costs'!$CE56:$CE56),2)</f>
        <v>-160.02000000000001</v>
      </c>
      <c r="F84" s="222">
        <f t="shared" ref="F84:F86" si="32">SUM(B84:E84)</f>
        <v>709.82999999999947</v>
      </c>
      <c r="G84" s="257">
        <f>ROUND(F84/24*11,2)</f>
        <v>325.33999999999997</v>
      </c>
    </row>
    <row r="85" spans="1:7" s="46" customFormat="1" x14ac:dyDescent="0.35">
      <c r="A85" s="20" t="s">
        <v>108</v>
      </c>
      <c r="B85" s="25">
        <v>0</v>
      </c>
      <c r="C85" s="25">
        <f>ROUND('[13]TD EO Ex Post Gross Adj'!$CE$366+'[14]TD EO Ex Post Gross Adj'!$CE$366,2)</f>
        <v>7014.63</v>
      </c>
      <c r="D85" s="25">
        <f>ROUND('[13]TD EO NTG Adj'!$CE$373+'[14]TD EO NTG Adj'!$CE$373,2)</f>
        <v>-6926.28</v>
      </c>
      <c r="E85" s="221">
        <f>ROUND(SUM('[13]EO TD Carrying Costs'!$CE58:$CE58)+SUM('[14]EO TD Carrying Costs'!$CE58:$CE58),2)</f>
        <v>-231.68</v>
      </c>
      <c r="F85" s="222">
        <f t="shared" si="32"/>
        <v>-143.32999999999964</v>
      </c>
      <c r="G85" s="257">
        <f t="shared" ref="G85:G86" si="33">ROUND(F85/24*11,2)</f>
        <v>-65.69</v>
      </c>
    </row>
    <row r="86" spans="1:7" s="46" customFormat="1" x14ac:dyDescent="0.35">
      <c r="A86" s="20" t="s">
        <v>109</v>
      </c>
      <c r="B86" s="221">
        <v>0</v>
      </c>
      <c r="C86" s="25">
        <f>ROUND('[13]TD EO Ex Post Gross Adj'!$CE$367+'[14]TD EO Ex Post Gross Adj'!$CE$367,2)</f>
        <v>662.79</v>
      </c>
      <c r="D86" s="221">
        <f>ROUND('[13]TD EO NTG Adj'!$CE$374+'[14]TD EO NTG Adj'!$CE$374,2)</f>
        <v>-1102.25</v>
      </c>
      <c r="E86" s="221">
        <f>ROUND(SUM('[13]EO TD Carrying Costs'!$CE59:$CE59)+SUM('[14]EO TD Carrying Costs'!$CE59:$CE59),2)</f>
        <v>-35.200000000000003</v>
      </c>
      <c r="F86" s="222">
        <f t="shared" si="32"/>
        <v>-474.66</v>
      </c>
      <c r="G86" s="257">
        <f t="shared" si="33"/>
        <v>-217.55</v>
      </c>
    </row>
    <row r="87" spans="1:7" s="46" customFormat="1" x14ac:dyDescent="0.35">
      <c r="A87" s="30" t="s">
        <v>111</v>
      </c>
      <c r="B87" s="222">
        <f>SUM(B84:B86)</f>
        <v>0</v>
      </c>
      <c r="C87" s="222">
        <f>SUM(C84:C86)</f>
        <v>13804.900000000001</v>
      </c>
      <c r="D87" s="222">
        <f t="shared" ref="D87:G87" si="34">SUM(D84:D86)</f>
        <v>-13286.16</v>
      </c>
      <c r="E87" s="222">
        <f t="shared" si="34"/>
        <v>-426.90000000000003</v>
      </c>
      <c r="F87" s="222">
        <f t="shared" si="34"/>
        <v>91.839999999999748</v>
      </c>
      <c r="G87" s="222">
        <f t="shared" si="34"/>
        <v>42.099999999999966</v>
      </c>
    </row>
    <row r="88" spans="1:7" s="46" customFormat="1" x14ac:dyDescent="0.35">
      <c r="A88" s="30"/>
      <c r="B88" s="251"/>
      <c r="C88" s="251"/>
      <c r="D88" s="251"/>
      <c r="E88" s="251"/>
      <c r="F88" s="251"/>
      <c r="G88" s="251"/>
    </row>
    <row r="89" spans="1:7" x14ac:dyDescent="0.35">
      <c r="A89" s="3" t="s">
        <v>154</v>
      </c>
      <c r="B89" s="46"/>
      <c r="D89" s="46"/>
      <c r="E89" s="46"/>
      <c r="F89" s="46"/>
      <c r="G89" s="46"/>
    </row>
    <row r="90" spans="1:7" x14ac:dyDescent="0.35">
      <c r="A90" s="3" t="s">
        <v>201</v>
      </c>
      <c r="B90" s="46"/>
      <c r="D90" s="46"/>
      <c r="E90" s="46"/>
      <c r="F90" s="46"/>
      <c r="G90" s="46"/>
    </row>
    <row r="91" spans="1:7" x14ac:dyDescent="0.35">
      <c r="A91" s="3" t="s">
        <v>202</v>
      </c>
      <c r="B91" s="46"/>
      <c r="D91" s="46"/>
      <c r="E91" s="46"/>
      <c r="F91" s="46"/>
      <c r="G91" s="46"/>
    </row>
    <row r="92" spans="1:7" x14ac:dyDescent="0.35">
      <c r="A92" s="3" t="s">
        <v>203</v>
      </c>
      <c r="B92" s="46"/>
      <c r="D92" s="46"/>
      <c r="E92" s="46"/>
      <c r="F92" s="46"/>
      <c r="G92" s="46"/>
    </row>
    <row r="93" spans="1:7" s="46" customFormat="1" x14ac:dyDescent="0.35">
      <c r="A93" s="3" t="s">
        <v>155</v>
      </c>
    </row>
    <row r="94" spans="1:7" s="46" customFormat="1" ht="100.5" customHeight="1" x14ac:dyDescent="0.35">
      <c r="A94" s="318" t="s">
        <v>204</v>
      </c>
      <c r="B94" s="318"/>
      <c r="C94" s="318"/>
      <c r="D94" s="318"/>
      <c r="E94" s="318"/>
      <c r="F94" s="318"/>
      <c r="G94" s="318"/>
    </row>
    <row r="95" spans="1:7" x14ac:dyDescent="0.35">
      <c r="A95" s="3"/>
      <c r="B95" s="46"/>
      <c r="D95" s="46"/>
      <c r="E95" s="46"/>
    </row>
    <row r="96" spans="1:7" s="46" customFormat="1" x14ac:dyDescent="0.35">
      <c r="A96" s="3"/>
    </row>
    <row r="97" spans="1:1" x14ac:dyDescent="0.35">
      <c r="A97" s="3"/>
    </row>
  </sheetData>
  <mergeCells count="2">
    <mergeCell ref="B3:D3"/>
    <mergeCell ref="A94:G9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G79"/>
  <sheetViews>
    <sheetView workbookViewId="0">
      <pane xSplit="1" ySplit="4" topLeftCell="B5" activePane="bottomRight" state="frozen"/>
      <selection activeCell="K4" sqref="K4"/>
      <selection pane="topRight" activeCell="K4" sqref="K4"/>
      <selection pane="bottomLeft" activeCell="K4" sqref="K4"/>
      <selection pane="bottomRight" activeCell="L17" sqref="L17"/>
    </sheetView>
  </sheetViews>
  <sheetFormatPr defaultColWidth="8.7265625" defaultRowHeight="14.5" outlineLevelRow="1" x14ac:dyDescent="0.35"/>
  <cols>
    <col min="1" max="1" width="23.7265625" style="46" customWidth="1"/>
    <col min="2" max="2" width="15.26953125" style="46" bestFit="1" customWidth="1"/>
    <col min="3" max="3" width="14.26953125" style="46" customWidth="1"/>
    <col min="4" max="4" width="13.26953125" style="46" bestFit="1" customWidth="1"/>
    <col min="5" max="5" width="9.7265625" style="46" bestFit="1" customWidth="1"/>
    <col min="6" max="6" width="12.54296875" style="46" bestFit="1" customWidth="1"/>
    <col min="7" max="7" width="13.1796875" style="46" customWidth="1"/>
    <col min="8" max="16384" width="8.7265625" style="46"/>
  </cols>
  <sheetData>
    <row r="1" spans="1:7" x14ac:dyDescent="0.35">
      <c r="A1" s="63" t="str">
        <f>+'PPC Cycle 3'!A1</f>
        <v>Evergy Missouri West, Inc. - DSIM Rider Update Filed 06/01/2023</v>
      </c>
    </row>
    <row r="2" spans="1:7" x14ac:dyDescent="0.35">
      <c r="A2" s="9" t="str">
        <f>+'PPC Cycle 3'!A2</f>
        <v>Projections for Cycle 3 July 2023 - June 2024 DSIM</v>
      </c>
    </row>
    <row r="3" spans="1:7" ht="45.75" customHeight="1" x14ac:dyDescent="0.35">
      <c r="B3" s="319" t="s">
        <v>157</v>
      </c>
      <c r="C3" s="319"/>
      <c r="D3" s="319"/>
    </row>
    <row r="4" spans="1:7" ht="87" x14ac:dyDescent="0.35">
      <c r="B4" s="70" t="s">
        <v>100</v>
      </c>
      <c r="C4" s="70" t="s">
        <v>101</v>
      </c>
      <c r="D4" s="70" t="s">
        <v>104</v>
      </c>
      <c r="E4" s="70" t="s">
        <v>102</v>
      </c>
      <c r="F4" s="70" t="s">
        <v>99</v>
      </c>
      <c r="G4" s="70" t="s">
        <v>159</v>
      </c>
    </row>
    <row r="5" spans="1:7" x14ac:dyDescent="0.35">
      <c r="A5" s="20"/>
      <c r="B5" s="70"/>
      <c r="C5" s="70"/>
      <c r="D5" s="153"/>
    </row>
    <row r="6" spans="1:7" x14ac:dyDescent="0.35">
      <c r="A6" s="255" t="s">
        <v>158</v>
      </c>
      <c r="B6" s="70"/>
      <c r="C6" s="70"/>
      <c r="D6" s="152"/>
    </row>
    <row r="7" spans="1:7" x14ac:dyDescent="0.35">
      <c r="A7" s="20" t="s">
        <v>24</v>
      </c>
      <c r="B7" s="231">
        <f t="shared" ref="B7:E7" si="0">+B18+B29+B40+B51+B62</f>
        <v>3671429.3</v>
      </c>
      <c r="C7" s="231">
        <f t="shared" si="0"/>
        <v>513068.61</v>
      </c>
      <c r="D7" s="231">
        <f t="shared" si="0"/>
        <v>-784857.58</v>
      </c>
      <c r="E7" s="231">
        <f t="shared" si="0"/>
        <v>-839.71999999999935</v>
      </c>
      <c r="F7" s="231">
        <f>SUM(B7:E7)</f>
        <v>3398800.6099999994</v>
      </c>
      <c r="G7" s="231">
        <f>+G18+G29+G40+G51+G62</f>
        <v>1592984.28</v>
      </c>
    </row>
    <row r="8" spans="1:7" x14ac:dyDescent="0.35">
      <c r="A8" s="20" t="s">
        <v>25</v>
      </c>
      <c r="B8" s="231">
        <f t="shared" ref="B8:E8" si="1">+B19+B30+B41+B52+B63</f>
        <v>1966622.6700000002</v>
      </c>
      <c r="C8" s="231">
        <f t="shared" si="1"/>
        <v>94663.25</v>
      </c>
      <c r="D8" s="231">
        <f t="shared" si="1"/>
        <v>-127003.98</v>
      </c>
      <c r="E8" s="231">
        <f t="shared" si="1"/>
        <v>-230.61999999999989</v>
      </c>
      <c r="F8" s="231">
        <f>SUM(B8:E8)</f>
        <v>1934051.32</v>
      </c>
      <c r="G8" s="231">
        <f>+G19+G30+G41+G52+G63</f>
        <v>904020.16</v>
      </c>
    </row>
    <row r="9" spans="1:7" x14ac:dyDescent="0.35">
      <c r="A9" s="20" t="s">
        <v>5</v>
      </c>
      <c r="B9" s="222">
        <f t="shared" ref="B9:E9" si="2">SUM(B7:B8)</f>
        <v>5638051.9699999997</v>
      </c>
      <c r="C9" s="222">
        <f t="shared" si="2"/>
        <v>607731.86</v>
      </c>
      <c r="D9" s="222">
        <f t="shared" si="2"/>
        <v>-911861.55999999994</v>
      </c>
      <c r="E9" s="222">
        <f t="shared" si="2"/>
        <v>-1070.3399999999992</v>
      </c>
      <c r="F9" s="222">
        <f t="shared" ref="F9:G9" si="3">SUM(F7:F8)</f>
        <v>5332851.93</v>
      </c>
      <c r="G9" s="222">
        <f t="shared" si="3"/>
        <v>2497004.44</v>
      </c>
    </row>
    <row r="10" spans="1:7" x14ac:dyDescent="0.35">
      <c r="B10" s="219"/>
      <c r="C10" s="219"/>
      <c r="D10" s="220"/>
    </row>
    <row r="11" spans="1:7" x14ac:dyDescent="0.35">
      <c r="A11" s="20" t="s">
        <v>107</v>
      </c>
      <c r="B11" s="222">
        <f t="shared" ref="B11:E13" si="4">+B22+B33+B44+B55+B66</f>
        <v>594632.41999999993</v>
      </c>
      <c r="C11" s="222">
        <f t="shared" si="4"/>
        <v>67717.290000000008</v>
      </c>
      <c r="D11" s="222">
        <f t="shared" si="4"/>
        <v>-56602.45</v>
      </c>
      <c r="E11" s="222">
        <f t="shared" si="4"/>
        <v>341.31999999999994</v>
      </c>
      <c r="F11" s="222">
        <f t="shared" ref="F11:F13" si="5">SUM(B11:E11)</f>
        <v>606088.57999999996</v>
      </c>
      <c r="G11" s="222">
        <f t="shared" ref="G11:G13" si="6">+G22+G33+G44+G55+G66</f>
        <v>234312.77</v>
      </c>
    </row>
    <row r="12" spans="1:7" x14ac:dyDescent="0.35">
      <c r="A12" s="20" t="s">
        <v>108</v>
      </c>
      <c r="B12" s="222">
        <f t="shared" si="4"/>
        <v>894813.16999999993</v>
      </c>
      <c r="C12" s="222">
        <f t="shared" si="4"/>
        <v>23935.97</v>
      </c>
      <c r="D12" s="222">
        <f t="shared" si="4"/>
        <v>-58544.159999999996</v>
      </c>
      <c r="E12" s="222">
        <f t="shared" si="4"/>
        <v>-404.01</v>
      </c>
      <c r="F12" s="222">
        <f t="shared" si="5"/>
        <v>859800.96999999986</v>
      </c>
      <c r="G12" s="222">
        <f t="shared" si="6"/>
        <v>481202.88</v>
      </c>
    </row>
    <row r="13" spans="1:7" x14ac:dyDescent="0.35">
      <c r="A13" s="20" t="s">
        <v>109</v>
      </c>
      <c r="B13" s="222">
        <f t="shared" si="4"/>
        <v>477177.08</v>
      </c>
      <c r="C13" s="222">
        <f t="shared" si="4"/>
        <v>3009.99</v>
      </c>
      <c r="D13" s="222">
        <f t="shared" si="4"/>
        <v>-11857.369999999999</v>
      </c>
      <c r="E13" s="222">
        <f t="shared" si="4"/>
        <v>-167.93</v>
      </c>
      <c r="F13" s="222">
        <f t="shared" si="5"/>
        <v>468161.77</v>
      </c>
      <c r="G13" s="222">
        <f t="shared" si="6"/>
        <v>188504.49000000002</v>
      </c>
    </row>
    <row r="14" spans="1:7" x14ac:dyDescent="0.35">
      <c r="A14" s="30" t="s">
        <v>111</v>
      </c>
      <c r="B14" s="222">
        <f t="shared" ref="B14:E14" si="7">SUM(B11:B13)</f>
        <v>1966622.67</v>
      </c>
      <c r="C14" s="222">
        <f t="shared" si="7"/>
        <v>94663.250000000015</v>
      </c>
      <c r="D14" s="222">
        <f t="shared" si="7"/>
        <v>-127003.97999999998</v>
      </c>
      <c r="E14" s="222">
        <f t="shared" si="7"/>
        <v>-230.62000000000006</v>
      </c>
      <c r="F14" s="222">
        <f t="shared" ref="F14:G14" si="8">SUM(F11:F13)</f>
        <v>1934051.3199999998</v>
      </c>
      <c r="G14" s="222">
        <f t="shared" si="8"/>
        <v>904020.14</v>
      </c>
    </row>
    <row r="15" spans="1:7" x14ac:dyDescent="0.35">
      <c r="A15" s="20"/>
      <c r="B15" s="70"/>
      <c r="C15" s="70"/>
      <c r="D15" s="152"/>
    </row>
    <row r="16" spans="1:7" x14ac:dyDescent="0.35">
      <c r="A16" s="20"/>
      <c r="B16" s="70"/>
      <c r="C16" s="70"/>
      <c r="D16" s="152"/>
    </row>
    <row r="17" spans="1:7" x14ac:dyDescent="0.35">
      <c r="A17" s="255" t="s">
        <v>164</v>
      </c>
      <c r="B17" s="70"/>
      <c r="C17" s="70"/>
      <c r="D17" s="152"/>
    </row>
    <row r="18" spans="1:7" x14ac:dyDescent="0.35">
      <c r="A18" s="20" t="s">
        <v>24</v>
      </c>
      <c r="B18" s="25">
        <f>ROUND('[15]EO Matrix @Meter'!$R$20,2)</f>
        <v>1600473.26</v>
      </c>
      <c r="C18" s="25">
        <f>ROUND(SUM('[16]Ex Post Gross TD Calc'!$E$571:$Z$571),2)</f>
        <v>575236.4</v>
      </c>
      <c r="D18" s="25">
        <f>ROUND(SUM('[16]NTG TD Calc'!$E$436:$Z$436),2)</f>
        <v>-545792.23</v>
      </c>
      <c r="E18" s="246">
        <f>ROUND(SUM('[16]EO TD Carrying Costs'!$C$55:$X$55),2)</f>
        <v>6704.6</v>
      </c>
      <c r="F18" s="231">
        <f>SUM(B18:E18)</f>
        <v>1636622.0300000003</v>
      </c>
      <c r="G18" s="247">
        <f>ROUND(F18/12*0,2)</f>
        <v>0</v>
      </c>
    </row>
    <row r="19" spans="1:7" x14ac:dyDescent="0.35">
      <c r="A19" s="20" t="s">
        <v>25</v>
      </c>
      <c r="B19" s="221">
        <f>SUM(B22:B24)</f>
        <v>893810.55</v>
      </c>
      <c r="C19" s="221">
        <f t="shared" ref="C19:E19" si="9">SUM(C22:C24)</f>
        <v>48777.71</v>
      </c>
      <c r="D19" s="221">
        <f t="shared" si="9"/>
        <v>-18883.82</v>
      </c>
      <c r="E19" s="248">
        <f t="shared" si="9"/>
        <v>299.14999999999998</v>
      </c>
      <c r="F19" s="231">
        <f>SUM(B19:E19)</f>
        <v>924003.59000000008</v>
      </c>
      <c r="G19" s="247">
        <f>ROUND(F19/12*0,2)</f>
        <v>0</v>
      </c>
    </row>
    <row r="20" spans="1:7" x14ac:dyDescent="0.35">
      <c r="A20" s="20" t="s">
        <v>5</v>
      </c>
      <c r="B20" s="222">
        <f t="shared" ref="B20:G20" si="10">SUM(B18:B19)</f>
        <v>2494283.81</v>
      </c>
      <c r="C20" s="222">
        <f t="shared" si="10"/>
        <v>624014.11</v>
      </c>
      <c r="D20" s="222">
        <f t="shared" si="10"/>
        <v>-564676.04999999993</v>
      </c>
      <c r="E20" s="249">
        <f t="shared" si="10"/>
        <v>7003.75</v>
      </c>
      <c r="F20" s="222">
        <f t="shared" si="10"/>
        <v>2560625.62</v>
      </c>
      <c r="G20" s="250">
        <f t="shared" si="10"/>
        <v>0</v>
      </c>
    </row>
    <row r="21" spans="1:7" x14ac:dyDescent="0.35">
      <c r="B21" s="219"/>
      <c r="C21" s="219"/>
      <c r="D21" s="220"/>
    </row>
    <row r="22" spans="1:7" x14ac:dyDescent="0.35">
      <c r="A22" s="20" t="s">
        <v>107</v>
      </c>
      <c r="B22" s="25">
        <f>ROUND('[15]EO Matrix @Meter'!$V$20,2)</f>
        <v>310910.24</v>
      </c>
      <c r="C22" s="25">
        <f>ROUND(SUM('[16]Ex Post Gross TD Calc'!$E$572:$Z$572),2)</f>
        <v>31691.65</v>
      </c>
      <c r="D22" s="25">
        <f>ROUND(SUM('[16]NTG TD Calc'!$E$437:$Z$437),2)</f>
        <v>-8282.43</v>
      </c>
      <c r="E22" s="221">
        <f>ROUND(SUM('[16]EO TD Carrying Costs'!$C$56:$X$56),2)</f>
        <v>207.66</v>
      </c>
      <c r="F22" s="222">
        <f t="shared" ref="F22:F24" si="11">SUM(B22:E22)</f>
        <v>334527.12</v>
      </c>
      <c r="G22" s="257">
        <f>ROUND(F22/12*0,2)</f>
        <v>0</v>
      </c>
    </row>
    <row r="23" spans="1:7" x14ac:dyDescent="0.35">
      <c r="A23" s="20" t="s">
        <v>108</v>
      </c>
      <c r="B23" s="25">
        <f>ROUND('[15]EO Matrix @Meter'!$X$20,2)</f>
        <v>318131.55</v>
      </c>
      <c r="C23" s="25">
        <f>ROUND(SUM('[16]Ex Post Gross TD Calc'!$E$574:$Z$574),2)</f>
        <v>14779.57</v>
      </c>
      <c r="D23" s="25">
        <f>ROUND(SUM('[16]NTG TD Calc'!$E$439:$Z$439),2)</f>
        <v>-5434.16</v>
      </c>
      <c r="E23" s="25">
        <f>ROUND(SUM('[16]EO TD Carrying Costs'!$C$58:$X$58),2)</f>
        <v>118.71</v>
      </c>
      <c r="F23" s="222">
        <f t="shared" si="11"/>
        <v>327595.67000000004</v>
      </c>
      <c r="G23" s="257">
        <f>ROUND(F23/12*0,2)</f>
        <v>0</v>
      </c>
    </row>
    <row r="24" spans="1:7" x14ac:dyDescent="0.35">
      <c r="A24" s="20" t="s">
        <v>109</v>
      </c>
      <c r="B24" s="221">
        <f>ROUND('[15]EO Matrix @Meter'!$Y$20,2)</f>
        <v>264768.76</v>
      </c>
      <c r="C24" s="221">
        <f>ROUND(SUM('[16]Ex Post Gross TD Calc'!$E$575:$Z$575),2)</f>
        <v>2306.4899999999998</v>
      </c>
      <c r="D24" s="221">
        <f>ROUND(SUM('[16]NTG TD Calc'!$E$440:$Z$440),2)</f>
        <v>-5167.2299999999996</v>
      </c>
      <c r="E24" s="221">
        <f>ROUND(SUM('[16]EO TD Carrying Costs'!$C$59:$X$59),2)</f>
        <v>-27.22</v>
      </c>
      <c r="F24" s="222">
        <f t="shared" si="11"/>
        <v>261880.8</v>
      </c>
      <c r="G24" s="257">
        <f>ROUND(F24/12*0,2)</f>
        <v>0</v>
      </c>
    </row>
    <row r="25" spans="1:7" x14ac:dyDescent="0.35">
      <c r="A25" s="30" t="s">
        <v>111</v>
      </c>
      <c r="B25" s="222">
        <f>SUM(B22:B24)</f>
        <v>893810.55</v>
      </c>
      <c r="C25" s="222">
        <f>SUM(C22:C24)</f>
        <v>48777.71</v>
      </c>
      <c r="D25" s="222">
        <f t="shared" ref="D25:G25" si="12">SUM(D22:D24)</f>
        <v>-18883.82</v>
      </c>
      <c r="E25" s="222">
        <f t="shared" si="12"/>
        <v>299.14999999999998</v>
      </c>
      <c r="F25" s="222">
        <f t="shared" si="12"/>
        <v>924003.59000000008</v>
      </c>
      <c r="G25" s="222">
        <f t="shared" si="12"/>
        <v>0</v>
      </c>
    </row>
    <row r="26" spans="1:7" s="39" customFormat="1" x14ac:dyDescent="0.35">
      <c r="A26" s="30"/>
      <c r="B26" s="256"/>
      <c r="C26" s="256"/>
      <c r="D26" s="256"/>
      <c r="E26" s="256"/>
      <c r="F26" s="256"/>
      <c r="G26" s="256"/>
    </row>
    <row r="27" spans="1:7" s="39" customFormat="1" x14ac:dyDescent="0.35">
      <c r="A27" s="30"/>
      <c r="B27" s="256"/>
      <c r="C27" s="256"/>
      <c r="D27" s="256"/>
      <c r="E27" s="256"/>
      <c r="F27" s="256"/>
      <c r="G27" s="256"/>
    </row>
    <row r="28" spans="1:7" x14ac:dyDescent="0.35">
      <c r="A28" s="296" t="s">
        <v>171</v>
      </c>
      <c r="B28" s="70"/>
      <c r="C28" s="70"/>
      <c r="D28" s="152"/>
    </row>
    <row r="29" spans="1:7" x14ac:dyDescent="0.35">
      <c r="A29" s="20" t="s">
        <v>24</v>
      </c>
      <c r="B29" s="25"/>
      <c r="C29" s="25">
        <f>ROUND(SUM('[16]Ex Post Gross TD Calc'!$AA$571:$AF$571),2)</f>
        <v>62492.85</v>
      </c>
      <c r="D29" s="25">
        <f>ROUND(SUM('[16]NTG TD Calc'!$AA$436:$AF$436),2)</f>
        <v>-64533.46</v>
      </c>
      <c r="E29" s="246">
        <f>ROUND(SUM('[16]EO TD Carrying Costs'!$Y$55:$AD$55),2)</f>
        <v>183.74</v>
      </c>
      <c r="F29" s="231">
        <f>SUM(B29:E29)</f>
        <v>-1856.8700000000006</v>
      </c>
      <c r="G29" s="247">
        <f>ROUND(F29/12*1,2)</f>
        <v>-154.74</v>
      </c>
    </row>
    <row r="30" spans="1:7" x14ac:dyDescent="0.35">
      <c r="A30" s="20" t="s">
        <v>25</v>
      </c>
      <c r="B30" s="221"/>
      <c r="C30" s="221">
        <f t="shared" ref="C30:E30" si="13">SUM(C33:C35)</f>
        <v>16556.97</v>
      </c>
      <c r="D30" s="221">
        <f t="shared" si="13"/>
        <v>-2227.92</v>
      </c>
      <c r="E30" s="248">
        <f t="shared" si="13"/>
        <v>448.56</v>
      </c>
      <c r="F30" s="231">
        <f>SUM(B30:E30)</f>
        <v>14777.61</v>
      </c>
      <c r="G30" s="247">
        <f>ROUND(F30/12*1,2)</f>
        <v>1231.47</v>
      </c>
    </row>
    <row r="31" spans="1:7" x14ac:dyDescent="0.35">
      <c r="A31" s="20" t="s">
        <v>5</v>
      </c>
      <c r="B31" s="222">
        <f t="shared" ref="B31:G31" si="14">SUM(B29:B30)</f>
        <v>0</v>
      </c>
      <c r="C31" s="222">
        <f t="shared" si="14"/>
        <v>79049.820000000007</v>
      </c>
      <c r="D31" s="222">
        <f t="shared" si="14"/>
        <v>-66761.38</v>
      </c>
      <c r="E31" s="249">
        <f t="shared" si="14"/>
        <v>632.29999999999995</v>
      </c>
      <c r="F31" s="222">
        <f t="shared" si="14"/>
        <v>12920.74</v>
      </c>
      <c r="G31" s="250">
        <f t="shared" si="14"/>
        <v>1076.73</v>
      </c>
    </row>
    <row r="32" spans="1:7" x14ac:dyDescent="0.35">
      <c r="B32" s="219"/>
      <c r="C32" s="219"/>
      <c r="D32" s="220"/>
    </row>
    <row r="33" spans="1:7" x14ac:dyDescent="0.35">
      <c r="A33" s="20" t="s">
        <v>107</v>
      </c>
      <c r="B33" s="25"/>
      <c r="C33" s="25">
        <f>ROUND(SUM('[16]Ex Post Gross TD Calc'!$AA$572:$AF$572),2)</f>
        <v>10068.67</v>
      </c>
      <c r="D33" s="25">
        <f>ROUND(SUM('[16]NTG TD Calc'!$AA$437:$AF$437),2)</f>
        <v>-753.09</v>
      </c>
      <c r="E33" s="221">
        <f>ROUND(SUM('[16]EO TD Carrying Costs'!$Y$56:$AD$56),2)</f>
        <v>344.55</v>
      </c>
      <c r="F33" s="222">
        <f t="shared" ref="F33:F35" si="15">SUM(B33:E33)</f>
        <v>9660.1299999999992</v>
      </c>
      <c r="G33" s="257">
        <f>ROUND(F33/12*1,2)</f>
        <v>805.01</v>
      </c>
    </row>
    <row r="34" spans="1:7" x14ac:dyDescent="0.35">
      <c r="A34" s="20" t="s">
        <v>108</v>
      </c>
      <c r="B34" s="25"/>
      <c r="C34" s="25">
        <f>ROUND(SUM('[16]Ex Post Gross TD Calc'!$AA$574:$AF$574),2)</f>
        <v>5538.26</v>
      </c>
      <c r="D34" s="25">
        <f>ROUND(SUM('[16]NTG TD Calc'!$AA$439:$AF$439),2)</f>
        <v>-759.03</v>
      </c>
      <c r="E34" s="25">
        <f>ROUND(SUM('[16]EO TD Carrying Costs'!$Y$58:$AD$58),2)</f>
        <v>142</v>
      </c>
      <c r="F34" s="222">
        <f t="shared" si="15"/>
        <v>4921.2300000000005</v>
      </c>
      <c r="G34" s="257">
        <f>ROUND(F34/12*1,2)</f>
        <v>410.1</v>
      </c>
    </row>
    <row r="35" spans="1:7" x14ac:dyDescent="0.35">
      <c r="A35" s="20" t="s">
        <v>109</v>
      </c>
      <c r="B35" s="221"/>
      <c r="C35" s="221">
        <f>ROUND(SUM('[16]Ex Post Gross TD Calc'!$AA$575:$AF$575),2)</f>
        <v>950.04</v>
      </c>
      <c r="D35" s="221">
        <f>ROUND(SUM('[16]NTG TD Calc'!$AA$440:$AF$440),2)</f>
        <v>-715.8</v>
      </c>
      <c r="E35" s="221">
        <f>ROUND(SUM('[16]EO TD Carrying Costs'!$Y$59:$AD$59),2)</f>
        <v>-37.99</v>
      </c>
      <c r="F35" s="222">
        <f t="shared" si="15"/>
        <v>196.25</v>
      </c>
      <c r="G35" s="257">
        <f>ROUND(F35/12*1,2)</f>
        <v>16.350000000000001</v>
      </c>
    </row>
    <row r="36" spans="1:7" x14ac:dyDescent="0.35">
      <c r="A36" s="30" t="s">
        <v>111</v>
      </c>
      <c r="B36" s="222">
        <f>SUM(B33:B35)</f>
        <v>0</v>
      </c>
      <c r="C36" s="222">
        <f>SUM(C33:C35)</f>
        <v>16556.97</v>
      </c>
      <c r="D36" s="222">
        <f t="shared" ref="D36:G36" si="16">SUM(D33:D35)</f>
        <v>-2227.92</v>
      </c>
      <c r="E36" s="222">
        <f t="shared" si="16"/>
        <v>448.56</v>
      </c>
      <c r="F36" s="222">
        <f t="shared" si="16"/>
        <v>14777.61</v>
      </c>
      <c r="G36" s="222">
        <f t="shared" si="16"/>
        <v>1231.46</v>
      </c>
    </row>
    <row r="37" spans="1:7" x14ac:dyDescent="0.35">
      <c r="A37" s="30"/>
      <c r="B37" s="251"/>
      <c r="C37" s="251"/>
      <c r="D37" s="251"/>
      <c r="E37" s="251"/>
      <c r="F37" s="251"/>
      <c r="G37" s="251"/>
    </row>
    <row r="38" spans="1:7" s="39" customFormat="1" x14ac:dyDescent="0.35">
      <c r="A38" s="30"/>
      <c r="B38" s="256"/>
      <c r="C38" s="256"/>
      <c r="D38" s="256"/>
      <c r="E38" s="256"/>
      <c r="F38" s="256"/>
      <c r="G38" s="256"/>
    </row>
    <row r="39" spans="1:7" x14ac:dyDescent="0.35">
      <c r="A39" s="301" t="s">
        <v>178</v>
      </c>
      <c r="B39" s="70"/>
      <c r="C39" s="70"/>
      <c r="D39" s="152"/>
    </row>
    <row r="40" spans="1:7" x14ac:dyDescent="0.35">
      <c r="A40" s="20" t="s">
        <v>24</v>
      </c>
      <c r="B40" s="25">
        <v>0</v>
      </c>
      <c r="C40" s="25">
        <f>ROUND(SUM('[16]Ex Post Gross TD Calc'!$AG$571:$AM$571),2)</f>
        <v>71150.52</v>
      </c>
      <c r="D40" s="25">
        <f>ROUND(SUM('[16]NTG TD Calc'!$AG$436:$AM$436),2)</f>
        <v>-0.01</v>
      </c>
      <c r="E40" s="246">
        <f>ROUND(SUM('[16]EO TD Carrying Costs'!$AE$55:$AK$55),2)</f>
        <v>529.91999999999996</v>
      </c>
      <c r="F40" s="231">
        <f>SUM(B40:E40)</f>
        <v>71680.430000000008</v>
      </c>
      <c r="G40" s="247">
        <f>ROUND(F40/12*7,2)</f>
        <v>41813.58</v>
      </c>
    </row>
    <row r="41" spans="1:7" x14ac:dyDescent="0.35">
      <c r="A41" s="20" t="s">
        <v>25</v>
      </c>
      <c r="B41" s="221">
        <v>0</v>
      </c>
      <c r="C41" s="221">
        <f t="shared" ref="C41:E41" si="17">SUM(C44:C46)</f>
        <v>28197.040000000001</v>
      </c>
      <c r="D41" s="221">
        <f t="shared" si="17"/>
        <v>-0.02</v>
      </c>
      <c r="E41" s="248">
        <f t="shared" si="17"/>
        <v>429.76000000000005</v>
      </c>
      <c r="F41" s="231">
        <f>SUM(B41:E41)</f>
        <v>28626.78</v>
      </c>
      <c r="G41" s="247">
        <f>ROUND(F41/12*7,2)</f>
        <v>16698.96</v>
      </c>
    </row>
    <row r="42" spans="1:7" x14ac:dyDescent="0.35">
      <c r="A42" s="20" t="s">
        <v>5</v>
      </c>
      <c r="B42" s="222">
        <f t="shared" ref="B42:G42" si="18">SUM(B40:B41)</f>
        <v>0</v>
      </c>
      <c r="C42" s="222">
        <f t="shared" si="18"/>
        <v>99347.56</v>
      </c>
      <c r="D42" s="222">
        <f t="shared" si="18"/>
        <v>-0.03</v>
      </c>
      <c r="E42" s="249">
        <f t="shared" si="18"/>
        <v>959.68000000000006</v>
      </c>
      <c r="F42" s="222">
        <f t="shared" si="18"/>
        <v>100307.21</v>
      </c>
      <c r="G42" s="250">
        <f t="shared" si="18"/>
        <v>58512.54</v>
      </c>
    </row>
    <row r="43" spans="1:7" x14ac:dyDescent="0.35">
      <c r="B43" s="219"/>
      <c r="C43" s="219"/>
      <c r="D43" s="220"/>
    </row>
    <row r="44" spans="1:7" x14ac:dyDescent="0.35">
      <c r="A44" s="20" t="s">
        <v>107</v>
      </c>
      <c r="B44" s="25">
        <v>0</v>
      </c>
      <c r="C44" s="25">
        <f>ROUND(SUM('[16]Ex Post Gross TD Calc'!$AG$572:$AM$572),2)</f>
        <v>19392.560000000001</v>
      </c>
      <c r="D44" s="25">
        <f>ROUND(SUM('[16]NTG TD Calc'!$AG$437:$AM$437),2)</f>
        <v>0</v>
      </c>
      <c r="E44" s="221">
        <f>ROUND(SUM('[16]EO TD Carrying Costs'!$AE$56:$AK$56),2)</f>
        <v>312.8</v>
      </c>
      <c r="F44" s="222">
        <f t="shared" ref="F44:F46" si="19">SUM(B44:E44)</f>
        <v>19705.36</v>
      </c>
      <c r="G44" s="257">
        <f>ROUND(F44/12*7,2)</f>
        <v>11494.79</v>
      </c>
    </row>
    <row r="45" spans="1:7" x14ac:dyDescent="0.35">
      <c r="A45" s="20" t="s">
        <v>108</v>
      </c>
      <c r="B45" s="25">
        <v>0</v>
      </c>
      <c r="C45" s="25">
        <f>ROUND(SUM('[16]Ex Post Gross TD Calc'!$AG$574:$AM$574),2)</f>
        <v>7522.72</v>
      </c>
      <c r="D45" s="25">
        <f>ROUND(SUM('[16]NTG TD Calc'!$AG$439:$AM$439),2)</f>
        <v>-0.02</v>
      </c>
      <c r="E45" s="25">
        <f>ROUND(SUM('[16]EO TD Carrying Costs'!$AE$58:$AK$58),2)</f>
        <v>130.15</v>
      </c>
      <c r="F45" s="222">
        <f t="shared" si="19"/>
        <v>7652.8499999999995</v>
      </c>
      <c r="G45" s="257">
        <f>ROUND(F45/12*7,2)</f>
        <v>4464.16</v>
      </c>
    </row>
    <row r="46" spans="1:7" x14ac:dyDescent="0.35">
      <c r="A46" s="20" t="s">
        <v>109</v>
      </c>
      <c r="B46" s="221">
        <v>0</v>
      </c>
      <c r="C46" s="221">
        <f>ROUND(SUM('[16]Ex Post Gross TD Calc'!$AG$575:$AM$575),2)</f>
        <v>1281.76</v>
      </c>
      <c r="D46" s="221">
        <f>ROUND(SUM('[16]NTG TD Calc'!$AG$440:$AM$440),2)</f>
        <v>0</v>
      </c>
      <c r="E46" s="221">
        <f>ROUND(SUM('[16]EO TD Carrying Costs'!$AE$59:$AK$59),2)</f>
        <v>-13.19</v>
      </c>
      <c r="F46" s="222">
        <f t="shared" si="19"/>
        <v>1268.57</v>
      </c>
      <c r="G46" s="257">
        <f>ROUND(F46/12*7,2)</f>
        <v>740</v>
      </c>
    </row>
    <row r="47" spans="1:7" x14ac:dyDescent="0.35">
      <c r="A47" s="30" t="s">
        <v>111</v>
      </c>
      <c r="B47" s="222">
        <f>SUM(B44:B46)</f>
        <v>0</v>
      </c>
      <c r="C47" s="222">
        <f>SUM(C44:C46)</f>
        <v>28197.040000000001</v>
      </c>
      <c r="D47" s="222">
        <f t="shared" ref="D47:G47" si="20">SUM(D44:D46)</f>
        <v>-0.02</v>
      </c>
      <c r="E47" s="222">
        <f t="shared" si="20"/>
        <v>429.76000000000005</v>
      </c>
      <c r="F47" s="222">
        <f t="shared" si="20"/>
        <v>28626.78</v>
      </c>
      <c r="G47" s="222">
        <f t="shared" si="20"/>
        <v>16698.95</v>
      </c>
    </row>
    <row r="48" spans="1:7" x14ac:dyDescent="0.35">
      <c r="A48" s="30"/>
      <c r="B48" s="251"/>
      <c r="C48" s="251"/>
      <c r="D48" s="251"/>
      <c r="E48" s="251"/>
      <c r="F48" s="251"/>
      <c r="G48" s="251"/>
    </row>
    <row r="49" spans="1:7" s="39" customFormat="1" x14ac:dyDescent="0.35">
      <c r="A49" s="30"/>
      <c r="B49" s="256"/>
      <c r="C49" s="256"/>
      <c r="D49" s="256"/>
      <c r="E49" s="256"/>
      <c r="F49" s="256"/>
      <c r="G49" s="256"/>
    </row>
    <row r="50" spans="1:7" x14ac:dyDescent="0.35">
      <c r="A50" s="301" t="s">
        <v>188</v>
      </c>
      <c r="B50" s="70"/>
      <c r="C50" s="70"/>
      <c r="D50" s="152"/>
    </row>
    <row r="51" spans="1:7" x14ac:dyDescent="0.35">
      <c r="A51" s="20" t="s">
        <v>24</v>
      </c>
      <c r="B51" s="25">
        <f>ROUND('[17]EO Matrix @Meter'!$AL$20,2)</f>
        <v>2070956.04</v>
      </c>
      <c r="C51" s="25">
        <f>ROUND(SUM('[18]Ex Post Gross TD Calc'!$Q$571:$AN$571),2)</f>
        <v>-195811.16</v>
      </c>
      <c r="D51" s="25">
        <f>ROUND(SUM('[18]NTG TD Calc'!$Q$436:$AN$436),2)</f>
        <v>-174531.88</v>
      </c>
      <c r="E51" s="246">
        <f>ROUND(SUM('[18]EO TD Carrying Costs'!$O$55:$AL$55),2)</f>
        <v>-8257.98</v>
      </c>
      <c r="F51" s="231">
        <f>SUM(B51:E51)</f>
        <v>1692355.02</v>
      </c>
      <c r="G51" s="247">
        <f>ROUND(F51/12*11,2)</f>
        <v>1551325.44</v>
      </c>
    </row>
    <row r="52" spans="1:7" x14ac:dyDescent="0.35">
      <c r="A52" s="20" t="s">
        <v>25</v>
      </c>
      <c r="B52" s="221">
        <f>SUM(B55:B57)</f>
        <v>1072812.1200000001</v>
      </c>
      <c r="C52" s="221">
        <f t="shared" ref="C52:E52" si="21">SUM(C55:C57)</f>
        <v>1131.53</v>
      </c>
      <c r="D52" s="221">
        <f t="shared" si="21"/>
        <v>-105892.22</v>
      </c>
      <c r="E52" s="248">
        <f t="shared" si="21"/>
        <v>-1408.09</v>
      </c>
      <c r="F52" s="231">
        <f>SUM(B52:E52)</f>
        <v>966643.3400000002</v>
      </c>
      <c r="G52" s="247">
        <f>ROUND(F52/12*11,2)</f>
        <v>886089.73</v>
      </c>
    </row>
    <row r="53" spans="1:7" x14ac:dyDescent="0.35">
      <c r="A53" s="20" t="s">
        <v>5</v>
      </c>
      <c r="B53" s="222">
        <f t="shared" ref="B53:G53" si="22">SUM(B51:B52)</f>
        <v>3143768.16</v>
      </c>
      <c r="C53" s="222">
        <f t="shared" si="22"/>
        <v>-194679.63</v>
      </c>
      <c r="D53" s="222">
        <f t="shared" si="22"/>
        <v>-280424.09999999998</v>
      </c>
      <c r="E53" s="249">
        <f t="shared" si="22"/>
        <v>-9666.07</v>
      </c>
      <c r="F53" s="222">
        <f t="shared" si="22"/>
        <v>2658998.3600000003</v>
      </c>
      <c r="G53" s="250">
        <f t="shared" si="22"/>
        <v>2437415.17</v>
      </c>
    </row>
    <row r="54" spans="1:7" x14ac:dyDescent="0.35">
      <c r="B54" s="219"/>
      <c r="C54" s="219"/>
      <c r="D54" s="220"/>
    </row>
    <row r="55" spans="1:7" x14ac:dyDescent="0.35">
      <c r="A55" s="20" t="s">
        <v>107</v>
      </c>
      <c r="B55" s="25">
        <f>ROUND('[17]EO Matrix @Meter'!$AP$20,2)</f>
        <v>283722.18</v>
      </c>
      <c r="C55" s="25">
        <f>ROUND(SUM('[18]Ex Post Gross TD Calc'!$Q$572:$AN$572),2)</f>
        <v>6564.41</v>
      </c>
      <c r="D55" s="25">
        <f>ROUND(SUM('[18]NTG TD Calc'!$Q$437:$AN$437),2)</f>
        <v>-47566.93</v>
      </c>
      <c r="E55" s="221">
        <f>ROUND(SUM('[18]EO TD Carrying Costs'!$O$56:$AL$56),2)</f>
        <v>-523.69000000000005</v>
      </c>
      <c r="F55" s="222">
        <f t="shared" ref="F55:F57" si="23">SUM(B55:E55)</f>
        <v>242195.96999999997</v>
      </c>
      <c r="G55" s="257">
        <f t="shared" ref="G55:G57" si="24">ROUND(F55/12*11,2)</f>
        <v>222012.97</v>
      </c>
    </row>
    <row r="56" spans="1:7" x14ac:dyDescent="0.35">
      <c r="A56" s="20" t="s">
        <v>108</v>
      </c>
      <c r="B56" s="25">
        <f>ROUND('[17]EO Matrix @Meter'!$AR$20,2)</f>
        <v>576681.62</v>
      </c>
      <c r="C56" s="25">
        <f>ROUND(SUM('[18]Ex Post Gross TD Calc'!$Q$574:$AN$574),2)</f>
        <v>-3904.58</v>
      </c>
      <c r="D56" s="25">
        <f>ROUND(SUM('[18]NTG TD Calc'!$Q$439:$AN$439),2)</f>
        <v>-52350.95</v>
      </c>
      <c r="E56" s="25">
        <f>ROUND(SUM('[18]EO TD Carrying Costs'!$O$58:$AL$58),2)</f>
        <v>-794.87</v>
      </c>
      <c r="F56" s="222">
        <f t="shared" si="23"/>
        <v>519631.22000000003</v>
      </c>
      <c r="G56" s="257">
        <f t="shared" si="24"/>
        <v>476328.62</v>
      </c>
    </row>
    <row r="57" spans="1:7" x14ac:dyDescent="0.35">
      <c r="A57" s="20" t="s">
        <v>109</v>
      </c>
      <c r="B57" s="221">
        <f>ROUND('[17]EO Matrix @Meter'!$AS$20,2)</f>
        <v>212408.32000000001</v>
      </c>
      <c r="C57" s="25">
        <f>ROUND(SUM('[18]Ex Post Gross TD Calc'!$Q$575:$AN$575),2)</f>
        <v>-1528.3</v>
      </c>
      <c r="D57" s="221">
        <f>ROUND(SUM('[18]NTG TD Calc'!$Q$440:$AN$440),2)</f>
        <v>-5974.34</v>
      </c>
      <c r="E57" s="221">
        <f>ROUND(SUM('[18]EO TD Carrying Costs'!$O$59:$AL$59),2)</f>
        <v>-89.53</v>
      </c>
      <c r="F57" s="222">
        <f t="shared" si="23"/>
        <v>204816.15000000002</v>
      </c>
      <c r="G57" s="257">
        <f t="shared" si="24"/>
        <v>187748.14</v>
      </c>
    </row>
    <row r="58" spans="1:7" x14ac:dyDescent="0.35">
      <c r="A58" s="30" t="s">
        <v>111</v>
      </c>
      <c r="B58" s="222">
        <f>SUM(B55:B57)</f>
        <v>1072812.1200000001</v>
      </c>
      <c r="C58" s="222">
        <f>SUM(C55:C57)</f>
        <v>1131.53</v>
      </c>
      <c r="D58" s="222">
        <f t="shared" ref="D58:G58" si="25">SUM(D55:D57)</f>
        <v>-105892.22</v>
      </c>
      <c r="E58" s="222">
        <f t="shared" si="25"/>
        <v>-1408.09</v>
      </c>
      <c r="F58" s="222">
        <f t="shared" si="25"/>
        <v>966643.34</v>
      </c>
      <c r="G58" s="222">
        <f t="shared" si="25"/>
        <v>886089.73</v>
      </c>
    </row>
    <row r="59" spans="1:7" x14ac:dyDescent="0.35">
      <c r="A59" s="30"/>
      <c r="B59" s="251"/>
      <c r="C59" s="251"/>
      <c r="D59" s="251"/>
      <c r="E59" s="251"/>
      <c r="F59" s="251"/>
      <c r="G59" s="251"/>
    </row>
    <row r="60" spans="1:7" s="39" customFormat="1" hidden="1" outlineLevel="1" x14ac:dyDescent="0.35">
      <c r="A60" s="30"/>
      <c r="B60" s="256"/>
      <c r="C60" s="256"/>
      <c r="D60" s="256"/>
      <c r="E60" s="256"/>
      <c r="F60" s="256"/>
      <c r="G60" s="256"/>
    </row>
    <row r="61" spans="1:7" hidden="1" outlineLevel="1" x14ac:dyDescent="0.35">
      <c r="A61" s="301" t="s">
        <v>160</v>
      </c>
      <c r="B61" s="70"/>
      <c r="C61" s="70"/>
      <c r="D61" s="152"/>
    </row>
    <row r="62" spans="1:7" hidden="1" outlineLevel="1" x14ac:dyDescent="0.35">
      <c r="A62" s="20" t="s">
        <v>24</v>
      </c>
      <c r="B62" s="25">
        <v>0</v>
      </c>
      <c r="C62" s="25"/>
      <c r="D62" s="25"/>
      <c r="E62" s="246"/>
      <c r="F62" s="231">
        <f>SUM(B62:E62)</f>
        <v>0</v>
      </c>
      <c r="G62" s="247">
        <f>ROUND(F62/12*11,2)</f>
        <v>0</v>
      </c>
    </row>
    <row r="63" spans="1:7" hidden="1" outlineLevel="1" x14ac:dyDescent="0.35">
      <c r="A63" s="20" t="s">
        <v>25</v>
      </c>
      <c r="B63" s="221">
        <v>0</v>
      </c>
      <c r="C63" s="221"/>
      <c r="D63" s="221"/>
      <c r="E63" s="248"/>
      <c r="F63" s="231">
        <f>SUM(B63:E63)</f>
        <v>0</v>
      </c>
      <c r="G63" s="247">
        <f>ROUND(F63/12*11,2)</f>
        <v>0</v>
      </c>
    </row>
    <row r="64" spans="1:7" hidden="1" outlineLevel="1" x14ac:dyDescent="0.35">
      <c r="A64" s="20" t="s">
        <v>5</v>
      </c>
      <c r="B64" s="222">
        <f t="shared" ref="B64:G64" si="26">SUM(B62:B63)</f>
        <v>0</v>
      </c>
      <c r="C64" s="222">
        <f t="shared" si="26"/>
        <v>0</v>
      </c>
      <c r="D64" s="222">
        <f t="shared" si="26"/>
        <v>0</v>
      </c>
      <c r="E64" s="249">
        <f t="shared" si="26"/>
        <v>0</v>
      </c>
      <c r="F64" s="222">
        <f t="shared" si="26"/>
        <v>0</v>
      </c>
      <c r="G64" s="250">
        <f t="shared" si="26"/>
        <v>0</v>
      </c>
    </row>
    <row r="65" spans="1:7" hidden="1" outlineLevel="1" x14ac:dyDescent="0.35">
      <c r="B65" s="219"/>
      <c r="C65" s="219"/>
      <c r="D65" s="220"/>
    </row>
    <row r="66" spans="1:7" hidden="1" outlineLevel="1" x14ac:dyDescent="0.35">
      <c r="A66" s="20" t="s">
        <v>107</v>
      </c>
      <c r="B66" s="25">
        <v>0</v>
      </c>
      <c r="C66" s="25"/>
      <c r="D66" s="25"/>
      <c r="E66" s="221"/>
      <c r="F66" s="222">
        <f t="shared" ref="F66:F68" si="27">SUM(B66:E66)</f>
        <v>0</v>
      </c>
      <c r="G66" s="257">
        <f t="shared" ref="G66:G68" si="28">ROUND(F66/12*11,2)</f>
        <v>0</v>
      </c>
    </row>
    <row r="67" spans="1:7" hidden="1" outlineLevel="1" x14ac:dyDescent="0.35">
      <c r="A67" s="20" t="s">
        <v>108</v>
      </c>
      <c r="B67" s="25">
        <v>0</v>
      </c>
      <c r="C67" s="25"/>
      <c r="D67" s="25"/>
      <c r="E67" s="25"/>
      <c r="F67" s="222">
        <f t="shared" si="27"/>
        <v>0</v>
      </c>
      <c r="G67" s="257">
        <f t="shared" si="28"/>
        <v>0</v>
      </c>
    </row>
    <row r="68" spans="1:7" hidden="1" outlineLevel="1" x14ac:dyDescent="0.35">
      <c r="A68" s="20" t="s">
        <v>109</v>
      </c>
      <c r="B68" s="221">
        <v>0</v>
      </c>
      <c r="C68" s="25"/>
      <c r="D68" s="221"/>
      <c r="E68" s="221"/>
      <c r="F68" s="222">
        <f t="shared" si="27"/>
        <v>0</v>
      </c>
      <c r="G68" s="257">
        <f t="shared" si="28"/>
        <v>0</v>
      </c>
    </row>
    <row r="69" spans="1:7" hidden="1" outlineLevel="1" x14ac:dyDescent="0.35">
      <c r="A69" s="30" t="s">
        <v>111</v>
      </c>
      <c r="B69" s="222">
        <f>SUM(B66:B68)</f>
        <v>0</v>
      </c>
      <c r="C69" s="222">
        <f>SUM(C66:C68)</f>
        <v>0</v>
      </c>
      <c r="D69" s="222">
        <f t="shared" ref="D69:G69" si="29">SUM(D66:D68)</f>
        <v>0</v>
      </c>
      <c r="E69" s="222">
        <f t="shared" si="29"/>
        <v>0</v>
      </c>
      <c r="F69" s="222">
        <f t="shared" si="29"/>
        <v>0</v>
      </c>
      <c r="G69" s="222">
        <f t="shared" si="29"/>
        <v>0</v>
      </c>
    </row>
    <row r="70" spans="1:7" collapsed="1" x14ac:dyDescent="0.35">
      <c r="A70" s="30"/>
      <c r="B70" s="251"/>
      <c r="C70" s="251"/>
      <c r="D70" s="251"/>
      <c r="E70" s="251"/>
      <c r="F70" s="251"/>
      <c r="G70" s="251"/>
    </row>
    <row r="71" spans="1:7" x14ac:dyDescent="0.35">
      <c r="A71" s="3" t="s">
        <v>206</v>
      </c>
    </row>
    <row r="72" spans="1:7" x14ac:dyDescent="0.35">
      <c r="A72" s="3" t="s">
        <v>205</v>
      </c>
    </row>
    <row r="73" spans="1:7" x14ac:dyDescent="0.35">
      <c r="A73" s="3" t="s">
        <v>207</v>
      </c>
    </row>
    <row r="74" spans="1:7" x14ac:dyDescent="0.35">
      <c r="A74" s="3" t="s">
        <v>208</v>
      </c>
    </row>
    <row r="75" spans="1:7" x14ac:dyDescent="0.35">
      <c r="A75" s="3" t="s">
        <v>155</v>
      </c>
    </row>
    <row r="76" spans="1:7" ht="63" customHeight="1" x14ac:dyDescent="0.35">
      <c r="A76" s="318" t="s">
        <v>209</v>
      </c>
      <c r="B76" s="318"/>
      <c r="C76" s="318"/>
      <c r="D76" s="318"/>
      <c r="E76" s="318"/>
      <c r="F76" s="318"/>
      <c r="G76" s="318"/>
    </row>
    <row r="77" spans="1:7" x14ac:dyDescent="0.35">
      <c r="A77" s="3"/>
    </row>
    <row r="78" spans="1:7" x14ac:dyDescent="0.35">
      <c r="A78" s="3"/>
    </row>
    <row r="79" spans="1:7" x14ac:dyDescent="0.35">
      <c r="A79" s="3"/>
    </row>
  </sheetData>
  <mergeCells count="2">
    <mergeCell ref="B3:D3"/>
    <mergeCell ref="A76:G76"/>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A34" workbookViewId="0">
      <selection activeCell="O34"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06/01/2023</v>
      </c>
      <c r="B1" s="3"/>
      <c r="C1" s="3"/>
    </row>
    <row r="2" spans="1:34" x14ac:dyDescent="0.35">
      <c r="D2" s="3" t="s">
        <v>140</v>
      </c>
    </row>
    <row r="3" spans="1:34" ht="29" x14ac:dyDescent="0.35">
      <c r="D3" s="48" t="s">
        <v>46</v>
      </c>
      <c r="E3" s="70" t="s">
        <v>58</v>
      </c>
      <c r="F3" s="48" t="s">
        <v>3</v>
      </c>
      <c r="G3" s="70" t="s">
        <v>55</v>
      </c>
      <c r="H3" s="48" t="s">
        <v>10</v>
      </c>
      <c r="I3" s="48" t="s">
        <v>59</v>
      </c>
      <c r="R3" s="48"/>
    </row>
    <row r="4" spans="1:34" x14ac:dyDescent="0.35">
      <c r="A4" s="20" t="s">
        <v>24</v>
      </c>
      <c r="B4" s="20"/>
      <c r="C4" s="20"/>
      <c r="D4" s="22">
        <f>SUM(C18:L18)</f>
        <v>-51443.51901199999</v>
      </c>
      <c r="E4" s="22">
        <f>SUM(C24:K24)</f>
        <v>-222016.17</v>
      </c>
      <c r="F4" s="22">
        <f>E4-D4</f>
        <v>-170572.65098800004</v>
      </c>
      <c r="G4" s="22">
        <f>+B38</f>
        <v>158955.80880799989</v>
      </c>
      <c r="H4" s="22">
        <f>SUM(C45:K45)</f>
        <v>1710.8899999999999</v>
      </c>
      <c r="I4" s="25">
        <f>SUM(F4:H4)</f>
        <v>-9905.952180000153</v>
      </c>
      <c r="J4" s="47">
        <f>+I4-L38</f>
        <v>3.092281986027956E-11</v>
      </c>
      <c r="M4" s="47"/>
    </row>
    <row r="5" spans="1:34" ht="15" thickBot="1" x14ac:dyDescent="0.4">
      <c r="A5" s="20" t="s">
        <v>25</v>
      </c>
      <c r="B5" s="20"/>
      <c r="C5" s="20"/>
      <c r="D5" s="22">
        <f>SUM(C19:L21)</f>
        <v>191977.24191000004</v>
      </c>
      <c r="E5" s="22">
        <f>SUM(C25:K27)</f>
        <v>51347.439999999973</v>
      </c>
      <c r="F5" s="22">
        <f>E5-D5</f>
        <v>-140629.80191000007</v>
      </c>
      <c r="G5" s="22">
        <f>SUM(B39:B41)</f>
        <v>292176.11107000022</v>
      </c>
      <c r="H5" s="22">
        <f>SUM(C46:K48)</f>
        <v>8606.2800000000007</v>
      </c>
      <c r="I5" s="25">
        <f>SUM(F5:H5)</f>
        <v>160152.58916000015</v>
      </c>
      <c r="J5" s="47">
        <f>+I5-SUM(L39:L41)</f>
        <v>0</v>
      </c>
      <c r="M5" s="47"/>
    </row>
    <row r="6" spans="1:34" ht="15.5" thickTop="1" thickBot="1" x14ac:dyDescent="0.4">
      <c r="D6" s="27">
        <f t="shared" ref="D6:I6" si="0">SUM(D4:D5)</f>
        <v>140533.72289800004</v>
      </c>
      <c r="E6" s="27">
        <f t="shared" si="0"/>
        <v>-170668.73000000004</v>
      </c>
      <c r="F6" s="27">
        <f t="shared" si="0"/>
        <v>-311202.45289800013</v>
      </c>
      <c r="G6" s="27">
        <f t="shared" si="0"/>
        <v>451131.9198780001</v>
      </c>
      <c r="H6" s="27">
        <f t="shared" si="0"/>
        <v>10317.17</v>
      </c>
      <c r="I6" s="27">
        <f t="shared" si="0"/>
        <v>150246.63698000001</v>
      </c>
      <c r="S6" s="5"/>
    </row>
    <row r="7" spans="1:34" ht="44" thickTop="1" x14ac:dyDescent="0.35">
      <c r="I7" s="227"/>
      <c r="J7" s="226" t="s">
        <v>122</v>
      </c>
    </row>
    <row r="8" spans="1:34" ht="17.25" customHeight="1" x14ac:dyDescent="0.35">
      <c r="A8" s="20" t="s">
        <v>107</v>
      </c>
      <c r="I8" s="25">
        <f>ROUND($I$5*J8,2)</f>
        <v>62794.69</v>
      </c>
      <c r="J8" s="224">
        <f>+'PCR Cycle 2'!K8</f>
        <v>0.39209287804949344</v>
      </c>
    </row>
    <row r="9" spans="1:34" ht="17.25" customHeight="1" x14ac:dyDescent="0.35">
      <c r="A9" s="20" t="s">
        <v>108</v>
      </c>
      <c r="I9" s="25">
        <f t="shared" ref="I9:I10" si="1">ROUND($I$5*J9,2)</f>
        <v>72766.78</v>
      </c>
      <c r="J9" s="224">
        <f>+'PCR Cycle 2'!K9</f>
        <v>0.45435908608374953</v>
      </c>
    </row>
    <row r="10" spans="1:34" ht="17.25" customHeight="1" thickBot="1" x14ac:dyDescent="0.4">
      <c r="A10" s="20" t="s">
        <v>109</v>
      </c>
      <c r="I10" s="25">
        <f t="shared" si="1"/>
        <v>24591.119999999999</v>
      </c>
      <c r="J10" s="224">
        <f>+'PCR Cycle 2'!K10</f>
        <v>0.15354803586675725</v>
      </c>
    </row>
    <row r="11" spans="1:34" ht="17.25" customHeight="1" thickTop="1" thickBot="1" x14ac:dyDescent="0.4">
      <c r="A11" s="20" t="s">
        <v>111</v>
      </c>
      <c r="I11" s="27">
        <f>SUM(I8:I10)</f>
        <v>160152.59</v>
      </c>
      <c r="J11" s="225">
        <f>SUM(J8:J10)</f>
        <v>1.0000000000000002</v>
      </c>
    </row>
    <row r="12" spans="1:34" ht="15.5" thickTop="1" thickBot="1" x14ac:dyDescent="0.4">
      <c r="U12" s="4"/>
      <c r="V12" s="5"/>
    </row>
    <row r="13" spans="1:34" ht="116.5" thickBot="1" x14ac:dyDescent="0.4">
      <c r="B13" s="118" t="str">
        <f>+'PCR Cycle 2'!B13</f>
        <v>Cumulative Over/Under Carryover From 12/01/2022 Filing</v>
      </c>
      <c r="C13" s="151" t="str">
        <f>+'PCR Cycle 2'!C13</f>
        <v>Reverse November 2022 - January 2023 Forecast From 12/01/2022 Filing</v>
      </c>
      <c r="D13" s="336" t="s">
        <v>33</v>
      </c>
      <c r="E13" s="324"/>
      <c r="F13" s="325"/>
      <c r="G13" s="333" t="s">
        <v>33</v>
      </c>
      <c r="H13" s="334"/>
      <c r="I13" s="335"/>
      <c r="J13" s="320" t="s">
        <v>8</v>
      </c>
      <c r="K13" s="321"/>
      <c r="L13" s="322"/>
    </row>
    <row r="14" spans="1:34" x14ac:dyDescent="0.35">
      <c r="A14" s="46" t="s">
        <v>86</v>
      </c>
      <c r="C14" s="105"/>
      <c r="D14" s="19">
        <f>+'PCR Cycle 2'!D14</f>
        <v>44895</v>
      </c>
      <c r="E14" s="19">
        <f t="shared" ref="E14:L14" si="2">EOMONTH(D14,1)</f>
        <v>44926</v>
      </c>
      <c r="F14" s="19">
        <f t="shared" si="2"/>
        <v>44957</v>
      </c>
      <c r="G14" s="14">
        <f t="shared" si="2"/>
        <v>44985</v>
      </c>
      <c r="H14" s="19">
        <f t="shared" si="2"/>
        <v>45016</v>
      </c>
      <c r="I14" s="15">
        <f t="shared" si="2"/>
        <v>45046</v>
      </c>
      <c r="J14" s="19">
        <f t="shared" si="2"/>
        <v>45077</v>
      </c>
      <c r="K14" s="19">
        <f t="shared" si="2"/>
        <v>45107</v>
      </c>
      <c r="L14" s="15">
        <f t="shared" si="2"/>
        <v>45138</v>
      </c>
      <c r="Y14" s="1"/>
      <c r="Z14" s="1"/>
      <c r="AA14" s="1"/>
      <c r="AB14" s="1"/>
      <c r="AC14" s="1"/>
      <c r="AD14" s="1"/>
      <c r="AE14" s="1"/>
      <c r="AF14" s="1"/>
      <c r="AG14" s="1"/>
      <c r="AH14" s="1"/>
    </row>
    <row r="15" spans="1:34" x14ac:dyDescent="0.35">
      <c r="A15" s="46" t="s">
        <v>5</v>
      </c>
      <c r="C15" s="97">
        <v>36915.96</v>
      </c>
      <c r="D15" s="109">
        <f t="shared" ref="D15:K15" si="3">SUM(D24:D27)</f>
        <v>-18457.98</v>
      </c>
      <c r="E15" s="109">
        <f t="shared" si="3"/>
        <v>-18457.98</v>
      </c>
      <c r="F15" s="110">
        <f t="shared" si="3"/>
        <v>-18457.98</v>
      </c>
      <c r="G15" s="16">
        <f t="shared" si="3"/>
        <v>-30442.15</v>
      </c>
      <c r="H15" s="55">
        <f t="shared" si="3"/>
        <v>-30442.15</v>
      </c>
      <c r="I15" s="164">
        <f t="shared" si="3"/>
        <v>-30442.15</v>
      </c>
      <c r="J15" s="157">
        <f t="shared" si="3"/>
        <v>-30442.15</v>
      </c>
      <c r="K15" s="78">
        <f t="shared" si="3"/>
        <v>-30442.15</v>
      </c>
      <c r="L15" s="79"/>
    </row>
    <row r="16" spans="1:34" x14ac:dyDescent="0.35">
      <c r="C16" s="99"/>
      <c r="D16" s="17"/>
      <c r="E16" s="17"/>
      <c r="F16" s="17"/>
      <c r="G16" s="10"/>
      <c r="H16" s="17"/>
      <c r="I16" s="11"/>
      <c r="J16" s="31"/>
      <c r="K16" s="31"/>
      <c r="L16" s="29"/>
    </row>
    <row r="17" spans="1:14" x14ac:dyDescent="0.35">
      <c r="A17" s="46" t="s">
        <v>87</v>
      </c>
      <c r="C17" s="99"/>
      <c r="D17" s="18"/>
      <c r="E17" s="18"/>
      <c r="F17" s="18"/>
      <c r="G17" s="91"/>
      <c r="H17" s="18"/>
      <c r="I17" s="165"/>
      <c r="J17" s="31"/>
      <c r="K17" s="31"/>
      <c r="L17" s="29"/>
      <c r="M17" s="3" t="s">
        <v>50</v>
      </c>
      <c r="N17" s="39"/>
    </row>
    <row r="18" spans="1:14" x14ac:dyDescent="0.35">
      <c r="A18" s="46" t="s">
        <v>24</v>
      </c>
      <c r="C18" s="97">
        <v>46954.580988000009</v>
      </c>
      <c r="D18" s="134">
        <f>ROUND('[4]Nov 2022'!$F68,2)</f>
        <v>-11441.8</v>
      </c>
      <c r="E18" s="134">
        <f>ROUND('[4]Dec 2022'!$F68,2)</f>
        <v>-16129.06</v>
      </c>
      <c r="F18" s="134">
        <f>ROUND('[4]Jan 2023'!$F68,2)</f>
        <v>-19538.48</v>
      </c>
      <c r="G18" s="185">
        <f>ROUND('[4]Feb 2023'!$F68,2)</f>
        <v>-10098.35</v>
      </c>
      <c r="H18" s="121">
        <f>ROUND('[4]Mar 2023'!$F68,2)</f>
        <v>-8517.32</v>
      </c>
      <c r="I18" s="166">
        <f>ROUND('[4]Apr 2023'!$F68,2)</f>
        <v>-7125.95</v>
      </c>
      <c r="J18" s="123">
        <f>ROUND('PCR Cycle 2'!J26*$M18,2)</f>
        <v>-6403.67</v>
      </c>
      <c r="K18" s="41">
        <f>ROUND('PCR Cycle 2'!K26*$M18,2)</f>
        <v>-7992.04</v>
      </c>
      <c r="L18" s="61">
        <f>ROUND('PCR Cycle 2'!L26*$M18,2)</f>
        <v>-11151.43</v>
      </c>
      <c r="M18" s="72">
        <v>-2.9999999999999991E-5</v>
      </c>
      <c r="N18" s="4"/>
    </row>
    <row r="19" spans="1:14" x14ac:dyDescent="0.35">
      <c r="A19" s="46" t="s">
        <v>134</v>
      </c>
      <c r="C19" s="97">
        <v>-75755.11176</v>
      </c>
      <c r="D19" s="134">
        <f>ROUND('[4]Nov 2022'!$F69,2)</f>
        <v>25696.94</v>
      </c>
      <c r="E19" s="134">
        <f>ROUND('[4]Dec 2022'!$F69,2)</f>
        <v>29515.81</v>
      </c>
      <c r="F19" s="134">
        <f>ROUND('[4]Jan 2023'!$F69,2)</f>
        <v>33195.129999999997</v>
      </c>
      <c r="G19" s="185">
        <f>ROUND('[4]Feb 2023'!$F69,2)</f>
        <v>13415.51</v>
      </c>
      <c r="H19" s="121">
        <f>ROUND('[4]Mar 2023'!$F69,2)</f>
        <v>12341.76</v>
      </c>
      <c r="I19" s="166">
        <f>ROUND('[4]Apr 2023'!$F69,2)</f>
        <v>11202.61</v>
      </c>
      <c r="J19" s="123">
        <f>ROUND('PCR Cycle 2'!J27*$M19,2)</f>
        <v>11831.04</v>
      </c>
      <c r="K19" s="41">
        <f>ROUND('PCR Cycle 2'!K27*$M19,2)</f>
        <v>12891.23</v>
      </c>
      <c r="L19" s="61">
        <f>ROUND('PCR Cycle 2'!L27*$M19,2)</f>
        <v>14552.93</v>
      </c>
      <c r="M19" s="72">
        <v>1.2E-4</v>
      </c>
      <c r="N19" s="4"/>
    </row>
    <row r="20" spans="1:14" x14ac:dyDescent="0.35">
      <c r="A20" s="46" t="s">
        <v>135</v>
      </c>
      <c r="C20" s="97">
        <v>-88865.99040000001</v>
      </c>
      <c r="D20" s="134">
        <f>ROUND('[4]Nov 2022'!$F70,2)</f>
        <v>29323.88</v>
      </c>
      <c r="E20" s="134">
        <f>ROUND('[4]Dec 2022'!$F70,2)</f>
        <v>30490.65</v>
      </c>
      <c r="F20" s="134">
        <f>ROUND('[4]Jan 2023'!$F70,2)</f>
        <v>31829.5</v>
      </c>
      <c r="G20" s="185">
        <f>ROUND('[4]Feb 2023'!$F70,2)</f>
        <v>12969.39</v>
      </c>
      <c r="H20" s="121">
        <f>ROUND('[4]Mar 2023'!$F70,2)</f>
        <v>12259.1</v>
      </c>
      <c r="I20" s="166">
        <f>ROUND('[4]Apr 2023'!$F70,2)</f>
        <v>11034.61</v>
      </c>
      <c r="J20" s="123">
        <f>ROUND('PCR Cycle 2'!J28*$M20,2)</f>
        <v>12325.42</v>
      </c>
      <c r="K20" s="41">
        <f>ROUND('PCR Cycle 2'!K28*$M20,2)</f>
        <v>13429.9</v>
      </c>
      <c r="L20" s="61">
        <f>ROUND('PCR Cycle 2'!L28*$M20,2)</f>
        <v>15161.03</v>
      </c>
      <c r="M20" s="72">
        <v>1.4000000000000001E-4</v>
      </c>
      <c r="N20" s="4"/>
    </row>
    <row r="21" spans="1:14" x14ac:dyDescent="0.35">
      <c r="A21" s="46" t="s">
        <v>136</v>
      </c>
      <c r="C21" s="97">
        <v>-25761.015930000001</v>
      </c>
      <c r="D21" s="134">
        <f>ROUND('[4]Nov 2022'!$F71,2)</f>
        <v>8493.85</v>
      </c>
      <c r="E21" s="134">
        <f>ROUND('[4]Dec 2022'!$F71,2)</f>
        <v>8963.19</v>
      </c>
      <c r="F21" s="134">
        <f>ROUND('[4]Jan 2023'!$F71,2)</f>
        <v>7874.15</v>
      </c>
      <c r="G21" s="185">
        <f>ROUND('[4]Feb 2023'!$F71,2)</f>
        <v>1525.91</v>
      </c>
      <c r="H21" s="121">
        <f>ROUND('[4]Mar 2023'!$F71,2)</f>
        <v>4719.72</v>
      </c>
      <c r="I21" s="166">
        <f>ROUND('[4]Apr 2023'!$F71,2)</f>
        <v>3628.95</v>
      </c>
      <c r="J21" s="123">
        <f>ROUND('PCR Cycle 2'!J29*$M21,2)</f>
        <v>4123.04</v>
      </c>
      <c r="K21" s="41">
        <f>ROUND('PCR Cycle 2'!K29*$M21,2)</f>
        <v>4492.51</v>
      </c>
      <c r="L21" s="61">
        <f>ROUND('PCR Cycle 2'!L29*$M21,2)</f>
        <v>5071.6000000000004</v>
      </c>
      <c r="M21" s="72">
        <v>7.0000000000000007E-5</v>
      </c>
      <c r="N21" s="4"/>
    </row>
    <row r="22" spans="1:14" x14ac:dyDescent="0.35">
      <c r="C22" s="67"/>
      <c r="D22" s="68"/>
      <c r="E22" s="68"/>
      <c r="F22" s="68"/>
      <c r="G22" s="67"/>
      <c r="H22" s="68"/>
      <c r="I22" s="167"/>
      <c r="J22" s="56"/>
      <c r="K22" s="56"/>
      <c r="L22" s="13"/>
      <c r="N22" s="4"/>
    </row>
    <row r="23" spans="1:14" x14ac:dyDescent="0.35">
      <c r="A23" s="46" t="s">
        <v>89</v>
      </c>
      <c r="C23" s="36"/>
      <c r="D23" s="37"/>
      <c r="E23" s="37"/>
      <c r="F23" s="37"/>
      <c r="G23" s="36"/>
      <c r="H23" s="37"/>
      <c r="I23" s="170"/>
      <c r="J23" s="52"/>
      <c r="K23" s="52"/>
      <c r="L23" s="38"/>
    </row>
    <row r="24" spans="1:14" x14ac:dyDescent="0.35">
      <c r="A24" s="46" t="s">
        <v>24</v>
      </c>
      <c r="C24" s="97">
        <v>130932.64</v>
      </c>
      <c r="D24" s="109">
        <f>ROUND(+'EO Cycle 2'!$F$29/24+'EO Cycle 2'!$F$40/24+'EO Cycle 2'!$F$50/24+'EO Cycle 2'!$F$60/24,2)</f>
        <v>-65466.32</v>
      </c>
      <c r="E24" s="109">
        <f>ROUND(+'EO Cycle 2'!$F$29/24+'EO Cycle 2'!$F$40/24+'EO Cycle 2'!$F$50/24+'EO Cycle 2'!$F$60/24,2)</f>
        <v>-65466.32</v>
      </c>
      <c r="F24" s="110">
        <f>ROUND(+'EO Cycle 2'!$F$29/24+'EO Cycle 2'!$F$40/24+'EO Cycle 2'!$F$50/24+'EO Cycle 2'!$F$60/24,2)</f>
        <v>-65466.32</v>
      </c>
      <c r="G24" s="16">
        <f>ROUND(+'EO Cycle 2'!$F$40/24+'EO Cycle 2'!$F$50/24+'EO Cycle 2'!$F$60/24,2)</f>
        <v>-31309.97</v>
      </c>
      <c r="H24" s="55">
        <f>ROUND(+'EO Cycle 2'!$F$40/24+'EO Cycle 2'!$F$50/24+'EO Cycle 2'!$F$60/24,2)</f>
        <v>-31309.97</v>
      </c>
      <c r="I24" s="164">
        <f>ROUND(+'EO Cycle 2'!$F$40/24+'EO Cycle 2'!$F$50/24+'EO Cycle 2'!$F$60/24,2)</f>
        <v>-31309.97</v>
      </c>
      <c r="J24" s="159">
        <f>ROUND(+'EO Cycle 2'!$F$40/24+'EO Cycle 2'!$F$50/24+'EO Cycle 2'!$F$60/24,2)</f>
        <v>-31309.97</v>
      </c>
      <c r="K24" s="141">
        <f>ROUND(+'EO Cycle 2'!$F$40/24+'EO Cycle 2'!$F$50/24+'EO Cycle 2'!$F$60/24,2)</f>
        <v>-31309.97</v>
      </c>
      <c r="L24" s="79"/>
    </row>
    <row r="25" spans="1:14" x14ac:dyDescent="0.35">
      <c r="A25" s="46" t="s">
        <v>134</v>
      </c>
      <c r="C25" s="97">
        <v>-39693.14</v>
      </c>
      <c r="D25" s="109">
        <f>ROUND(+'EO Cycle 2'!$F33/24+'EO Cycle 2'!$F44/24+'EO Cycle 2'!$F54/24+'EO Cycle 2'!$F64/24,2)</f>
        <v>19846.57</v>
      </c>
      <c r="E25" s="109">
        <f>ROUND(+'EO Cycle 2'!$F33/24+'EO Cycle 2'!$F44/24+'EO Cycle 2'!$F54/24+'EO Cycle 2'!$F64/24,2)</f>
        <v>19846.57</v>
      </c>
      <c r="F25" s="110">
        <f>ROUND(+'EO Cycle 2'!$F33/24+'EO Cycle 2'!$F44/24+'EO Cycle 2'!$F54/24+'EO Cycle 2'!$F64/24,2)</f>
        <v>19846.57</v>
      </c>
      <c r="G25" s="16">
        <f>ROUND(+'EO Cycle 2'!$F44/24+'EO Cycle 2'!$F54/24+'EO Cycle 2'!$F64/24,2)</f>
        <v>618.13</v>
      </c>
      <c r="H25" s="55">
        <f>ROUND(+'EO Cycle 2'!$F44/24+'EO Cycle 2'!$F54/24+'EO Cycle 2'!$F64/24,2)</f>
        <v>618.13</v>
      </c>
      <c r="I25" s="164">
        <f>ROUND(+'EO Cycle 2'!$F44/24+'EO Cycle 2'!$F54/24+'EO Cycle 2'!$F64/24,2)</f>
        <v>618.13</v>
      </c>
      <c r="J25" s="159">
        <f>ROUND(+'EO Cycle 2'!$F44/24+'EO Cycle 2'!$F54/24+'EO Cycle 2'!$F64/24,2)</f>
        <v>618.13</v>
      </c>
      <c r="K25" s="141">
        <f>ROUND(+'EO Cycle 2'!$F44/24+'EO Cycle 2'!$F54/24+'EO Cycle 2'!$F64/24,2)</f>
        <v>618.13</v>
      </c>
      <c r="L25" s="79"/>
    </row>
    <row r="26" spans="1:14" x14ac:dyDescent="0.35">
      <c r="A26" s="46" t="s">
        <v>135</v>
      </c>
      <c r="C26" s="97">
        <v>-43977.14</v>
      </c>
      <c r="D26" s="109">
        <f>ROUND(+'EO Cycle 2'!$F34/24+'EO Cycle 2'!$F45/24+'EO Cycle 2'!$F55/24+'EO Cycle 2'!$F65/24,2)</f>
        <v>21988.57</v>
      </c>
      <c r="E26" s="109">
        <f>ROUND(+'EO Cycle 2'!$F34/24+'EO Cycle 2'!$F45/24+'EO Cycle 2'!$F55/24+'EO Cycle 2'!$F65/24,2)</f>
        <v>21988.57</v>
      </c>
      <c r="F26" s="110">
        <f>ROUND(+'EO Cycle 2'!$F34/24+'EO Cycle 2'!$F45/24+'EO Cycle 2'!$F55/24+'EO Cycle 2'!$F65/24,2)</f>
        <v>21988.57</v>
      </c>
      <c r="G26" s="16">
        <f>ROUND(+'EO Cycle 2'!$F45/24+'EO Cycle 2'!$F55/24+'EO Cycle 2'!$F65/24,2)</f>
        <v>397.34</v>
      </c>
      <c r="H26" s="55">
        <f>ROUND(+'EO Cycle 2'!$F45/24+'EO Cycle 2'!$F55/24+'EO Cycle 2'!$F65/24,2)</f>
        <v>397.34</v>
      </c>
      <c r="I26" s="164">
        <f>ROUND(+'EO Cycle 2'!$F45/24+'EO Cycle 2'!$F55/24+'EO Cycle 2'!$F65/24,2)</f>
        <v>397.34</v>
      </c>
      <c r="J26" s="159">
        <f>ROUND(+'EO Cycle 2'!$F45/24+'EO Cycle 2'!$F55/24+'EO Cycle 2'!$F65/24,2)</f>
        <v>397.34</v>
      </c>
      <c r="K26" s="141">
        <f>ROUND(+'EO Cycle 2'!$F45/24+'EO Cycle 2'!$F55/24+'EO Cycle 2'!$F65/24,2)</f>
        <v>397.34</v>
      </c>
      <c r="L26" s="79"/>
    </row>
    <row r="27" spans="1:14" x14ac:dyDescent="0.35">
      <c r="A27" s="46" t="s">
        <v>136</v>
      </c>
      <c r="C27" s="97">
        <v>-10346.4</v>
      </c>
      <c r="D27" s="109">
        <f>ROUND(+'EO Cycle 2'!$F35/24+'EO Cycle 2'!$F46/24+'EO Cycle 2'!$F56/24+'EO Cycle 2'!$F66/24,2)</f>
        <v>5173.2</v>
      </c>
      <c r="E27" s="109">
        <f>ROUND(+'EO Cycle 2'!$F35/24+'EO Cycle 2'!$F46/24+'EO Cycle 2'!$F56/24+'EO Cycle 2'!$F66/24,2)</f>
        <v>5173.2</v>
      </c>
      <c r="F27" s="110">
        <f>ROUND(+'EO Cycle 2'!$F35/24+'EO Cycle 2'!$F46/24+'EO Cycle 2'!$F56/24+'EO Cycle 2'!$F66/24,2)</f>
        <v>5173.2</v>
      </c>
      <c r="G27" s="16">
        <f>ROUND(+'EO Cycle 2'!$F46/24+'EO Cycle 2'!$F56/24+'EO Cycle 2'!$F66/24,2)</f>
        <v>-147.65</v>
      </c>
      <c r="H27" s="55">
        <f>ROUND(+'EO Cycle 2'!$F46/24+'EO Cycle 2'!$F56/24+'EO Cycle 2'!$F66/24,2)</f>
        <v>-147.65</v>
      </c>
      <c r="I27" s="164">
        <f>ROUND(+'EO Cycle 2'!$F46/24+'EO Cycle 2'!$F56/24+'EO Cycle 2'!$F66/24,2)</f>
        <v>-147.65</v>
      </c>
      <c r="J27" s="159">
        <f>ROUND(+'EO Cycle 2'!$F46/24+'EO Cycle 2'!$F56/24+'EO Cycle 2'!$F66/24,2)</f>
        <v>-147.65</v>
      </c>
      <c r="K27" s="141">
        <f>ROUND(+'EO Cycle 2'!$F46/24+'EO Cycle 2'!$F56/24+'EO Cycle 2'!$F66/24,2)</f>
        <v>-147.65</v>
      </c>
      <c r="L27" s="79"/>
      <c r="N27" s="47"/>
    </row>
    <row r="28" spans="1:14" x14ac:dyDescent="0.35">
      <c r="C28" s="99"/>
      <c r="D28" s="18"/>
      <c r="E28" s="18"/>
      <c r="F28" s="18"/>
      <c r="G28" s="91"/>
      <c r="H28" s="18"/>
      <c r="I28" s="165"/>
      <c r="J28" s="56"/>
      <c r="K28" s="56"/>
      <c r="L28" s="13"/>
    </row>
    <row r="29" spans="1:14" ht="15" thickBot="1" x14ac:dyDescent="0.4">
      <c r="A29" s="3" t="s">
        <v>14</v>
      </c>
      <c r="B29" s="3"/>
      <c r="C29" s="103">
        <v>-4404.16</v>
      </c>
      <c r="D29" s="134">
        <v>2560.62</v>
      </c>
      <c r="E29" s="134">
        <v>2427.7199999999998</v>
      </c>
      <c r="F29" s="135">
        <v>2166.85</v>
      </c>
      <c r="G29" s="26">
        <v>1931.69</v>
      </c>
      <c r="H29" s="122">
        <v>1750.3799999999999</v>
      </c>
      <c r="I29" s="171">
        <v>1553.22</v>
      </c>
      <c r="J29" s="160">
        <v>1298.6500000000001</v>
      </c>
      <c r="K29" s="143">
        <v>1032.1999999999998</v>
      </c>
      <c r="L29" s="82"/>
    </row>
    <row r="30" spans="1:14" x14ac:dyDescent="0.35">
      <c r="C30" s="64"/>
      <c r="D30" s="147"/>
      <c r="E30" s="147"/>
      <c r="F30" s="148"/>
      <c r="G30" s="64"/>
      <c r="H30" s="33"/>
      <c r="I30" s="172"/>
      <c r="J30" s="34"/>
      <c r="K30" s="34"/>
      <c r="L30" s="60"/>
    </row>
    <row r="31" spans="1:14" x14ac:dyDescent="0.35">
      <c r="A31" s="46" t="s">
        <v>52</v>
      </c>
      <c r="C31" s="65"/>
      <c r="D31" s="148"/>
      <c r="E31" s="148"/>
      <c r="F31" s="148"/>
      <c r="G31" s="65"/>
      <c r="H31" s="35"/>
      <c r="I31" s="173"/>
      <c r="J31" s="34"/>
      <c r="K31" s="34"/>
      <c r="L31" s="60"/>
    </row>
    <row r="32" spans="1:14" x14ac:dyDescent="0.35">
      <c r="A32" s="46" t="s">
        <v>24</v>
      </c>
      <c r="C32" s="100">
        <f t="shared" ref="C32:L32" si="4">C24-C18</f>
        <v>83978.059011999983</v>
      </c>
      <c r="D32" s="41">
        <f t="shared" si="4"/>
        <v>-54024.520000000004</v>
      </c>
      <c r="E32" s="41">
        <f t="shared" si="4"/>
        <v>-49337.26</v>
      </c>
      <c r="F32" s="108">
        <f t="shared" si="4"/>
        <v>-45927.839999999997</v>
      </c>
      <c r="G32" s="40">
        <f t="shared" si="4"/>
        <v>-21211.620000000003</v>
      </c>
      <c r="H32" s="41">
        <f t="shared" si="4"/>
        <v>-22792.65</v>
      </c>
      <c r="I32" s="61">
        <f t="shared" si="4"/>
        <v>-24184.02</v>
      </c>
      <c r="J32" s="123">
        <f t="shared" si="4"/>
        <v>-24906.300000000003</v>
      </c>
      <c r="K32" s="41">
        <f t="shared" si="4"/>
        <v>-23317.93</v>
      </c>
      <c r="L32" s="61">
        <f t="shared" si="4"/>
        <v>11151.43</v>
      </c>
    </row>
    <row r="33" spans="1:12" x14ac:dyDescent="0.35">
      <c r="A33" s="46" t="s">
        <v>134</v>
      </c>
      <c r="C33" s="100">
        <f t="shared" ref="C33:L33" si="5">C25-C19</f>
        <v>36061.97176</v>
      </c>
      <c r="D33" s="41">
        <f t="shared" si="5"/>
        <v>-5850.369999999999</v>
      </c>
      <c r="E33" s="41">
        <f t="shared" si="5"/>
        <v>-9669.2400000000016</v>
      </c>
      <c r="F33" s="108">
        <f t="shared" si="5"/>
        <v>-13348.559999999998</v>
      </c>
      <c r="G33" s="40">
        <f t="shared" si="5"/>
        <v>-12797.380000000001</v>
      </c>
      <c r="H33" s="41">
        <f t="shared" si="5"/>
        <v>-11723.630000000001</v>
      </c>
      <c r="I33" s="61">
        <f t="shared" si="5"/>
        <v>-10584.480000000001</v>
      </c>
      <c r="J33" s="123">
        <f t="shared" si="5"/>
        <v>-11212.910000000002</v>
      </c>
      <c r="K33" s="41">
        <f t="shared" si="5"/>
        <v>-12273.1</v>
      </c>
      <c r="L33" s="61">
        <f t="shared" si="5"/>
        <v>-14552.93</v>
      </c>
    </row>
    <row r="34" spans="1:12" x14ac:dyDescent="0.35">
      <c r="A34" s="46" t="s">
        <v>135</v>
      </c>
      <c r="C34" s="100">
        <f t="shared" ref="C34:L34" si="6">C26-C20</f>
        <v>44888.85040000001</v>
      </c>
      <c r="D34" s="41">
        <f t="shared" si="6"/>
        <v>-7335.3100000000013</v>
      </c>
      <c r="E34" s="41">
        <f t="shared" si="6"/>
        <v>-8502.0800000000017</v>
      </c>
      <c r="F34" s="108">
        <f t="shared" si="6"/>
        <v>-9840.93</v>
      </c>
      <c r="G34" s="40">
        <f t="shared" si="6"/>
        <v>-12572.05</v>
      </c>
      <c r="H34" s="41">
        <f t="shared" si="6"/>
        <v>-11861.76</v>
      </c>
      <c r="I34" s="61">
        <f t="shared" si="6"/>
        <v>-10637.27</v>
      </c>
      <c r="J34" s="123">
        <f t="shared" si="6"/>
        <v>-11928.08</v>
      </c>
      <c r="K34" s="41">
        <f t="shared" si="6"/>
        <v>-13032.56</v>
      </c>
      <c r="L34" s="61">
        <f t="shared" si="6"/>
        <v>-15161.03</v>
      </c>
    </row>
    <row r="35" spans="1:12" x14ac:dyDescent="0.35">
      <c r="A35" s="46" t="s">
        <v>136</v>
      </c>
      <c r="C35" s="100">
        <f t="shared" ref="C35:L35" si="7">C27-C21</f>
        <v>15414.615930000002</v>
      </c>
      <c r="D35" s="41">
        <f t="shared" si="7"/>
        <v>-3320.6500000000005</v>
      </c>
      <c r="E35" s="41">
        <f t="shared" si="7"/>
        <v>-3789.9900000000007</v>
      </c>
      <c r="F35" s="108">
        <f t="shared" si="7"/>
        <v>-2700.95</v>
      </c>
      <c r="G35" s="40">
        <f t="shared" si="7"/>
        <v>-1673.5600000000002</v>
      </c>
      <c r="H35" s="41">
        <f t="shared" si="7"/>
        <v>-4867.37</v>
      </c>
      <c r="I35" s="61">
        <f t="shared" si="7"/>
        <v>-3776.6</v>
      </c>
      <c r="J35" s="123">
        <f t="shared" si="7"/>
        <v>-4270.6899999999996</v>
      </c>
      <c r="K35" s="41">
        <f t="shared" si="7"/>
        <v>-4640.16</v>
      </c>
      <c r="L35" s="61">
        <f t="shared" si="7"/>
        <v>-5071.6000000000004</v>
      </c>
    </row>
    <row r="36" spans="1:12" x14ac:dyDescent="0.35">
      <c r="C36" s="99"/>
      <c r="D36" s="17"/>
      <c r="E36" s="17"/>
      <c r="F36" s="17"/>
      <c r="G36" s="10"/>
      <c r="H36" s="17"/>
      <c r="I36" s="11"/>
      <c r="J36" s="17"/>
      <c r="K36" s="17"/>
      <c r="L36" s="11"/>
    </row>
    <row r="37" spans="1:12" ht="15" thickBot="1" x14ac:dyDescent="0.4">
      <c r="A37" s="46" t="s">
        <v>53</v>
      </c>
      <c r="C37" s="99"/>
      <c r="D37" s="17"/>
      <c r="E37" s="17"/>
      <c r="F37" s="17"/>
      <c r="G37" s="10"/>
      <c r="H37" s="17"/>
      <c r="I37" s="11"/>
      <c r="J37" s="17"/>
      <c r="K37" s="17"/>
      <c r="L37" s="11"/>
    </row>
    <row r="38" spans="1:12" x14ac:dyDescent="0.35">
      <c r="A38" s="46" t="s">
        <v>24</v>
      </c>
      <c r="B38" s="116">
        <v>158955.80880799989</v>
      </c>
      <c r="C38" s="100">
        <f t="shared" ref="C38:L38" si="8">B38+C32+B45</f>
        <v>242933.86781999987</v>
      </c>
      <c r="D38" s="41">
        <f t="shared" si="8"/>
        <v>187425.92781999984</v>
      </c>
      <c r="E38" s="41">
        <f t="shared" si="8"/>
        <v>139016.49781999981</v>
      </c>
      <c r="F38" s="108">
        <f t="shared" si="8"/>
        <v>93847.817819999822</v>
      </c>
      <c r="G38" s="40">
        <f t="shared" si="8"/>
        <v>73193.317819999822</v>
      </c>
      <c r="H38" s="41">
        <f t="shared" si="8"/>
        <v>50808.977819999818</v>
      </c>
      <c r="I38" s="61">
        <f t="shared" si="8"/>
        <v>26937.277819999817</v>
      </c>
      <c r="J38" s="123">
        <f t="shared" si="8"/>
        <v>2232.9378199998146</v>
      </c>
      <c r="K38" s="41">
        <f t="shared" si="8"/>
        <v>-21009.002180000185</v>
      </c>
      <c r="L38" s="61">
        <f t="shared" si="8"/>
        <v>-9905.9521800001839</v>
      </c>
    </row>
    <row r="39" spans="1:12" x14ac:dyDescent="0.35">
      <c r="A39" s="46" t="s">
        <v>134</v>
      </c>
      <c r="B39" s="244">
        <v>-346794.79815999983</v>
      </c>
      <c r="C39" s="100">
        <f t="shared" ref="C39:L39" si="9">B39+C33+B46</f>
        <v>-310732.82639999985</v>
      </c>
      <c r="D39" s="41">
        <f t="shared" si="9"/>
        <v>-314120.41639999981</v>
      </c>
      <c r="E39" s="41">
        <f t="shared" si="9"/>
        <v>-325136.13639999978</v>
      </c>
      <c r="F39" s="108">
        <f t="shared" si="9"/>
        <v>-339970.22639999981</v>
      </c>
      <c r="G39" s="40">
        <f t="shared" si="9"/>
        <v>-354357.22639999981</v>
      </c>
      <c r="H39" s="41">
        <f t="shared" si="9"/>
        <v>-367776.26639999979</v>
      </c>
      <c r="I39" s="61">
        <f t="shared" si="9"/>
        <v>-380177.81639999978</v>
      </c>
      <c r="J39" s="123">
        <f t="shared" si="9"/>
        <v>-393330.56639999978</v>
      </c>
      <c r="K39" s="41">
        <f t="shared" si="9"/>
        <v>-407609.93639999977</v>
      </c>
      <c r="L39" s="61">
        <f t="shared" si="9"/>
        <v>-424240.28639999975</v>
      </c>
    </row>
    <row r="40" spans="1:12" x14ac:dyDescent="0.35">
      <c r="A40" s="46" t="s">
        <v>135</v>
      </c>
      <c r="B40" s="244">
        <v>477421.77455999999</v>
      </c>
      <c r="C40" s="100">
        <f t="shared" ref="C40:L40" si="10">B40+C34+B47</f>
        <v>522310.62495999999</v>
      </c>
      <c r="D40" s="41">
        <f t="shared" si="10"/>
        <v>510949.10495999997</v>
      </c>
      <c r="E40" s="41">
        <f t="shared" si="10"/>
        <v>504673.66495999997</v>
      </c>
      <c r="F40" s="108">
        <f t="shared" si="10"/>
        <v>497193.07496</v>
      </c>
      <c r="G40" s="40">
        <f t="shared" si="10"/>
        <v>487015.80496000004</v>
      </c>
      <c r="H40" s="41">
        <f t="shared" si="10"/>
        <v>477557.63496000005</v>
      </c>
      <c r="I40" s="61">
        <f t="shared" si="10"/>
        <v>469347.82496000006</v>
      </c>
      <c r="J40" s="123">
        <f t="shared" si="10"/>
        <v>459875.89496000006</v>
      </c>
      <c r="K40" s="41">
        <f t="shared" si="10"/>
        <v>449253.81496000005</v>
      </c>
      <c r="L40" s="61">
        <f t="shared" si="10"/>
        <v>436451.15496000001</v>
      </c>
    </row>
    <row r="41" spans="1:12" ht="15" thickBot="1" x14ac:dyDescent="0.4">
      <c r="A41" s="46" t="s">
        <v>136</v>
      </c>
      <c r="B41" s="117">
        <v>161549.13467000006</v>
      </c>
      <c r="C41" s="100">
        <f t="shared" ref="C41:L41" si="11">B41+C35+B48</f>
        <v>176963.75060000006</v>
      </c>
      <c r="D41" s="41">
        <f t="shared" si="11"/>
        <v>172285.79060000007</v>
      </c>
      <c r="E41" s="41">
        <f t="shared" si="11"/>
        <v>169248.43060000008</v>
      </c>
      <c r="F41" s="108">
        <f t="shared" si="11"/>
        <v>167341.23060000007</v>
      </c>
      <c r="G41" s="40">
        <f t="shared" si="11"/>
        <v>166472.23060000007</v>
      </c>
      <c r="H41" s="41">
        <f t="shared" si="11"/>
        <v>162420.06060000008</v>
      </c>
      <c r="I41" s="61">
        <f t="shared" si="11"/>
        <v>159471.14060000007</v>
      </c>
      <c r="J41" s="123">
        <f t="shared" si="11"/>
        <v>156035.40060000008</v>
      </c>
      <c r="K41" s="41">
        <f t="shared" si="11"/>
        <v>152213.69060000009</v>
      </c>
      <c r="L41" s="61">
        <f t="shared" si="11"/>
        <v>147941.72060000009</v>
      </c>
    </row>
    <row r="42" spans="1:12" x14ac:dyDescent="0.35">
      <c r="C42" s="99"/>
      <c r="D42" s="17"/>
      <c r="E42" s="17"/>
      <c r="F42" s="17"/>
      <c r="G42" s="10"/>
      <c r="H42" s="17"/>
      <c r="I42" s="11"/>
      <c r="J42" s="17"/>
      <c r="K42" s="17"/>
      <c r="L42" s="11"/>
    </row>
    <row r="43" spans="1:12" x14ac:dyDescent="0.35">
      <c r="A43" s="39" t="s">
        <v>88</v>
      </c>
      <c r="B43" s="39"/>
      <c r="C43" s="104"/>
      <c r="D43" s="83">
        <f>+'PCR Cycle 2'!D47</f>
        <v>4.3267999999999996E-3</v>
      </c>
      <c r="E43" s="83">
        <f>+'PCR Cycle 2'!E47</f>
        <v>4.6379000000000004E-3</v>
      </c>
      <c r="F43" s="83">
        <f>+'PCR Cycle 2'!F47</f>
        <v>4.7694E-3</v>
      </c>
      <c r="G43" s="84">
        <f>+'PCR Cycle 2'!G47</f>
        <v>4.8724500000000004E-3</v>
      </c>
      <c r="H43" s="83">
        <f>+'PCR Cycle 2'!H47</f>
        <v>5.0207200000000002E-3</v>
      </c>
      <c r="I43" s="92">
        <f>+'PCR Cycle 2'!I47</f>
        <v>5.1744800000000004E-3</v>
      </c>
      <c r="J43" s="83">
        <f>+'PCR Cycle 2'!J47</f>
        <v>5.1744800000000004E-3</v>
      </c>
      <c r="K43" s="83">
        <f>+'PCR Cycle 2'!K47</f>
        <v>5.1744800000000004E-3</v>
      </c>
      <c r="L43" s="85"/>
    </row>
    <row r="44" spans="1:12" x14ac:dyDescent="0.35">
      <c r="A44" s="39" t="s">
        <v>37</v>
      </c>
      <c r="B44" s="39"/>
      <c r="C44" s="106"/>
      <c r="D44" s="83"/>
      <c r="E44" s="83"/>
      <c r="F44" s="83"/>
      <c r="G44" s="84"/>
      <c r="H44" s="83"/>
      <c r="I44" s="85"/>
      <c r="J44" s="83"/>
      <c r="K44" s="83"/>
      <c r="L44" s="85"/>
    </row>
    <row r="45" spans="1:12" x14ac:dyDescent="0.35">
      <c r="A45" s="46" t="s">
        <v>24</v>
      </c>
      <c r="C45" s="100">
        <v>-1483.42</v>
      </c>
      <c r="D45" s="41">
        <f t="shared" ref="D45:L45" si="12">ROUND((C38+C45+D32/2)*D$43,2)</f>
        <v>927.83</v>
      </c>
      <c r="E45" s="41">
        <f t="shared" si="12"/>
        <v>759.16</v>
      </c>
      <c r="F45" s="108">
        <f t="shared" si="12"/>
        <v>557.12</v>
      </c>
      <c r="G45" s="40">
        <f t="shared" si="12"/>
        <v>408.31</v>
      </c>
      <c r="H45" s="123">
        <f t="shared" si="12"/>
        <v>312.32</v>
      </c>
      <c r="I45" s="49">
        <f t="shared" si="12"/>
        <v>201.96</v>
      </c>
      <c r="J45" s="161">
        <f t="shared" si="12"/>
        <v>75.989999999999995</v>
      </c>
      <c r="K45" s="108">
        <f t="shared" si="12"/>
        <v>-48.38</v>
      </c>
      <c r="L45" s="61">
        <f t="shared" si="12"/>
        <v>0</v>
      </c>
    </row>
    <row r="46" spans="1:12" x14ac:dyDescent="0.35">
      <c r="A46" s="46" t="s">
        <v>134</v>
      </c>
      <c r="C46" s="100">
        <v>2462.7799999999997</v>
      </c>
      <c r="D46" s="41">
        <f t="shared" ref="D46:L46" si="13">ROUND((C39+C46+D33/2)*D$43,2)</f>
        <v>-1346.48</v>
      </c>
      <c r="E46" s="41">
        <f t="shared" si="13"/>
        <v>-1485.53</v>
      </c>
      <c r="F46" s="108">
        <f t="shared" si="13"/>
        <v>-1589.62</v>
      </c>
      <c r="G46" s="40">
        <f t="shared" si="13"/>
        <v>-1695.41</v>
      </c>
      <c r="H46" s="123">
        <f t="shared" si="13"/>
        <v>-1817.07</v>
      </c>
      <c r="I46" s="49">
        <f t="shared" si="13"/>
        <v>-1939.84</v>
      </c>
      <c r="J46" s="161">
        <f t="shared" si="13"/>
        <v>-2006.27</v>
      </c>
      <c r="K46" s="108">
        <f t="shared" si="13"/>
        <v>-2077.42</v>
      </c>
      <c r="L46" s="61">
        <f t="shared" si="13"/>
        <v>0</v>
      </c>
    </row>
    <row r="47" spans="1:12" x14ac:dyDescent="0.35">
      <c r="A47" s="46" t="s">
        <v>135</v>
      </c>
      <c r="C47" s="100">
        <v>-4026.21</v>
      </c>
      <c r="D47" s="41">
        <f t="shared" ref="D47:L47" si="14">ROUND((C40+C47+D34/2)*D$43,2)</f>
        <v>2226.64</v>
      </c>
      <c r="E47" s="41">
        <f t="shared" si="14"/>
        <v>2360.34</v>
      </c>
      <c r="F47" s="108">
        <f t="shared" si="14"/>
        <v>2394.7800000000002</v>
      </c>
      <c r="G47" s="40">
        <f t="shared" si="14"/>
        <v>2403.59</v>
      </c>
      <c r="H47" s="123">
        <f t="shared" si="14"/>
        <v>2427.46</v>
      </c>
      <c r="I47" s="49">
        <f t="shared" si="14"/>
        <v>2456.15</v>
      </c>
      <c r="J47" s="161">
        <f t="shared" si="14"/>
        <v>2410.48</v>
      </c>
      <c r="K47" s="108">
        <f t="shared" si="14"/>
        <v>2358.37</v>
      </c>
      <c r="L47" s="61">
        <f t="shared" si="14"/>
        <v>0</v>
      </c>
    </row>
    <row r="48" spans="1:12" ht="15" thickBot="1" x14ac:dyDescent="0.4">
      <c r="A48" s="46" t="s">
        <v>136</v>
      </c>
      <c r="C48" s="100">
        <v>-1357.31</v>
      </c>
      <c r="D48" s="41">
        <f t="shared" ref="D48:L48" si="15">ROUND((C41+C48+D35/2)*D$43,2)</f>
        <v>752.63</v>
      </c>
      <c r="E48" s="41">
        <f t="shared" si="15"/>
        <v>793.75</v>
      </c>
      <c r="F48" s="108">
        <f t="shared" si="15"/>
        <v>804.56</v>
      </c>
      <c r="G48" s="40">
        <f t="shared" si="15"/>
        <v>815.2</v>
      </c>
      <c r="H48" s="123">
        <f t="shared" si="15"/>
        <v>827.68</v>
      </c>
      <c r="I48" s="49">
        <f t="shared" si="15"/>
        <v>834.95</v>
      </c>
      <c r="J48" s="161">
        <f t="shared" si="15"/>
        <v>818.45</v>
      </c>
      <c r="K48" s="108">
        <f t="shared" si="15"/>
        <v>799.63</v>
      </c>
      <c r="L48" s="61">
        <f t="shared" si="15"/>
        <v>0</v>
      </c>
    </row>
    <row r="49" spans="1:12" ht="15.5" thickTop="1" thickBot="1" x14ac:dyDescent="0.4">
      <c r="A49" s="54" t="s">
        <v>22</v>
      </c>
      <c r="B49" s="54"/>
      <c r="C49" s="107">
        <v>0</v>
      </c>
      <c r="D49" s="42">
        <f t="shared" ref="D49:L49" si="16">SUM(D45:D48)+SUM(D38:D41)-D52</f>
        <v>0</v>
      </c>
      <c r="E49" s="42">
        <f t="shared" si="16"/>
        <v>0</v>
      </c>
      <c r="F49" s="50">
        <f t="shared" si="16"/>
        <v>0</v>
      </c>
      <c r="G49" s="145">
        <f t="shared" si="16"/>
        <v>0</v>
      </c>
      <c r="H49" s="50">
        <f t="shared" si="16"/>
        <v>0</v>
      </c>
      <c r="I49" s="62">
        <f t="shared" si="16"/>
        <v>0</v>
      </c>
      <c r="J49" s="162">
        <f t="shared" si="16"/>
        <v>0</v>
      </c>
      <c r="K49" s="50">
        <f t="shared" si="16"/>
        <v>0</v>
      </c>
      <c r="L49" s="62">
        <f t="shared" si="16"/>
        <v>0</v>
      </c>
    </row>
    <row r="50" spans="1:12" ht="15.5" thickTop="1" thickBot="1" x14ac:dyDescent="0.4">
      <c r="A50" s="54" t="s">
        <v>23</v>
      </c>
      <c r="B50" s="54"/>
      <c r="C50" s="107">
        <v>0</v>
      </c>
      <c r="D50" s="42">
        <f t="shared" ref="D50:L50" si="17">SUM(D45:D48)-D29</f>
        <v>0</v>
      </c>
      <c r="E50" s="42">
        <f t="shared" si="17"/>
        <v>0</v>
      </c>
      <c r="F50" s="50">
        <f t="shared" si="17"/>
        <v>-9.9999999997635314E-3</v>
      </c>
      <c r="G50" s="145">
        <f t="shared" si="17"/>
        <v>0</v>
      </c>
      <c r="H50" s="50">
        <f t="shared" si="17"/>
        <v>9.9999999999909051E-3</v>
      </c>
      <c r="I50" s="62">
        <f t="shared" si="17"/>
        <v>0</v>
      </c>
      <c r="J50" s="163">
        <f t="shared" si="17"/>
        <v>0</v>
      </c>
      <c r="K50" s="42">
        <f t="shared" si="17"/>
        <v>0</v>
      </c>
      <c r="L50" s="42">
        <f t="shared" si="17"/>
        <v>0</v>
      </c>
    </row>
    <row r="51" spans="1:12" ht="15.5" thickTop="1" thickBot="1" x14ac:dyDescent="0.4">
      <c r="C51" s="99"/>
      <c r="D51" s="17"/>
      <c r="E51" s="17"/>
      <c r="F51" s="17"/>
      <c r="G51" s="10"/>
      <c r="H51" s="17"/>
      <c r="I51" s="11"/>
      <c r="J51" s="17"/>
      <c r="K51" s="17"/>
      <c r="L51" s="11"/>
    </row>
    <row r="52" spans="1:12" ht="15" thickBot="1" x14ac:dyDescent="0.4">
      <c r="A52" s="46" t="s">
        <v>36</v>
      </c>
      <c r="B52" s="119">
        <f>SUM(B38:B41)</f>
        <v>451131.9198780001</v>
      </c>
      <c r="C52" s="100">
        <f t="shared" ref="C52:L52" si="18">(C15-SUM(C18:C21))+SUM(C45:C48)+B52</f>
        <v>627071.25698000006</v>
      </c>
      <c r="D52" s="41">
        <f t="shared" si="18"/>
        <v>559101.02698000008</v>
      </c>
      <c r="E52" s="41">
        <f t="shared" si="18"/>
        <v>490230.17698000011</v>
      </c>
      <c r="F52" s="108">
        <f t="shared" si="18"/>
        <v>420578.7369800001</v>
      </c>
      <c r="G52" s="40">
        <f t="shared" si="18"/>
        <v>374255.81698000012</v>
      </c>
      <c r="H52" s="41">
        <f t="shared" si="18"/>
        <v>324760.7969800001</v>
      </c>
      <c r="I52" s="61">
        <f t="shared" si="18"/>
        <v>277131.64698000008</v>
      </c>
      <c r="J52" s="161">
        <f t="shared" si="18"/>
        <v>226112.31698000006</v>
      </c>
      <c r="K52" s="108">
        <f t="shared" si="18"/>
        <v>173880.76698000007</v>
      </c>
      <c r="L52" s="61">
        <f t="shared" si="18"/>
        <v>150246.63698000007</v>
      </c>
    </row>
    <row r="53" spans="1:12" x14ac:dyDescent="0.35">
      <c r="A53" s="46" t="s">
        <v>12</v>
      </c>
      <c r="C53" s="120"/>
      <c r="D53" s="17"/>
      <c r="E53" s="17"/>
      <c r="F53" s="17"/>
      <c r="G53" s="10"/>
      <c r="H53" s="17"/>
      <c r="I53" s="11"/>
      <c r="J53" s="17"/>
      <c r="K53" s="17"/>
      <c r="L53" s="11"/>
    </row>
    <row r="54" spans="1:12" ht="15" thickBot="1" x14ac:dyDescent="0.4">
      <c r="A54" s="37"/>
      <c r="B54" s="37"/>
      <c r="C54" s="146"/>
      <c r="D54" s="44"/>
      <c r="E54" s="44"/>
      <c r="F54" s="44"/>
      <c r="G54" s="43"/>
      <c r="H54" s="44"/>
      <c r="I54" s="45"/>
      <c r="J54" s="44"/>
      <c r="K54" s="44"/>
      <c r="L54" s="45"/>
    </row>
    <row r="56" spans="1:12" x14ac:dyDescent="0.35">
      <c r="A56" s="69" t="s">
        <v>11</v>
      </c>
      <c r="B56" s="69"/>
      <c r="C56" s="69"/>
    </row>
    <row r="57" spans="1:12" ht="31.5" customHeight="1" x14ac:dyDescent="0.35">
      <c r="A57" s="323" t="s">
        <v>156</v>
      </c>
      <c r="B57" s="323"/>
      <c r="C57" s="323"/>
      <c r="D57" s="323"/>
      <c r="E57" s="323"/>
      <c r="F57" s="323"/>
      <c r="G57" s="323"/>
      <c r="H57" s="323"/>
      <c r="I57" s="323"/>
      <c r="J57" s="233"/>
      <c r="K57" s="233"/>
      <c r="L57" s="233"/>
    </row>
    <row r="58" spans="1:12" ht="57" customHeight="1" x14ac:dyDescent="0.35">
      <c r="A58" s="323" t="s">
        <v>283</v>
      </c>
      <c r="B58" s="323"/>
      <c r="C58" s="323"/>
      <c r="D58" s="323"/>
      <c r="E58" s="323"/>
      <c r="F58" s="323"/>
      <c r="G58" s="323"/>
      <c r="H58" s="323"/>
      <c r="I58" s="323"/>
      <c r="J58" s="233"/>
      <c r="K58" s="233"/>
    </row>
    <row r="59" spans="1:12" ht="18.75" customHeight="1" x14ac:dyDescent="0.35">
      <c r="A59" s="323" t="s">
        <v>213</v>
      </c>
      <c r="B59" s="323"/>
      <c r="C59" s="323"/>
      <c r="D59" s="323"/>
      <c r="E59" s="323"/>
      <c r="F59" s="323"/>
      <c r="G59" s="323"/>
      <c r="H59" s="323"/>
      <c r="I59" s="323"/>
      <c r="J59" s="233"/>
      <c r="K59" s="233"/>
      <c r="L59" s="233"/>
    </row>
    <row r="60" spans="1:12" x14ac:dyDescent="0.35">
      <c r="A60" s="63" t="s">
        <v>31</v>
      </c>
      <c r="B60" s="63"/>
      <c r="C60" s="63"/>
      <c r="D60" s="39"/>
      <c r="E60" s="39"/>
      <c r="F60" s="39"/>
      <c r="G60" s="39"/>
      <c r="H60" s="39"/>
      <c r="I60" s="39"/>
    </row>
    <row r="61" spans="1:12" x14ac:dyDescent="0.35">
      <c r="A61" s="63" t="s">
        <v>191</v>
      </c>
      <c r="B61" s="63"/>
      <c r="C61" s="63"/>
      <c r="D61" s="39"/>
      <c r="E61" s="39"/>
      <c r="F61" s="39"/>
      <c r="G61" s="39"/>
      <c r="H61" s="39"/>
      <c r="I61" s="39"/>
    </row>
    <row r="62" spans="1:12" x14ac:dyDescent="0.35">
      <c r="A62" s="63" t="s">
        <v>95</v>
      </c>
      <c r="B62" s="63"/>
      <c r="C62" s="63"/>
      <c r="D62" s="39"/>
      <c r="E62" s="39"/>
      <c r="F62" s="39"/>
      <c r="G62" s="39"/>
      <c r="H62" s="39"/>
      <c r="I62" s="39"/>
    </row>
    <row r="63" spans="1:12" x14ac:dyDescent="0.35">
      <c r="A63" s="3" t="s">
        <v>192</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H60"/>
  <sheetViews>
    <sheetView topLeftCell="A28" workbookViewId="0">
      <selection activeCell="O28"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06/01/2023</v>
      </c>
      <c r="B1" s="3"/>
      <c r="C1" s="3"/>
    </row>
    <row r="2" spans="1:34" x14ac:dyDescent="0.35">
      <c r="D2" s="3" t="s">
        <v>166</v>
      </c>
    </row>
    <row r="3" spans="1:34" ht="29" x14ac:dyDescent="0.35">
      <c r="D3" s="48" t="s">
        <v>46</v>
      </c>
      <c r="E3" s="70" t="s">
        <v>58</v>
      </c>
      <c r="F3" s="48" t="s">
        <v>3</v>
      </c>
      <c r="G3" s="70" t="s">
        <v>55</v>
      </c>
      <c r="H3" s="48" t="s">
        <v>10</v>
      </c>
      <c r="I3" s="48" t="s">
        <v>59</v>
      </c>
      <c r="R3" s="48"/>
    </row>
    <row r="4" spans="1:34" x14ac:dyDescent="0.35">
      <c r="A4" s="20" t="s">
        <v>24</v>
      </c>
      <c r="B4" s="20"/>
      <c r="C4" s="20"/>
      <c r="D4" s="22">
        <f>SUM(C15:L15)</f>
        <v>222930.02125760005</v>
      </c>
      <c r="E4" s="22">
        <f>SUM(C21:K21)</f>
        <v>165323.58000000002</v>
      </c>
      <c r="F4" s="22">
        <f>E4-D4</f>
        <v>-57606.441257600032</v>
      </c>
      <c r="G4" s="22">
        <f>+B35</f>
        <v>268142.56125760003</v>
      </c>
      <c r="H4" s="22">
        <f>SUM(C42:K42)</f>
        <v>10564.640000000001</v>
      </c>
      <c r="I4" s="25">
        <f>SUM(F4:H4)</f>
        <v>221100.76</v>
      </c>
      <c r="J4" s="47">
        <f>+I4-L35</f>
        <v>0</v>
      </c>
      <c r="M4" s="47"/>
    </row>
    <row r="5" spans="1:34" x14ac:dyDescent="0.35">
      <c r="A5" s="20" t="s">
        <v>107</v>
      </c>
      <c r="B5" s="20"/>
      <c r="C5" s="20"/>
      <c r="D5" s="22">
        <f t="shared" ref="D5:D7" si="0">SUM(C16:L16)</f>
        <v>59040.377040000007</v>
      </c>
      <c r="E5" s="22">
        <f t="shared" ref="E5:E7" si="1">SUM(C22:K22)</f>
        <v>40917.87000000001</v>
      </c>
      <c r="F5" s="22">
        <f t="shared" ref="F5:F7" si="2">E5-D5</f>
        <v>-18122.507039999997</v>
      </c>
      <c r="G5" s="22">
        <f t="shared" ref="G5:G7" si="3">+B36</f>
        <v>41271.137039999994</v>
      </c>
      <c r="H5" s="22">
        <f t="shared" ref="H5:H7" si="4">SUM(C43:K43)</f>
        <v>1529.6299999999997</v>
      </c>
      <c r="I5" s="25">
        <f t="shared" ref="I5:I7" si="5">SUM(F5:H5)</f>
        <v>24678.26</v>
      </c>
      <c r="J5" s="47">
        <f>+I5-L36</f>
        <v>0</v>
      </c>
      <c r="M5" s="47"/>
    </row>
    <row r="6" spans="1:34" x14ac:dyDescent="0.35">
      <c r="A6" s="20" t="s">
        <v>108</v>
      </c>
      <c r="B6" s="20"/>
      <c r="C6" s="20"/>
      <c r="D6" s="22">
        <f t="shared" si="0"/>
        <v>51266.61039999999</v>
      </c>
      <c r="E6" s="22">
        <f t="shared" si="1"/>
        <v>32948.94</v>
      </c>
      <c r="F6" s="22">
        <f t="shared" si="2"/>
        <v>-18317.670399999988</v>
      </c>
      <c r="G6" s="22">
        <f t="shared" si="3"/>
        <v>57632.170400000003</v>
      </c>
      <c r="H6" s="22">
        <f t="shared" si="4"/>
        <v>2153.38</v>
      </c>
      <c r="I6" s="25">
        <f t="shared" si="5"/>
        <v>41467.880000000012</v>
      </c>
      <c r="J6" s="47">
        <f>+I6-L37</f>
        <v>0</v>
      </c>
      <c r="M6" s="47"/>
    </row>
    <row r="7" spans="1:34" ht="15" thickBot="1" x14ac:dyDescent="0.4">
      <c r="A7" s="20" t="s">
        <v>109</v>
      </c>
      <c r="B7" s="20"/>
      <c r="C7" s="20"/>
      <c r="D7" s="22">
        <f t="shared" si="0"/>
        <v>29629.911019999996</v>
      </c>
      <c r="E7" s="22">
        <f t="shared" si="1"/>
        <v>22450.1</v>
      </c>
      <c r="F7" s="22">
        <f t="shared" si="2"/>
        <v>-7179.8110199999974</v>
      </c>
      <c r="G7" s="22">
        <f t="shared" si="3"/>
        <v>60489.611019999989</v>
      </c>
      <c r="H7" s="22">
        <f t="shared" si="4"/>
        <v>2313.39</v>
      </c>
      <c r="I7" s="25">
        <f t="shared" si="5"/>
        <v>55623.189999999988</v>
      </c>
      <c r="J7" s="47">
        <f>+I7-L38</f>
        <v>0</v>
      </c>
      <c r="M7" s="47"/>
    </row>
    <row r="8" spans="1:34" ht="15.5" thickTop="1" thickBot="1" x14ac:dyDescent="0.4">
      <c r="D8" s="27">
        <f t="shared" ref="D8:I8" si="6">SUM(D4:D7)</f>
        <v>362866.91971760005</v>
      </c>
      <c r="E8" s="27">
        <f t="shared" si="6"/>
        <v>261640.49000000002</v>
      </c>
      <c r="F8" s="27">
        <f t="shared" si="6"/>
        <v>-101226.42971760001</v>
      </c>
      <c r="G8" s="27">
        <f t="shared" si="6"/>
        <v>427535.47971760004</v>
      </c>
      <c r="H8" s="27">
        <f t="shared" si="6"/>
        <v>16561.04</v>
      </c>
      <c r="I8" s="27">
        <f t="shared" si="6"/>
        <v>342870.09</v>
      </c>
      <c r="S8" s="5"/>
    </row>
    <row r="9" spans="1:34" ht="15.5" thickTop="1" thickBot="1" x14ac:dyDescent="0.4">
      <c r="U9" s="4"/>
      <c r="V9" s="5"/>
    </row>
    <row r="10" spans="1:34" ht="116.5" thickBot="1" x14ac:dyDescent="0.4">
      <c r="B10" s="118" t="str">
        <f>+'PCR Cycle 2'!B13</f>
        <v>Cumulative Over/Under Carryover From 12/01/2022 Filing</v>
      </c>
      <c r="C10" s="151" t="str">
        <f>+'PCR Cycle 2'!C13</f>
        <v>Reverse November 2022 - January 2023 Forecast From 12/01/2022 Filing</v>
      </c>
      <c r="D10" s="336" t="s">
        <v>33</v>
      </c>
      <c r="E10" s="324"/>
      <c r="F10" s="325"/>
      <c r="G10" s="333" t="s">
        <v>33</v>
      </c>
      <c r="H10" s="334"/>
      <c r="I10" s="335"/>
      <c r="J10" s="320" t="s">
        <v>8</v>
      </c>
      <c r="K10" s="321"/>
      <c r="L10" s="322"/>
    </row>
    <row r="11" spans="1:34" x14ac:dyDescent="0.35">
      <c r="A11" s="46" t="s">
        <v>86</v>
      </c>
      <c r="C11" s="105"/>
      <c r="D11" s="19">
        <f>+'PCR Cycle 2'!D14</f>
        <v>44895</v>
      </c>
      <c r="E11" s="19">
        <f t="shared" ref="E11:L11" si="7">EOMONTH(D11,1)</f>
        <v>44926</v>
      </c>
      <c r="F11" s="19">
        <f t="shared" si="7"/>
        <v>44957</v>
      </c>
      <c r="G11" s="14">
        <f t="shared" si="7"/>
        <v>44985</v>
      </c>
      <c r="H11" s="19">
        <f t="shared" si="7"/>
        <v>45016</v>
      </c>
      <c r="I11" s="15">
        <f t="shared" si="7"/>
        <v>45046</v>
      </c>
      <c r="J11" s="19">
        <f t="shared" si="7"/>
        <v>45077</v>
      </c>
      <c r="K11" s="19">
        <f t="shared" si="7"/>
        <v>45107</v>
      </c>
      <c r="L11" s="15">
        <f t="shared" si="7"/>
        <v>45138</v>
      </c>
      <c r="Y11" s="1"/>
      <c r="Z11" s="1"/>
      <c r="AA11" s="1"/>
      <c r="AB11" s="1"/>
      <c r="AC11" s="1"/>
      <c r="AD11" s="1"/>
      <c r="AE11" s="1"/>
      <c r="AF11" s="1"/>
      <c r="AG11" s="1"/>
      <c r="AH11" s="1"/>
    </row>
    <row r="12" spans="1:34" x14ac:dyDescent="0.35">
      <c r="A12" s="46" t="s">
        <v>5</v>
      </c>
      <c r="C12" s="97">
        <v>-428924.37999999995</v>
      </c>
      <c r="D12" s="109">
        <f t="shared" ref="D12:K12" si="8">SUM(D21:D24)</f>
        <v>214462.18999999997</v>
      </c>
      <c r="E12" s="109">
        <f t="shared" si="8"/>
        <v>214462.18999999997</v>
      </c>
      <c r="F12" s="110">
        <f t="shared" si="8"/>
        <v>214462.18999999997</v>
      </c>
      <c r="G12" s="16">
        <f t="shared" si="8"/>
        <v>9435.66</v>
      </c>
      <c r="H12" s="55">
        <f t="shared" si="8"/>
        <v>9435.66</v>
      </c>
      <c r="I12" s="164">
        <f t="shared" si="8"/>
        <v>9435.66</v>
      </c>
      <c r="J12" s="157">
        <f t="shared" si="8"/>
        <v>9435.66</v>
      </c>
      <c r="K12" s="78">
        <f t="shared" si="8"/>
        <v>9435.66</v>
      </c>
      <c r="L12" s="79"/>
    </row>
    <row r="13" spans="1:34" x14ac:dyDescent="0.35">
      <c r="C13" s="99"/>
      <c r="D13" s="17"/>
      <c r="E13" s="17"/>
      <c r="F13" s="17"/>
      <c r="G13" s="10"/>
      <c r="H13" s="17"/>
      <c r="I13" s="11"/>
      <c r="J13" s="31"/>
      <c r="K13" s="31"/>
      <c r="L13" s="29"/>
    </row>
    <row r="14" spans="1:34" x14ac:dyDescent="0.35">
      <c r="A14" s="46" t="s">
        <v>87</v>
      </c>
      <c r="C14" s="99"/>
      <c r="D14" s="18"/>
      <c r="E14" s="18"/>
      <c r="F14" s="18"/>
      <c r="G14" s="91"/>
      <c r="H14" s="18"/>
      <c r="I14" s="165"/>
      <c r="J14" s="31"/>
      <c r="K14" s="31"/>
      <c r="L14" s="29"/>
      <c r="M14" s="3" t="s">
        <v>50</v>
      </c>
      <c r="N14" s="39"/>
    </row>
    <row r="15" spans="1:34" x14ac:dyDescent="0.35">
      <c r="A15" s="46" t="s">
        <v>24</v>
      </c>
      <c r="C15" s="97">
        <v>-225381.98874239996</v>
      </c>
      <c r="D15" s="134">
        <f>ROUND('[4]Nov 2022'!$F97,2)</f>
        <v>54863.31</v>
      </c>
      <c r="E15" s="134">
        <f>ROUND('[4]Dec 2022'!$F97,2)</f>
        <v>77376.320000000007</v>
      </c>
      <c r="F15" s="134">
        <f>ROUND('[4]Jan 2023'!$F97,2)</f>
        <v>93788.89</v>
      </c>
      <c r="G15" s="185">
        <f>ROUND('[4]Feb 2023'!$F104,2)</f>
        <v>43803.25</v>
      </c>
      <c r="H15" s="121">
        <f>ROUND('[4]Mar 2023'!$F104,2)</f>
        <v>36907.21</v>
      </c>
      <c r="I15" s="166">
        <f>ROUND('[4]Apr 2023'!$F104,2)</f>
        <v>30868.75</v>
      </c>
      <c r="J15" s="123">
        <f>ROUND('PCR Cycle 2'!J26*$M15,2)</f>
        <v>27749.23</v>
      </c>
      <c r="K15" s="41">
        <f>ROUND('PCR Cycle 2'!K26*$M15,2)</f>
        <v>34632.17</v>
      </c>
      <c r="L15" s="61">
        <f>ROUND('PCR Cycle 2'!L26*$M15,2)</f>
        <v>48322.879999999997</v>
      </c>
      <c r="M15" s="72">
        <v>1.2999999999999999E-4</v>
      </c>
      <c r="N15" s="4"/>
    </row>
    <row r="16" spans="1:34" x14ac:dyDescent="0.35">
      <c r="A16" s="46" t="s">
        <v>134</v>
      </c>
      <c r="C16" s="97">
        <v>-47697.662960000001</v>
      </c>
      <c r="D16" s="134">
        <f>ROUND('[4]Nov 2022'!$F98,2)</f>
        <v>16303.84</v>
      </c>
      <c r="E16" s="134">
        <f>ROUND('[4]Dec 2022'!$F98,2)</f>
        <v>18588.63</v>
      </c>
      <c r="F16" s="134">
        <f>ROUND('[4]Jan 2023'!$F98,2)</f>
        <v>20956.18</v>
      </c>
      <c r="G16" s="185">
        <f>ROUND('[4]Feb 2023'!$F105,2)</f>
        <v>8962.17</v>
      </c>
      <c r="H16" s="121">
        <f>ROUND('[4]Mar 2023'!$F105,2)</f>
        <v>8234</v>
      </c>
      <c r="I16" s="166">
        <f>ROUND('[4]Apr 2023'!$F105,2)</f>
        <v>7509.76</v>
      </c>
      <c r="J16" s="123">
        <f>ROUND('PCR Cycle 2'!J27*$M16,2)</f>
        <v>7887.36</v>
      </c>
      <c r="K16" s="41">
        <f>ROUND('PCR Cycle 2'!K27*$M16,2)</f>
        <v>8594.15</v>
      </c>
      <c r="L16" s="61">
        <f>ROUND('PCR Cycle 2'!L27*$M16,2)</f>
        <v>9701.9500000000007</v>
      </c>
      <c r="M16" s="72">
        <v>8.0000000000000007E-5</v>
      </c>
      <c r="N16" s="4"/>
    </row>
    <row r="17" spans="1:14" x14ac:dyDescent="0.35">
      <c r="A17" s="46" t="s">
        <v>135</v>
      </c>
      <c r="C17" s="97">
        <v>-45779.449600000007</v>
      </c>
      <c r="D17" s="134">
        <f>ROUND('[4]Nov 2022'!$F99,2)</f>
        <v>15223.86</v>
      </c>
      <c r="E17" s="134">
        <f>ROUND('[4]Dec 2022'!$F99,2)</f>
        <v>15706.81</v>
      </c>
      <c r="F17" s="134">
        <f>ROUND('[4]Jan 2023'!$F99,2)</f>
        <v>16452.310000000001</v>
      </c>
      <c r="G17" s="185">
        <f>ROUND('[4]Feb 2023'!$F106,2)</f>
        <v>8315.4699999999993</v>
      </c>
      <c r="H17" s="121">
        <f>ROUND('[4]Mar 2023'!$F106,2)</f>
        <v>7879.52</v>
      </c>
      <c r="I17" s="166">
        <f>ROUND('[4]Apr 2023'!$F106,2)</f>
        <v>7164.72</v>
      </c>
      <c r="J17" s="123">
        <f>ROUND('PCR Cycle 2'!J28*$M17,2)</f>
        <v>7923.48</v>
      </c>
      <c r="K17" s="41">
        <f>ROUND('PCR Cycle 2'!K28*$M17,2)</f>
        <v>8633.51</v>
      </c>
      <c r="L17" s="61">
        <f>ROUND('PCR Cycle 2'!L28*$M17,2)</f>
        <v>9746.3799999999992</v>
      </c>
      <c r="M17" s="72">
        <v>9.0000000000000006E-5</v>
      </c>
      <c r="N17" s="4"/>
    </row>
    <row r="18" spans="1:14" x14ac:dyDescent="0.35">
      <c r="A18" s="46" t="s">
        <v>136</v>
      </c>
      <c r="C18" s="97">
        <v>-35669.098980000002</v>
      </c>
      <c r="D18" s="134">
        <f>ROUND('[4]Nov 2022'!$F100,2)</f>
        <v>11852.29</v>
      </c>
      <c r="E18" s="134">
        <f>ROUND('[4]Dec 2022'!$F100,2)</f>
        <v>12410.19</v>
      </c>
      <c r="F18" s="134">
        <f>ROUND('[4]Jan 2023'!$F100,2)</f>
        <v>10939.43</v>
      </c>
      <c r="G18" s="185">
        <f>ROUND('[4]Feb 2023'!$F107,2)</f>
        <v>1729.04</v>
      </c>
      <c r="H18" s="121">
        <f>ROUND('[4]Mar 2023'!$F107,2)</f>
        <v>6085.01</v>
      </c>
      <c r="I18" s="166">
        <f>ROUND('[4]Apr 2023'!$F107,2)</f>
        <v>4685.3</v>
      </c>
      <c r="J18" s="123">
        <f>ROUND('PCR Cycle 2'!J29*$M18,2)</f>
        <v>5301.05</v>
      </c>
      <c r="K18" s="41">
        <f>ROUND('PCR Cycle 2'!K29*$M18,2)</f>
        <v>5776.08</v>
      </c>
      <c r="L18" s="61">
        <f>ROUND('PCR Cycle 2'!L29*$M18,2)</f>
        <v>6520.62</v>
      </c>
      <c r="M18" s="72">
        <v>8.9999999999999992E-5</v>
      </c>
      <c r="N18" s="4"/>
    </row>
    <row r="19" spans="1:14" x14ac:dyDescent="0.35">
      <c r="C19" s="67"/>
      <c r="D19" s="68"/>
      <c r="E19" s="68"/>
      <c r="F19" s="68"/>
      <c r="G19" s="67"/>
      <c r="H19" s="68"/>
      <c r="I19" s="167"/>
      <c r="J19" s="56"/>
      <c r="K19" s="56"/>
      <c r="L19" s="13"/>
      <c r="N19" s="4"/>
    </row>
    <row r="20" spans="1:14" x14ac:dyDescent="0.35">
      <c r="A20" s="46" t="s">
        <v>89</v>
      </c>
      <c r="C20" s="36"/>
      <c r="D20" s="37"/>
      <c r="E20" s="37"/>
      <c r="F20" s="37"/>
      <c r="G20" s="36"/>
      <c r="H20" s="37"/>
      <c r="I20" s="170"/>
      <c r="J20" s="52"/>
      <c r="K20" s="52"/>
      <c r="L20" s="38"/>
    </row>
    <row r="21" spans="1:14" x14ac:dyDescent="0.35">
      <c r="A21" s="46" t="s">
        <v>24</v>
      </c>
      <c r="C21" s="97">
        <v>-272460.86</v>
      </c>
      <c r="D21" s="109">
        <f>ROUND('EO Cycle 3'!$F18/12+'EO Cycle 3'!$F29/12,2)</f>
        <v>136230.43</v>
      </c>
      <c r="E21" s="109">
        <f>ROUND('EO Cycle 3'!$F18/12+'EO Cycle 3'!$F29/12,2)</f>
        <v>136230.43</v>
      </c>
      <c r="F21" s="110">
        <f>ROUND('EO Cycle 3'!$F18/12+'EO Cycle 3'!$F29/12,2)</f>
        <v>136230.43</v>
      </c>
      <c r="G21" s="16">
        <f>ROUND('EO Cycle 3'!$F29/12+'EO Cycle 3'!$F40/12,2)</f>
        <v>5818.63</v>
      </c>
      <c r="H21" s="55">
        <f>ROUND('EO Cycle 3'!$F29/12+'EO Cycle 3'!$F40/12,2)</f>
        <v>5818.63</v>
      </c>
      <c r="I21" s="164">
        <f>ROUND('EO Cycle 3'!$F29/12+'EO Cycle 3'!$F40/12,2)</f>
        <v>5818.63</v>
      </c>
      <c r="J21" s="159">
        <f>ROUND('EO Cycle 3'!$F29/12+'EO Cycle 3'!$F40/12,2)</f>
        <v>5818.63</v>
      </c>
      <c r="K21" s="141">
        <f>ROUND('EO Cycle 3'!$F29/12+'EO Cycle 3'!$F40/12,2)</f>
        <v>5818.63</v>
      </c>
      <c r="L21" s="79"/>
    </row>
    <row r="22" spans="1:14" x14ac:dyDescent="0.35">
      <c r="A22" s="46" t="s">
        <v>134</v>
      </c>
      <c r="C22" s="97">
        <v>-57364.54</v>
      </c>
      <c r="D22" s="109">
        <f>ROUND('EO Cycle 3'!$F22/12+'EO Cycle 3'!$F33/12,2)</f>
        <v>28682.27</v>
      </c>
      <c r="E22" s="109">
        <f>ROUND('EO Cycle 3'!$F22/12+'EO Cycle 3'!$F33/12,2)</f>
        <v>28682.27</v>
      </c>
      <c r="F22" s="110">
        <f>ROUND('EO Cycle 3'!$F22/12+'EO Cycle 3'!$F33/12,2)</f>
        <v>28682.27</v>
      </c>
      <c r="G22" s="16">
        <f>ROUND('EO Cycle 3'!$F33/12+'EO Cycle 3'!$F44/12,2)</f>
        <v>2447.12</v>
      </c>
      <c r="H22" s="55">
        <f>ROUND('EO Cycle 3'!$F33/12+'EO Cycle 3'!$F44/12,2)</f>
        <v>2447.12</v>
      </c>
      <c r="I22" s="164">
        <f>ROUND('EO Cycle 3'!$F33/12+'EO Cycle 3'!$F44/12,2)</f>
        <v>2447.12</v>
      </c>
      <c r="J22" s="159">
        <f>ROUND('EO Cycle 3'!$F33/12+'EO Cycle 3'!$F44/12,2)</f>
        <v>2447.12</v>
      </c>
      <c r="K22" s="141">
        <f>ROUND('EO Cycle 3'!$F33/12+'EO Cycle 3'!$F44/12,2)</f>
        <v>2447.12</v>
      </c>
      <c r="L22" s="79"/>
    </row>
    <row r="23" spans="1:14" x14ac:dyDescent="0.35">
      <c r="A23" s="46" t="s">
        <v>135</v>
      </c>
      <c r="C23" s="97">
        <v>-55419.48</v>
      </c>
      <c r="D23" s="109">
        <f>ROUND('EO Cycle 3'!$F23/12+'EO Cycle 3'!$F34/12,2)</f>
        <v>27709.74</v>
      </c>
      <c r="E23" s="109">
        <f>ROUND('EO Cycle 3'!$F23/12+'EO Cycle 3'!$F34/12,2)</f>
        <v>27709.74</v>
      </c>
      <c r="F23" s="110">
        <f>ROUND('EO Cycle 3'!$F23/12+'EO Cycle 3'!$F34/12,2)</f>
        <v>27709.74</v>
      </c>
      <c r="G23" s="16">
        <f>ROUND('EO Cycle 3'!$F34/12+'EO Cycle 3'!$F45/12,2)</f>
        <v>1047.8399999999999</v>
      </c>
      <c r="H23" s="55">
        <f>ROUND('EO Cycle 3'!$F34/12+'EO Cycle 3'!$F45/12,2)</f>
        <v>1047.8399999999999</v>
      </c>
      <c r="I23" s="164">
        <f>ROUND('EO Cycle 3'!$F34/12+'EO Cycle 3'!$F45/12,2)</f>
        <v>1047.8399999999999</v>
      </c>
      <c r="J23" s="159">
        <f>ROUND('EO Cycle 3'!$F34/12+'EO Cycle 3'!$F45/12,2)</f>
        <v>1047.8399999999999</v>
      </c>
      <c r="K23" s="141">
        <f>ROUND('EO Cycle 3'!$F34/12+'EO Cycle 3'!$F45/12,2)</f>
        <v>1047.8399999999999</v>
      </c>
      <c r="L23" s="79"/>
    </row>
    <row r="24" spans="1:14" x14ac:dyDescent="0.35">
      <c r="A24" s="46" t="s">
        <v>136</v>
      </c>
      <c r="C24" s="97">
        <v>-43679.5</v>
      </c>
      <c r="D24" s="109">
        <f>ROUND('EO Cycle 3'!$F24/12+'EO Cycle 3'!$F35/12,2)</f>
        <v>21839.75</v>
      </c>
      <c r="E24" s="109">
        <f>ROUND('EO Cycle 3'!$F24/12+'EO Cycle 3'!$F35/12,2)</f>
        <v>21839.75</v>
      </c>
      <c r="F24" s="110">
        <f>ROUND('EO Cycle 3'!$F24/12+'EO Cycle 3'!$F35/12,2)</f>
        <v>21839.75</v>
      </c>
      <c r="G24" s="16">
        <f>ROUND('EO Cycle 3'!$F35/12+'EO Cycle 3'!$F46/12,2)</f>
        <v>122.07</v>
      </c>
      <c r="H24" s="55">
        <f>ROUND('EO Cycle 3'!$F35/12+'EO Cycle 3'!$F46/12,2)</f>
        <v>122.07</v>
      </c>
      <c r="I24" s="164">
        <f>ROUND('EO Cycle 3'!$F35/12+'EO Cycle 3'!$F46/12,2)</f>
        <v>122.07</v>
      </c>
      <c r="J24" s="159">
        <f>ROUND('EO Cycle 3'!$F35/12+'EO Cycle 3'!$F46/12,2)</f>
        <v>122.07</v>
      </c>
      <c r="K24" s="141">
        <f>ROUND('EO Cycle 3'!$F35/12+'EO Cycle 3'!$F46/12,2)</f>
        <v>122.07</v>
      </c>
      <c r="L24" s="79"/>
      <c r="N24" s="47"/>
    </row>
    <row r="25" spans="1:14" x14ac:dyDescent="0.35">
      <c r="C25" s="99"/>
      <c r="D25" s="18"/>
      <c r="E25" s="18"/>
      <c r="F25" s="18"/>
      <c r="G25" s="91"/>
      <c r="H25" s="18"/>
      <c r="I25" s="165"/>
      <c r="J25" s="56"/>
      <c r="K25" s="56"/>
      <c r="L25" s="13"/>
    </row>
    <row r="26" spans="1:14" ht="15" thickBot="1" x14ac:dyDescent="0.4">
      <c r="A26" s="3" t="s">
        <v>14</v>
      </c>
      <c r="B26" s="3"/>
      <c r="C26" s="103">
        <v>-3639.25</v>
      </c>
      <c r="D26" s="134">
        <v>1763.6499999999999</v>
      </c>
      <c r="E26" s="134">
        <v>2377.7199999999998</v>
      </c>
      <c r="F26" s="135">
        <v>2844.4800000000005</v>
      </c>
      <c r="G26" s="26">
        <v>2965.98</v>
      </c>
      <c r="H26" s="122">
        <v>2812.45</v>
      </c>
      <c r="I26" s="171">
        <v>2679.07</v>
      </c>
      <c r="J26" s="160">
        <v>2485.39</v>
      </c>
      <c r="K26" s="143">
        <v>2271.5499999999997</v>
      </c>
      <c r="L26" s="82"/>
    </row>
    <row r="27" spans="1:14" x14ac:dyDescent="0.35">
      <c r="C27" s="64"/>
      <c r="D27" s="147"/>
      <c r="E27" s="147"/>
      <c r="F27" s="148"/>
      <c r="G27" s="64"/>
      <c r="H27" s="33"/>
      <c r="I27" s="172"/>
      <c r="J27" s="34"/>
      <c r="K27" s="34"/>
      <c r="L27" s="60"/>
    </row>
    <row r="28" spans="1:14" x14ac:dyDescent="0.35">
      <c r="A28" s="46" t="s">
        <v>52</v>
      </c>
      <c r="C28" s="65"/>
      <c r="D28" s="148"/>
      <c r="E28" s="148"/>
      <c r="F28" s="148"/>
      <c r="G28" s="65"/>
      <c r="H28" s="35"/>
      <c r="I28" s="173"/>
      <c r="J28" s="34"/>
      <c r="K28" s="34"/>
      <c r="L28" s="60"/>
    </row>
    <row r="29" spans="1:14" x14ac:dyDescent="0.35">
      <c r="A29" s="46" t="s">
        <v>24</v>
      </c>
      <c r="C29" s="100">
        <f t="shared" ref="C29:L32" si="9">C21-C15</f>
        <v>-47078.871257600025</v>
      </c>
      <c r="D29" s="41">
        <f t="shared" si="9"/>
        <v>81367.12</v>
      </c>
      <c r="E29" s="41">
        <f t="shared" si="9"/>
        <v>58854.109999999986</v>
      </c>
      <c r="F29" s="108">
        <f t="shared" si="9"/>
        <v>42441.539999999994</v>
      </c>
      <c r="G29" s="40">
        <f t="shared" si="9"/>
        <v>-37984.620000000003</v>
      </c>
      <c r="H29" s="41">
        <f t="shared" si="9"/>
        <v>-31088.579999999998</v>
      </c>
      <c r="I29" s="61">
        <f t="shared" si="9"/>
        <v>-25050.12</v>
      </c>
      <c r="J29" s="123">
        <f t="shared" si="9"/>
        <v>-21930.6</v>
      </c>
      <c r="K29" s="41">
        <f t="shared" si="9"/>
        <v>-28813.539999999997</v>
      </c>
      <c r="L29" s="61">
        <f t="shared" si="9"/>
        <v>-48322.879999999997</v>
      </c>
    </row>
    <row r="30" spans="1:14" x14ac:dyDescent="0.35">
      <c r="A30" s="46" t="s">
        <v>134</v>
      </c>
      <c r="C30" s="100">
        <f t="shared" si="9"/>
        <v>-9666.8770399999994</v>
      </c>
      <c r="D30" s="41">
        <f t="shared" si="9"/>
        <v>12378.43</v>
      </c>
      <c r="E30" s="41">
        <f t="shared" si="9"/>
        <v>10093.64</v>
      </c>
      <c r="F30" s="108">
        <f t="shared" si="9"/>
        <v>7726.09</v>
      </c>
      <c r="G30" s="40">
        <f t="shared" si="9"/>
        <v>-6515.05</v>
      </c>
      <c r="H30" s="41">
        <f t="shared" si="9"/>
        <v>-5786.88</v>
      </c>
      <c r="I30" s="61">
        <f t="shared" si="9"/>
        <v>-5062.6400000000003</v>
      </c>
      <c r="J30" s="123">
        <f t="shared" si="9"/>
        <v>-5440.24</v>
      </c>
      <c r="K30" s="41">
        <f t="shared" si="9"/>
        <v>-6147.03</v>
      </c>
      <c r="L30" s="61">
        <f t="shared" si="9"/>
        <v>-9701.9500000000007</v>
      </c>
    </row>
    <row r="31" spans="1:14" x14ac:dyDescent="0.35">
      <c r="A31" s="46" t="s">
        <v>135</v>
      </c>
      <c r="C31" s="100">
        <f t="shared" si="9"/>
        <v>-9640.030399999996</v>
      </c>
      <c r="D31" s="41">
        <f t="shared" si="9"/>
        <v>12485.880000000001</v>
      </c>
      <c r="E31" s="41">
        <f t="shared" si="9"/>
        <v>12002.930000000002</v>
      </c>
      <c r="F31" s="108">
        <f t="shared" si="9"/>
        <v>11257.43</v>
      </c>
      <c r="G31" s="40">
        <f t="shared" si="9"/>
        <v>-7267.6299999999992</v>
      </c>
      <c r="H31" s="41">
        <f t="shared" si="9"/>
        <v>-6831.68</v>
      </c>
      <c r="I31" s="61">
        <f t="shared" si="9"/>
        <v>-6116.88</v>
      </c>
      <c r="J31" s="123">
        <f t="shared" si="9"/>
        <v>-6875.6399999999994</v>
      </c>
      <c r="K31" s="41">
        <f t="shared" si="9"/>
        <v>-7585.67</v>
      </c>
      <c r="L31" s="61">
        <f t="shared" si="9"/>
        <v>-9746.3799999999992</v>
      </c>
    </row>
    <row r="32" spans="1:14" x14ac:dyDescent="0.35">
      <c r="A32" s="46" t="s">
        <v>136</v>
      </c>
      <c r="C32" s="100">
        <f t="shared" si="9"/>
        <v>-8010.4010199999975</v>
      </c>
      <c r="D32" s="41">
        <f t="shared" si="9"/>
        <v>9987.4599999999991</v>
      </c>
      <c r="E32" s="41">
        <f t="shared" si="9"/>
        <v>9429.56</v>
      </c>
      <c r="F32" s="108">
        <f t="shared" si="9"/>
        <v>10900.32</v>
      </c>
      <c r="G32" s="40">
        <f t="shared" si="9"/>
        <v>-1606.97</v>
      </c>
      <c r="H32" s="41">
        <f t="shared" si="9"/>
        <v>-5962.9400000000005</v>
      </c>
      <c r="I32" s="61">
        <f t="shared" si="9"/>
        <v>-4563.2300000000005</v>
      </c>
      <c r="J32" s="123">
        <f t="shared" si="9"/>
        <v>-5178.9800000000005</v>
      </c>
      <c r="K32" s="41">
        <f t="shared" si="9"/>
        <v>-5654.01</v>
      </c>
      <c r="L32" s="61">
        <f t="shared" si="9"/>
        <v>-6520.62</v>
      </c>
    </row>
    <row r="33" spans="1:12" x14ac:dyDescent="0.35">
      <c r="C33" s="99"/>
      <c r="D33" s="17"/>
      <c r="E33" s="17"/>
      <c r="F33" s="17"/>
      <c r="G33" s="10"/>
      <c r="H33" s="17"/>
      <c r="I33" s="11"/>
      <c r="J33" s="17"/>
      <c r="K33" s="17"/>
      <c r="L33" s="11"/>
    </row>
    <row r="34" spans="1:12" ht="15" thickBot="1" x14ac:dyDescent="0.4">
      <c r="A34" s="46" t="s">
        <v>53</v>
      </c>
      <c r="C34" s="99"/>
      <c r="D34" s="17"/>
      <c r="E34" s="17"/>
      <c r="F34" s="17"/>
      <c r="G34" s="10"/>
      <c r="H34" s="17"/>
      <c r="I34" s="11"/>
      <c r="J34" s="17"/>
      <c r="K34" s="17"/>
      <c r="L34" s="11"/>
    </row>
    <row r="35" spans="1:12" x14ac:dyDescent="0.35">
      <c r="A35" s="46" t="s">
        <v>24</v>
      </c>
      <c r="B35" s="116">
        <v>268142.56125760003</v>
      </c>
      <c r="C35" s="100">
        <f t="shared" ref="C35:L38" si="10">B35+C29+B42</f>
        <v>221063.69</v>
      </c>
      <c r="D35" s="41">
        <f t="shared" si="10"/>
        <v>300107.56</v>
      </c>
      <c r="E35" s="41">
        <f t="shared" si="10"/>
        <v>360084.14999999997</v>
      </c>
      <c r="F35" s="108">
        <f t="shared" si="10"/>
        <v>404059.23999999993</v>
      </c>
      <c r="G35" s="40">
        <f t="shared" si="10"/>
        <v>367900.52999999991</v>
      </c>
      <c r="H35" s="41">
        <f t="shared" si="10"/>
        <v>338697.06999999989</v>
      </c>
      <c r="I35" s="61">
        <f t="shared" si="10"/>
        <v>315425.49999999988</v>
      </c>
      <c r="J35" s="123">
        <f t="shared" si="10"/>
        <v>295191.86999999988</v>
      </c>
      <c r="K35" s="41">
        <f t="shared" si="10"/>
        <v>267962.52999999991</v>
      </c>
      <c r="L35" s="61">
        <f t="shared" si="10"/>
        <v>221100.75999999989</v>
      </c>
    </row>
    <row r="36" spans="1:12" x14ac:dyDescent="0.35">
      <c r="A36" s="46" t="s">
        <v>134</v>
      </c>
      <c r="B36" s="244">
        <v>41271.137039999994</v>
      </c>
      <c r="C36" s="100">
        <f t="shared" si="10"/>
        <v>31604.259999999995</v>
      </c>
      <c r="D36" s="41">
        <f t="shared" si="10"/>
        <v>43632.42</v>
      </c>
      <c r="E36" s="41">
        <f t="shared" si="10"/>
        <v>53888.07</v>
      </c>
      <c r="F36" s="108">
        <f t="shared" si="10"/>
        <v>61840.68</v>
      </c>
      <c r="G36" s="40">
        <f t="shared" si="10"/>
        <v>55602.149999999994</v>
      </c>
      <c r="H36" s="41">
        <f t="shared" si="10"/>
        <v>50102.06</v>
      </c>
      <c r="I36" s="61">
        <f t="shared" si="10"/>
        <v>45305.5</v>
      </c>
      <c r="J36" s="123">
        <f t="shared" si="10"/>
        <v>40112.79</v>
      </c>
      <c r="K36" s="41">
        <f t="shared" si="10"/>
        <v>34187.4</v>
      </c>
      <c r="L36" s="61">
        <f t="shared" si="10"/>
        <v>24678.260000000002</v>
      </c>
    </row>
    <row r="37" spans="1:12" x14ac:dyDescent="0.35">
      <c r="A37" s="46" t="s">
        <v>135</v>
      </c>
      <c r="B37" s="244">
        <v>57632.170400000003</v>
      </c>
      <c r="C37" s="100">
        <f t="shared" si="10"/>
        <v>47992.140000000007</v>
      </c>
      <c r="D37" s="41">
        <f t="shared" si="10"/>
        <v>60002.530000000006</v>
      </c>
      <c r="E37" s="41">
        <f t="shared" si="10"/>
        <v>72238.070000000007</v>
      </c>
      <c r="F37" s="108">
        <f t="shared" si="10"/>
        <v>83802.7</v>
      </c>
      <c r="G37" s="40">
        <f t="shared" si="10"/>
        <v>76907.909999999989</v>
      </c>
      <c r="H37" s="41">
        <f t="shared" si="10"/>
        <v>70468.669999999984</v>
      </c>
      <c r="I37" s="61">
        <f t="shared" si="10"/>
        <v>64722.739999999983</v>
      </c>
      <c r="J37" s="123">
        <f t="shared" si="10"/>
        <v>58197.829999999987</v>
      </c>
      <c r="K37" s="41">
        <f t="shared" si="10"/>
        <v>50931.089999999989</v>
      </c>
      <c r="L37" s="61">
        <f t="shared" si="10"/>
        <v>41467.87999999999</v>
      </c>
    </row>
    <row r="38" spans="1:12" ht="15" thickBot="1" x14ac:dyDescent="0.4">
      <c r="A38" s="46" t="s">
        <v>136</v>
      </c>
      <c r="B38" s="117">
        <v>60489.611019999989</v>
      </c>
      <c r="C38" s="100">
        <f t="shared" si="10"/>
        <v>52479.209999999992</v>
      </c>
      <c r="D38" s="41">
        <f t="shared" si="10"/>
        <v>61976.429999999993</v>
      </c>
      <c r="E38" s="41">
        <f t="shared" si="10"/>
        <v>71652.539999999994</v>
      </c>
      <c r="F38" s="108">
        <f t="shared" si="10"/>
        <v>82863.309999999983</v>
      </c>
      <c r="G38" s="40">
        <f t="shared" si="10"/>
        <v>81625.549999999988</v>
      </c>
      <c r="H38" s="41">
        <f t="shared" si="10"/>
        <v>76064.239999999991</v>
      </c>
      <c r="I38" s="61">
        <f t="shared" si="10"/>
        <v>71897.87999999999</v>
      </c>
      <c r="J38" s="123">
        <f t="shared" si="10"/>
        <v>67102.739999999991</v>
      </c>
      <c r="K38" s="41">
        <f t="shared" si="10"/>
        <v>61809.349999999991</v>
      </c>
      <c r="L38" s="61">
        <f t="shared" si="10"/>
        <v>55623.189999999988</v>
      </c>
    </row>
    <row r="39" spans="1:12" x14ac:dyDescent="0.35">
      <c r="C39" s="99"/>
      <c r="D39" s="17"/>
      <c r="E39" s="17"/>
      <c r="F39" s="17"/>
      <c r="G39" s="10"/>
      <c r="H39" s="17"/>
      <c r="I39" s="11"/>
      <c r="J39" s="17"/>
      <c r="K39" s="17"/>
      <c r="L39" s="11"/>
    </row>
    <row r="40" spans="1:12" x14ac:dyDescent="0.35">
      <c r="A40" s="39" t="s">
        <v>88</v>
      </c>
      <c r="B40" s="39"/>
      <c r="C40" s="104"/>
      <c r="D40" s="83">
        <f>+'PCR Cycle 2'!D47</f>
        <v>4.3267999999999996E-3</v>
      </c>
      <c r="E40" s="83">
        <f>+'PCR Cycle 2'!E47</f>
        <v>4.6379000000000004E-3</v>
      </c>
      <c r="F40" s="83">
        <f>+'PCR Cycle 2'!F47</f>
        <v>4.7694E-3</v>
      </c>
      <c r="G40" s="84">
        <f>+'PCR Cycle 2'!G47</f>
        <v>4.8724500000000004E-3</v>
      </c>
      <c r="H40" s="83">
        <f>+'PCR Cycle 2'!H47</f>
        <v>5.0207200000000002E-3</v>
      </c>
      <c r="I40" s="92">
        <f>+'PCR Cycle 2'!I47</f>
        <v>5.1744800000000004E-3</v>
      </c>
      <c r="J40" s="83">
        <f>+'PCR Cycle 2'!J47</f>
        <v>5.1744800000000004E-3</v>
      </c>
      <c r="K40" s="83">
        <f>+'PCR Cycle 2'!K47</f>
        <v>5.1744800000000004E-3</v>
      </c>
      <c r="L40" s="85"/>
    </row>
    <row r="41" spans="1:12" x14ac:dyDescent="0.35">
      <c r="A41" s="39" t="s">
        <v>37</v>
      </c>
      <c r="B41" s="39"/>
      <c r="C41" s="106"/>
      <c r="D41" s="83"/>
      <c r="E41" s="83"/>
      <c r="F41" s="83"/>
      <c r="G41" s="84"/>
      <c r="H41" s="83"/>
      <c r="I41" s="85"/>
      <c r="J41" s="83"/>
      <c r="K41" s="83"/>
      <c r="L41" s="85"/>
    </row>
    <row r="42" spans="1:12" x14ac:dyDescent="0.35">
      <c r="A42" s="46" t="s">
        <v>24</v>
      </c>
      <c r="C42" s="100">
        <v>-2323.25</v>
      </c>
      <c r="D42" s="41">
        <f t="shared" ref="D42:L45" si="11">ROUND((C35+C42+D29/2)*D$40,2)</f>
        <v>1122.48</v>
      </c>
      <c r="E42" s="41">
        <f t="shared" si="11"/>
        <v>1533.55</v>
      </c>
      <c r="F42" s="108">
        <f t="shared" si="11"/>
        <v>1825.91</v>
      </c>
      <c r="G42" s="40">
        <f t="shared" si="11"/>
        <v>1885.12</v>
      </c>
      <c r="H42" s="123">
        <f t="shared" si="11"/>
        <v>1778.55</v>
      </c>
      <c r="I42" s="49">
        <f t="shared" si="11"/>
        <v>1696.97</v>
      </c>
      <c r="J42" s="161">
        <f t="shared" si="11"/>
        <v>1584.2</v>
      </c>
      <c r="K42" s="108">
        <f t="shared" si="11"/>
        <v>1461.11</v>
      </c>
      <c r="L42" s="61">
        <f t="shared" si="11"/>
        <v>0</v>
      </c>
    </row>
    <row r="43" spans="1:12" x14ac:dyDescent="0.35">
      <c r="A43" s="46" t="s">
        <v>134</v>
      </c>
      <c r="C43" s="100">
        <v>-350.27</v>
      </c>
      <c r="D43" s="41">
        <f t="shared" si="11"/>
        <v>162.01</v>
      </c>
      <c r="E43" s="41">
        <f t="shared" si="11"/>
        <v>226.52</v>
      </c>
      <c r="F43" s="108">
        <f t="shared" si="11"/>
        <v>276.52</v>
      </c>
      <c r="G43" s="40">
        <f t="shared" si="11"/>
        <v>286.79000000000002</v>
      </c>
      <c r="H43" s="123">
        <f t="shared" si="11"/>
        <v>266.08</v>
      </c>
      <c r="I43" s="49">
        <f t="shared" si="11"/>
        <v>247.53</v>
      </c>
      <c r="J43" s="161">
        <f t="shared" si="11"/>
        <v>221.64</v>
      </c>
      <c r="K43" s="108">
        <f t="shared" si="11"/>
        <v>192.81</v>
      </c>
      <c r="L43" s="61">
        <f t="shared" si="11"/>
        <v>0</v>
      </c>
    </row>
    <row r="44" spans="1:12" x14ac:dyDescent="0.35">
      <c r="A44" s="46" t="s">
        <v>135</v>
      </c>
      <c r="C44" s="100">
        <v>-475.49</v>
      </c>
      <c r="D44" s="41">
        <f t="shared" si="11"/>
        <v>232.61</v>
      </c>
      <c r="E44" s="41">
        <f t="shared" si="11"/>
        <v>307.2</v>
      </c>
      <c r="F44" s="108">
        <f t="shared" si="11"/>
        <v>372.84</v>
      </c>
      <c r="G44" s="40">
        <f t="shared" si="11"/>
        <v>392.44</v>
      </c>
      <c r="H44" s="123">
        <f t="shared" si="11"/>
        <v>370.95</v>
      </c>
      <c r="I44" s="49">
        <f t="shared" si="11"/>
        <v>350.73</v>
      </c>
      <c r="J44" s="161">
        <f t="shared" si="11"/>
        <v>318.93</v>
      </c>
      <c r="K44" s="108">
        <f t="shared" si="11"/>
        <v>283.17</v>
      </c>
      <c r="L44" s="61">
        <f t="shared" si="11"/>
        <v>0</v>
      </c>
    </row>
    <row r="45" spans="1:12" ht="15" thickBot="1" x14ac:dyDescent="0.4">
      <c r="A45" s="46" t="s">
        <v>136</v>
      </c>
      <c r="C45" s="100">
        <v>-490.24</v>
      </c>
      <c r="D45" s="41">
        <f t="shared" si="11"/>
        <v>246.55</v>
      </c>
      <c r="E45" s="41">
        <f t="shared" si="11"/>
        <v>310.45</v>
      </c>
      <c r="F45" s="108">
        <f t="shared" si="11"/>
        <v>369.21</v>
      </c>
      <c r="G45" s="40">
        <f t="shared" si="11"/>
        <v>401.63</v>
      </c>
      <c r="H45" s="123">
        <f t="shared" si="11"/>
        <v>396.87</v>
      </c>
      <c r="I45" s="49">
        <f t="shared" si="11"/>
        <v>383.84</v>
      </c>
      <c r="J45" s="161">
        <f t="shared" si="11"/>
        <v>360.62</v>
      </c>
      <c r="K45" s="108">
        <f t="shared" si="11"/>
        <v>334.46</v>
      </c>
      <c r="L45" s="61">
        <f t="shared" si="11"/>
        <v>0</v>
      </c>
    </row>
    <row r="46" spans="1:12" ht="15.5" thickTop="1" thickBot="1" x14ac:dyDescent="0.4">
      <c r="A46" s="54" t="s">
        <v>22</v>
      </c>
      <c r="B46" s="54"/>
      <c r="C46" s="107">
        <v>0</v>
      </c>
      <c r="D46" s="42">
        <f t="shared" ref="D46:L46" si="12">SUM(D42:D45)+SUM(D35:D38)-D49</f>
        <v>0</v>
      </c>
      <c r="E46" s="42">
        <f t="shared" si="12"/>
        <v>0</v>
      </c>
      <c r="F46" s="50">
        <f t="shared" si="12"/>
        <v>0</v>
      </c>
      <c r="G46" s="145">
        <f t="shared" si="12"/>
        <v>0</v>
      </c>
      <c r="H46" s="50">
        <f t="shared" si="12"/>
        <v>0</v>
      </c>
      <c r="I46" s="62">
        <f t="shared" si="12"/>
        <v>0</v>
      </c>
      <c r="J46" s="162">
        <f t="shared" si="12"/>
        <v>0</v>
      </c>
      <c r="K46" s="50">
        <f t="shared" si="12"/>
        <v>0</v>
      </c>
      <c r="L46" s="62">
        <f t="shared" si="12"/>
        <v>0</v>
      </c>
    </row>
    <row r="47" spans="1:12" ht="15.5" thickTop="1" thickBot="1" x14ac:dyDescent="0.4">
      <c r="A47" s="54" t="s">
        <v>23</v>
      </c>
      <c r="B47" s="54"/>
      <c r="C47" s="107">
        <v>0</v>
      </c>
      <c r="D47" s="42">
        <f t="shared" ref="D47:L47" si="13">SUM(D42:D45)-D26</f>
        <v>0</v>
      </c>
      <c r="E47" s="42">
        <f t="shared" si="13"/>
        <v>0</v>
      </c>
      <c r="F47" s="50">
        <f t="shared" si="13"/>
        <v>0</v>
      </c>
      <c r="G47" s="145">
        <f t="shared" si="13"/>
        <v>0</v>
      </c>
      <c r="H47" s="50">
        <f t="shared" si="13"/>
        <v>0</v>
      </c>
      <c r="I47" s="62">
        <f t="shared" si="13"/>
        <v>0</v>
      </c>
      <c r="J47" s="163">
        <f t="shared" si="13"/>
        <v>0</v>
      </c>
      <c r="K47" s="42">
        <f t="shared" si="13"/>
        <v>0</v>
      </c>
      <c r="L47" s="42">
        <f t="shared" si="13"/>
        <v>0</v>
      </c>
    </row>
    <row r="48" spans="1:12" ht="15.5" thickTop="1" thickBot="1" x14ac:dyDescent="0.4">
      <c r="C48" s="99"/>
      <c r="D48" s="17"/>
      <c r="E48" s="17"/>
      <c r="F48" s="17"/>
      <c r="G48" s="10"/>
      <c r="H48" s="17"/>
      <c r="I48" s="11"/>
      <c r="J48" s="17"/>
      <c r="K48" s="17"/>
      <c r="L48" s="11"/>
    </row>
    <row r="49" spans="1:12" ht="15" thickBot="1" x14ac:dyDescent="0.4">
      <c r="A49" s="46" t="s">
        <v>36</v>
      </c>
      <c r="B49" s="119">
        <f>SUM(B35:B38)</f>
        <v>427535.47971760004</v>
      </c>
      <c r="C49" s="100">
        <f t="shared" ref="C49:L49" si="14">(C12-SUM(C15:C18))+SUM(C42:C45)+B49</f>
        <v>349500.05000000005</v>
      </c>
      <c r="D49" s="41">
        <f t="shared" si="14"/>
        <v>467482.59</v>
      </c>
      <c r="E49" s="41">
        <f t="shared" si="14"/>
        <v>560240.55000000005</v>
      </c>
      <c r="F49" s="108">
        <f t="shared" si="14"/>
        <v>635410.41</v>
      </c>
      <c r="G49" s="40">
        <f t="shared" si="14"/>
        <v>585002.12</v>
      </c>
      <c r="H49" s="41">
        <f t="shared" si="14"/>
        <v>538144.49</v>
      </c>
      <c r="I49" s="61">
        <f t="shared" si="14"/>
        <v>500030.69</v>
      </c>
      <c r="J49" s="161">
        <f t="shared" si="14"/>
        <v>463090.62</v>
      </c>
      <c r="K49" s="108">
        <f t="shared" si="14"/>
        <v>417161.92</v>
      </c>
      <c r="L49" s="61">
        <f t="shared" si="14"/>
        <v>342870.08999999997</v>
      </c>
    </row>
    <row r="50" spans="1:12" x14ac:dyDescent="0.35">
      <c r="A50" s="46" t="s">
        <v>12</v>
      </c>
      <c r="C50" s="120"/>
      <c r="D50" s="17"/>
      <c r="E50" s="17"/>
      <c r="F50" s="17"/>
      <c r="G50" s="10"/>
      <c r="H50" s="17"/>
      <c r="I50" s="11"/>
      <c r="J50" s="17"/>
      <c r="K50" s="17"/>
      <c r="L50" s="11"/>
    </row>
    <row r="51" spans="1:12" ht="15" thickBot="1" x14ac:dyDescent="0.4">
      <c r="A51" s="37"/>
      <c r="B51" s="37"/>
      <c r="C51" s="146"/>
      <c r="D51" s="44"/>
      <c r="E51" s="44"/>
      <c r="F51" s="44"/>
      <c r="G51" s="43"/>
      <c r="H51" s="44"/>
      <c r="I51" s="45"/>
      <c r="J51" s="44"/>
      <c r="K51" s="44"/>
      <c r="L51" s="45"/>
    </row>
    <row r="53" spans="1:12" x14ac:dyDescent="0.35">
      <c r="A53" s="69" t="s">
        <v>11</v>
      </c>
      <c r="B53" s="69"/>
      <c r="C53" s="69"/>
    </row>
    <row r="54" spans="1:12" ht="31.5" customHeight="1" x14ac:dyDescent="0.35">
      <c r="A54" s="323" t="s">
        <v>156</v>
      </c>
      <c r="B54" s="323"/>
      <c r="C54" s="323"/>
      <c r="D54" s="323"/>
      <c r="E54" s="323"/>
      <c r="F54" s="323"/>
      <c r="G54" s="323"/>
      <c r="H54" s="323"/>
      <c r="I54" s="323"/>
      <c r="J54" s="291"/>
      <c r="K54" s="291"/>
      <c r="L54" s="291"/>
    </row>
    <row r="55" spans="1:12" ht="62.15" customHeight="1" x14ac:dyDescent="0.35">
      <c r="A55" s="323" t="s">
        <v>283</v>
      </c>
      <c r="B55" s="323"/>
      <c r="C55" s="323"/>
      <c r="D55" s="323"/>
      <c r="E55" s="323"/>
      <c r="F55" s="323"/>
      <c r="G55" s="323"/>
      <c r="H55" s="323"/>
      <c r="I55" s="323"/>
      <c r="J55" s="291"/>
      <c r="K55" s="291"/>
    </row>
    <row r="56" spans="1:12" ht="18.75" customHeight="1" x14ac:dyDescent="0.35">
      <c r="A56" s="323" t="s">
        <v>214</v>
      </c>
      <c r="B56" s="323"/>
      <c r="C56" s="323"/>
      <c r="D56" s="323"/>
      <c r="E56" s="323"/>
      <c r="F56" s="323"/>
      <c r="G56" s="323"/>
      <c r="H56" s="323"/>
      <c r="I56" s="323"/>
      <c r="J56" s="291"/>
      <c r="K56" s="291"/>
      <c r="L56" s="291"/>
    </row>
    <row r="57" spans="1:12" x14ac:dyDescent="0.35">
      <c r="A57" s="63" t="s">
        <v>31</v>
      </c>
      <c r="B57" s="63"/>
      <c r="C57" s="63"/>
      <c r="D57" s="39"/>
      <c r="E57" s="39"/>
      <c r="F57" s="39"/>
      <c r="G57" s="39"/>
      <c r="H57" s="39"/>
      <c r="I57" s="39"/>
    </row>
    <row r="58" spans="1:12" x14ac:dyDescent="0.35">
      <c r="A58" s="63" t="s">
        <v>191</v>
      </c>
      <c r="B58" s="63"/>
      <c r="C58" s="63"/>
      <c r="D58" s="39"/>
      <c r="E58" s="39"/>
      <c r="F58" s="39"/>
      <c r="G58" s="39"/>
      <c r="H58" s="39"/>
      <c r="I58" s="39"/>
    </row>
    <row r="59" spans="1:12" x14ac:dyDescent="0.35">
      <c r="A59" s="63" t="s">
        <v>95</v>
      </c>
      <c r="B59" s="63"/>
      <c r="C59" s="63"/>
      <c r="D59" s="39"/>
      <c r="E59" s="39"/>
      <c r="F59" s="39"/>
      <c r="G59" s="39"/>
      <c r="H59" s="39"/>
      <c r="I59" s="39"/>
    </row>
    <row r="60" spans="1:12" x14ac:dyDescent="0.35">
      <c r="A60" s="3"/>
      <c r="B60" s="3"/>
      <c r="C60" s="3"/>
    </row>
  </sheetData>
  <mergeCells count="6">
    <mergeCell ref="A56:I56"/>
    <mergeCell ref="D10:F10"/>
    <mergeCell ref="G10:I10"/>
    <mergeCell ref="J10:L10"/>
    <mergeCell ref="A54:I54"/>
    <mergeCell ref="A55:I55"/>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activeCell="A21" sqref="A21"/>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5" width="12.26953125" style="46" bestFit="1" customWidth="1"/>
    <col min="6" max="6" width="13.453125" style="46" bestFit="1" customWidth="1"/>
    <col min="7" max="16384" width="9.1796875" style="46"/>
  </cols>
  <sheetData>
    <row r="1" spans="1:4" x14ac:dyDescent="0.35">
      <c r="A1" s="63" t="str">
        <f>+'PPC Cycle 3'!A1</f>
        <v>Evergy Missouri West, Inc. - DSIM Rider Update Filed 06/01/2023</v>
      </c>
    </row>
    <row r="2" spans="1:4" x14ac:dyDescent="0.35">
      <c r="A2" s="9" t="str">
        <f>+'PPC Cycle 3'!A2</f>
        <v>Projections for Cycle 3 July 2023 - June 2024 DSIM</v>
      </c>
    </row>
    <row r="3" spans="1:4" ht="45.75" customHeight="1" x14ac:dyDescent="0.35">
      <c r="B3" s="319" t="s">
        <v>97</v>
      </c>
      <c r="C3" s="319"/>
      <c r="D3" s="319"/>
    </row>
    <row r="4" spans="1:4" x14ac:dyDescent="0.35">
      <c r="B4" s="48" t="s">
        <v>17</v>
      </c>
    </row>
    <row r="5" spans="1:4" x14ac:dyDescent="0.35">
      <c r="A5" s="20" t="s">
        <v>84</v>
      </c>
      <c r="B5" s="294">
        <f>+B8</f>
        <v>0</v>
      </c>
    </row>
    <row r="6" spans="1:4" x14ac:dyDescent="0.35">
      <c r="A6" s="20" t="s">
        <v>85</v>
      </c>
      <c r="B6" s="294">
        <f>+C8</f>
        <v>0</v>
      </c>
    </row>
    <row r="7" spans="1:4" ht="29" x14ac:dyDescent="0.35">
      <c r="A7" s="20"/>
      <c r="B7" s="271" t="s">
        <v>84</v>
      </c>
      <c r="C7" s="272" t="s">
        <v>85</v>
      </c>
      <c r="D7" s="272" t="s">
        <v>5</v>
      </c>
    </row>
    <row r="8" spans="1:4" x14ac:dyDescent="0.35">
      <c r="A8" s="20" t="s">
        <v>24</v>
      </c>
      <c r="B8" s="216">
        <v>0</v>
      </c>
      <c r="C8" s="216">
        <v>0</v>
      </c>
      <c r="D8" s="216">
        <f>SUM(B8:C8)</f>
        <v>0</v>
      </c>
    </row>
    <row r="9" spans="1:4" x14ac:dyDescent="0.35">
      <c r="A9" s="20" t="s">
        <v>25</v>
      </c>
      <c r="B9" s="216">
        <v>0</v>
      </c>
      <c r="C9" s="216">
        <v>0</v>
      </c>
      <c r="D9" s="216">
        <f>SUM(B9:C9)</f>
        <v>0</v>
      </c>
    </row>
    <row r="10" spans="1:4" ht="15" thickBot="1" x14ac:dyDescent="0.4">
      <c r="A10" s="20" t="s">
        <v>5</v>
      </c>
      <c r="B10" s="217">
        <f>SUM(B8:B9)</f>
        <v>0</v>
      </c>
      <c r="C10" s="217">
        <f>SUM(C8:C9)</f>
        <v>0</v>
      </c>
      <c r="D10" s="217">
        <f>SUM(D8:D9)</f>
        <v>0</v>
      </c>
    </row>
    <row r="11" spans="1:4" ht="15.5" thickTop="1" thickBot="1" x14ac:dyDescent="0.4">
      <c r="B11" s="218">
        <f>+B10-B5</f>
        <v>0</v>
      </c>
      <c r="C11" s="218">
        <f>+C10-B6</f>
        <v>0</v>
      </c>
      <c r="D11" s="218">
        <f>ROUND(B5+B6,2)-D10</f>
        <v>0</v>
      </c>
    </row>
    <row r="12" spans="1:4" ht="29.5" thickTop="1" x14ac:dyDescent="0.35">
      <c r="B12" s="227"/>
      <c r="C12" s="226" t="s">
        <v>110</v>
      </c>
    </row>
    <row r="13" spans="1:4" x14ac:dyDescent="0.35">
      <c r="A13" s="20" t="s">
        <v>107</v>
      </c>
      <c r="B13" s="216">
        <f>ROUND($D$9*C13,2)</f>
        <v>0</v>
      </c>
      <c r="C13" s="224">
        <f>+'PCR Cycle 2'!K8</f>
        <v>0.39209287804949344</v>
      </c>
    </row>
    <row r="14" spans="1:4" x14ac:dyDescent="0.35">
      <c r="A14" s="20" t="s">
        <v>108</v>
      </c>
      <c r="B14" s="216">
        <f>ROUND($D$9*C14,2)</f>
        <v>0</v>
      </c>
      <c r="C14" s="224">
        <f>+'PCR Cycle 2'!K9</f>
        <v>0.45435908608374953</v>
      </c>
    </row>
    <row r="15" spans="1:4" ht="15" thickBot="1" x14ac:dyDescent="0.4">
      <c r="A15" s="20" t="s">
        <v>109</v>
      </c>
      <c r="B15" s="216">
        <f>ROUND($D$9*C15,2)</f>
        <v>0</v>
      </c>
      <c r="C15" s="224">
        <f>+'PCR Cycle 2'!K10</f>
        <v>0.15354803586675725</v>
      </c>
    </row>
    <row r="16" spans="1:4" ht="15.5" thickTop="1" thickBot="1" x14ac:dyDescent="0.4">
      <c r="A16" s="20" t="s">
        <v>111</v>
      </c>
      <c r="B16" s="32">
        <f>SUM(B13:B15)</f>
        <v>0</v>
      </c>
      <c r="C16" s="225">
        <f>SUM(C13:C15)</f>
        <v>1.0000000000000002</v>
      </c>
    </row>
    <row r="17" spans="1:5" ht="15" thickTop="1" x14ac:dyDescent="0.35"/>
    <row r="18" spans="1:5" x14ac:dyDescent="0.35">
      <c r="A18" s="53" t="s">
        <v>11</v>
      </c>
    </row>
    <row r="19" spans="1:5" s="39" customFormat="1" x14ac:dyDescent="0.35">
      <c r="A19" s="3" t="s">
        <v>268</v>
      </c>
      <c r="B19" s="46"/>
      <c r="C19" s="46"/>
      <c r="D19" s="46"/>
    </row>
    <row r="20" spans="1:5" s="39" customFormat="1" x14ac:dyDescent="0.35">
      <c r="A20" s="3" t="s">
        <v>269</v>
      </c>
      <c r="B20" s="46"/>
      <c r="C20" s="46"/>
      <c r="D20" s="46"/>
    </row>
    <row r="21" spans="1:5" s="39" customFormat="1" x14ac:dyDescent="0.35">
      <c r="A21" s="3"/>
      <c r="B21" s="46"/>
      <c r="C21" s="46"/>
      <c r="D21" s="46"/>
    </row>
    <row r="23" spans="1:5" x14ac:dyDescent="0.35">
      <c r="A23" s="3"/>
      <c r="D23" s="189"/>
    </row>
    <row r="24" spans="1:5" x14ac:dyDescent="0.35">
      <c r="D24" s="189"/>
    </row>
    <row r="25" spans="1:5" x14ac:dyDescent="0.35">
      <c r="B25" s="70"/>
      <c r="D25" s="189"/>
    </row>
    <row r="26" spans="1:5" x14ac:dyDescent="0.35">
      <c r="A26" s="213"/>
      <c r="B26" s="214"/>
      <c r="D26" s="189"/>
    </row>
    <row r="27" spans="1:5" x14ac:dyDescent="0.35">
      <c r="A27" s="213"/>
      <c r="B27" s="214"/>
      <c r="D27" s="189"/>
    </row>
    <row r="28" spans="1:5" x14ac:dyDescent="0.35">
      <c r="A28" s="213"/>
      <c r="B28" s="214"/>
      <c r="D28" s="189"/>
    </row>
    <row r="29" spans="1:5" x14ac:dyDescent="0.35">
      <c r="A29" s="213"/>
      <c r="B29" s="214"/>
      <c r="D29" s="189"/>
      <c r="E29" s="270"/>
    </row>
    <row r="30" spans="1:5" x14ac:dyDescent="0.35">
      <c r="A30" s="213"/>
      <c r="B30" s="190"/>
      <c r="D30" s="189"/>
    </row>
    <row r="31" spans="1:5" x14ac:dyDescent="0.35">
      <c r="A31" s="213"/>
      <c r="B31" s="190"/>
      <c r="D31" s="189"/>
    </row>
    <row r="32" spans="1:5" ht="16" x14ac:dyDescent="0.5">
      <c r="A32" s="213"/>
      <c r="B32" s="190"/>
      <c r="D32" s="215"/>
    </row>
    <row r="33" spans="1:4" x14ac:dyDescent="0.35">
      <c r="A33" s="213"/>
      <c r="D33" s="189"/>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topLeftCell="A4" workbookViewId="0">
      <selection activeCell="A20" sqref="A20:A22"/>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6" width="13.453125" style="46" bestFit="1" customWidth="1"/>
    <col min="7" max="16384" width="9.1796875" style="46"/>
  </cols>
  <sheetData>
    <row r="1" spans="1:5" x14ac:dyDescent="0.35">
      <c r="A1" s="63" t="str">
        <f>+'PPC Cycle 3'!A1</f>
        <v>Evergy Missouri West, Inc. - DSIM Rider Update Filed 06/01/2023</v>
      </c>
    </row>
    <row r="2" spans="1:5" x14ac:dyDescent="0.35">
      <c r="A2" s="9" t="str">
        <f>+'PPC Cycle 3'!A2</f>
        <v>Projections for Cycle 3 July 2023 - June 2024 DSIM</v>
      </c>
    </row>
    <row r="3" spans="1:5" ht="45.75" customHeight="1" x14ac:dyDescent="0.35">
      <c r="B3" s="319" t="s">
        <v>172</v>
      </c>
      <c r="C3" s="319"/>
      <c r="D3" s="319"/>
    </row>
    <row r="4" spans="1:5" x14ac:dyDescent="0.35">
      <c r="B4" s="48" t="s">
        <v>17</v>
      </c>
    </row>
    <row r="5" spans="1:5" x14ac:dyDescent="0.35">
      <c r="A5" s="20" t="s">
        <v>173</v>
      </c>
      <c r="B5" s="294">
        <f>+B11</f>
        <v>0</v>
      </c>
    </row>
    <row r="6" spans="1:5" x14ac:dyDescent="0.35">
      <c r="A6" s="20" t="s">
        <v>174</v>
      </c>
      <c r="B6" s="294">
        <f>+C11</f>
        <v>0</v>
      </c>
    </row>
    <row r="7" spans="1:5" x14ac:dyDescent="0.35">
      <c r="A7" s="20" t="s">
        <v>175</v>
      </c>
      <c r="B7" s="294">
        <f>+D11</f>
        <v>0</v>
      </c>
    </row>
    <row r="8" spans="1:5" ht="58" x14ac:dyDescent="0.35">
      <c r="A8" s="20"/>
      <c r="B8" s="271" t="s">
        <v>173</v>
      </c>
      <c r="C8" s="271" t="s">
        <v>174</v>
      </c>
      <c r="D8" s="272" t="s">
        <v>175</v>
      </c>
      <c r="E8" s="272" t="s">
        <v>5</v>
      </c>
    </row>
    <row r="9" spans="1:5" x14ac:dyDescent="0.35">
      <c r="A9" s="20" t="s">
        <v>24</v>
      </c>
      <c r="B9" s="216">
        <v>0</v>
      </c>
      <c r="C9" s="216">
        <v>0</v>
      </c>
      <c r="D9" s="216">
        <v>0</v>
      </c>
      <c r="E9" s="216">
        <f>SUM(B9:D9)</f>
        <v>0</v>
      </c>
    </row>
    <row r="10" spans="1:5" x14ac:dyDescent="0.35">
      <c r="A10" s="20" t="s">
        <v>25</v>
      </c>
      <c r="B10" s="216">
        <v>0</v>
      </c>
      <c r="C10" s="216">
        <v>0</v>
      </c>
      <c r="D10" s="216">
        <v>0</v>
      </c>
      <c r="E10" s="216">
        <f>SUM(B10:D10)</f>
        <v>0</v>
      </c>
    </row>
    <row r="11" spans="1:5" ht="15" thickBot="1" x14ac:dyDescent="0.4">
      <c r="A11" s="20" t="s">
        <v>5</v>
      </c>
      <c r="B11" s="217">
        <f>SUM(B9:B10)</f>
        <v>0</v>
      </c>
      <c r="C11" s="217">
        <f>SUM(C9:C10)</f>
        <v>0</v>
      </c>
      <c r="D11" s="217">
        <f>SUM(D9:D10)</f>
        <v>0</v>
      </c>
      <c r="E11" s="217">
        <f>SUM(E9:E10)</f>
        <v>0</v>
      </c>
    </row>
    <row r="12" spans="1:5" ht="15.5" thickTop="1" thickBot="1" x14ac:dyDescent="0.4">
      <c r="B12" s="218">
        <f>+B11-B5</f>
        <v>0</v>
      </c>
      <c r="C12" s="218">
        <f>+C11-B6</f>
        <v>0</v>
      </c>
      <c r="D12" s="218">
        <f>+D11-B7</f>
        <v>0</v>
      </c>
      <c r="E12" s="218">
        <f>ROUND(B5+B6+B7,2)-E11</f>
        <v>0</v>
      </c>
    </row>
    <row r="13" spans="1:5" ht="15" thickTop="1" x14ac:dyDescent="0.35">
      <c r="B13" s="227"/>
      <c r="C13" s="302" t="s">
        <v>179</v>
      </c>
    </row>
    <row r="14" spans="1:5" x14ac:dyDescent="0.35">
      <c r="A14" s="20" t="s">
        <v>107</v>
      </c>
      <c r="B14" s="216">
        <f>ROUND($E$10*C14,2)</f>
        <v>0</v>
      </c>
      <c r="C14" s="224">
        <f>+'PCR Cycle 2'!K8</f>
        <v>0.39209287804949344</v>
      </c>
    </row>
    <row r="15" spans="1:5" x14ac:dyDescent="0.35">
      <c r="A15" s="20" t="s">
        <v>108</v>
      </c>
      <c r="B15" s="216">
        <f>ROUND($E$10*C15,2)</f>
        <v>0</v>
      </c>
      <c r="C15" s="224">
        <f>+'PCR Cycle 2'!K9</f>
        <v>0.45435908608374953</v>
      </c>
    </row>
    <row r="16" spans="1:5" ht="15" thickBot="1" x14ac:dyDescent="0.4">
      <c r="A16" s="20" t="s">
        <v>109</v>
      </c>
      <c r="B16" s="216">
        <f>ROUND($E$10*C16,2)</f>
        <v>0</v>
      </c>
      <c r="C16" s="224">
        <f>+'PCR Cycle 2'!K10</f>
        <v>0.15354803586675725</v>
      </c>
    </row>
    <row r="17" spans="1:5" ht="15.5" thickTop="1" thickBot="1" x14ac:dyDescent="0.4">
      <c r="A17" s="20" t="s">
        <v>111</v>
      </c>
      <c r="B17" s="32">
        <f>SUM(B14:B16)</f>
        <v>0</v>
      </c>
      <c r="C17" s="225">
        <f>SUM(C14:C16)</f>
        <v>1.0000000000000002</v>
      </c>
    </row>
    <row r="18" spans="1:5" ht="15" thickTop="1" x14ac:dyDescent="0.35"/>
    <row r="19" spans="1:5" x14ac:dyDescent="0.35">
      <c r="A19" s="53" t="s">
        <v>11</v>
      </c>
    </row>
    <row r="20" spans="1:5" s="39" customFormat="1" x14ac:dyDescent="0.35">
      <c r="A20" s="3" t="s">
        <v>270</v>
      </c>
      <c r="B20" s="46"/>
      <c r="C20" s="46"/>
      <c r="D20" s="46"/>
    </row>
    <row r="21" spans="1:5" s="39" customFormat="1" x14ac:dyDescent="0.35">
      <c r="A21" s="3" t="s">
        <v>271</v>
      </c>
      <c r="B21" s="46"/>
      <c r="C21" s="46"/>
      <c r="D21" s="46"/>
    </row>
    <row r="22" spans="1:5" s="39" customFormat="1" x14ac:dyDescent="0.35">
      <c r="A22" s="3" t="s">
        <v>272</v>
      </c>
      <c r="B22" s="46"/>
      <c r="C22" s="46"/>
      <c r="D22" s="46"/>
    </row>
    <row r="23" spans="1:5" s="39" customFormat="1" x14ac:dyDescent="0.35">
      <c r="A23" s="3"/>
      <c r="B23" s="46"/>
      <c r="C23" s="46"/>
      <c r="D23" s="46"/>
    </row>
    <row r="25" spans="1:5" x14ac:dyDescent="0.35">
      <c r="A25" s="3"/>
      <c r="D25" s="189"/>
    </row>
    <row r="26" spans="1:5" x14ac:dyDescent="0.35">
      <c r="D26" s="189"/>
    </row>
    <row r="27" spans="1:5" x14ac:dyDescent="0.35">
      <c r="B27" s="70"/>
      <c r="D27" s="189"/>
    </row>
    <row r="28" spans="1:5" x14ac:dyDescent="0.35">
      <c r="A28" s="213"/>
      <c r="B28" s="214"/>
      <c r="D28" s="189"/>
    </row>
    <row r="29" spans="1:5" x14ac:dyDescent="0.35">
      <c r="A29" s="213"/>
      <c r="B29" s="214"/>
      <c r="D29" s="189"/>
    </row>
    <row r="30" spans="1:5" x14ac:dyDescent="0.35">
      <c r="A30" s="213"/>
      <c r="B30" s="214"/>
      <c r="D30" s="189"/>
    </row>
    <row r="31" spans="1:5" x14ac:dyDescent="0.35">
      <c r="A31" s="213"/>
      <c r="B31" s="214"/>
      <c r="D31" s="189"/>
      <c r="E31" s="270"/>
    </row>
    <row r="32" spans="1:5" x14ac:dyDescent="0.35">
      <c r="A32" s="213"/>
      <c r="B32" s="190"/>
      <c r="D32" s="189"/>
    </row>
    <row r="33" spans="1:4" x14ac:dyDescent="0.35">
      <c r="A33" s="213"/>
      <c r="B33" s="190"/>
      <c r="D33" s="189"/>
    </row>
    <row r="34" spans="1:4" ht="16" x14ac:dyDescent="0.5">
      <c r="A34" s="213"/>
      <c r="B34" s="190"/>
      <c r="D34" s="215"/>
    </row>
    <row r="35" spans="1:4" x14ac:dyDescent="0.35">
      <c r="A35" s="213"/>
      <c r="D35" s="189"/>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3"/>
  <sheetViews>
    <sheetView topLeftCell="A25" workbookViewId="0">
      <selection activeCell="O25"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06/01/2023</v>
      </c>
      <c r="B1" s="3"/>
      <c r="C1" s="3"/>
    </row>
    <row r="2" spans="1:34" x14ac:dyDescent="0.35">
      <c r="D2" s="3" t="s">
        <v>96</v>
      </c>
    </row>
    <row r="3" spans="1:34" ht="29" x14ac:dyDescent="0.35">
      <c r="D3" s="48" t="s">
        <v>46</v>
      </c>
      <c r="E3" s="70" t="s">
        <v>17</v>
      </c>
      <c r="F3" s="48" t="s">
        <v>3</v>
      </c>
      <c r="G3" s="70" t="s">
        <v>55</v>
      </c>
      <c r="H3" s="48" t="s">
        <v>10</v>
      </c>
      <c r="I3" s="48" t="s">
        <v>18</v>
      </c>
      <c r="R3" s="48"/>
    </row>
    <row r="4" spans="1:34" x14ac:dyDescent="0.35">
      <c r="A4" s="20" t="s">
        <v>24</v>
      </c>
      <c r="B4" s="20"/>
      <c r="C4" s="20"/>
      <c r="D4" s="22">
        <f>SUM(C18:L18)</f>
        <v>-17206.525209599997</v>
      </c>
      <c r="E4" s="22">
        <f>SUM(C22:K22)</f>
        <v>0</v>
      </c>
      <c r="F4" s="22">
        <f>E4-D4</f>
        <v>17206.525209599997</v>
      </c>
      <c r="G4" s="22">
        <f>+B32</f>
        <v>-54174.305209599966</v>
      </c>
      <c r="H4" s="22">
        <f>SUM(C37:K37)</f>
        <v>-1597.16</v>
      </c>
      <c r="I4" s="216">
        <f>SUM(F4:H4)</f>
        <v>-38564.939999999973</v>
      </c>
      <c r="J4" s="47">
        <f>+I4-L32</f>
        <v>0</v>
      </c>
      <c r="M4" s="47"/>
    </row>
    <row r="5" spans="1:34" ht="15" thickBot="1" x14ac:dyDescent="0.4">
      <c r="A5" s="20" t="s">
        <v>25</v>
      </c>
      <c r="B5" s="20"/>
      <c r="C5" s="20"/>
      <c r="D5" s="22">
        <f>SUM(C19:L19)</f>
        <v>0</v>
      </c>
      <c r="E5" s="22">
        <f>SUM(C23:K23)</f>
        <v>0</v>
      </c>
      <c r="F5" s="22">
        <f>E5-D5</f>
        <v>0</v>
      </c>
      <c r="G5" s="22">
        <f>+B33</f>
        <v>0</v>
      </c>
      <c r="H5" s="22">
        <f>SUM(C38:K38)</f>
        <v>0</v>
      </c>
      <c r="I5" s="287">
        <f>SUM(F5:H5)</f>
        <v>0</v>
      </c>
      <c r="J5" s="47">
        <f>+I5-L33</f>
        <v>0</v>
      </c>
      <c r="M5" s="47"/>
    </row>
    <row r="6" spans="1:34" ht="15.5" thickTop="1" thickBot="1" x14ac:dyDescent="0.4">
      <c r="D6" s="27">
        <f t="shared" ref="D6" si="0">SUM(D4:D5)</f>
        <v>-17206.525209599997</v>
      </c>
      <c r="E6" s="27">
        <f>SUM(E4:E5)</f>
        <v>0</v>
      </c>
      <c r="F6" s="27">
        <f>SUM(F4:F5)</f>
        <v>17206.525209599997</v>
      </c>
      <c r="G6" s="27">
        <f>SUM(G4:G5)</f>
        <v>-54174.305209599966</v>
      </c>
      <c r="H6" s="27">
        <f>SUM(H4:H5)</f>
        <v>-1597.16</v>
      </c>
      <c r="I6" s="27">
        <f>SUM(I4:I5)</f>
        <v>-38564.939999999973</v>
      </c>
      <c r="S6" s="5"/>
    </row>
    <row r="7" spans="1:34" ht="44" thickTop="1" x14ac:dyDescent="0.35">
      <c r="I7" s="227"/>
      <c r="J7" s="226" t="s">
        <v>122</v>
      </c>
    </row>
    <row r="8" spans="1:34" x14ac:dyDescent="0.35">
      <c r="A8" s="20" t="s">
        <v>107</v>
      </c>
      <c r="I8" s="25">
        <f>ROUND($I$5*J8,2)</f>
        <v>0</v>
      </c>
      <c r="J8" s="224">
        <f>+'PCR Cycle 2'!K8</f>
        <v>0.39209287804949344</v>
      </c>
    </row>
    <row r="9" spans="1:34" x14ac:dyDescent="0.35">
      <c r="A9" s="20" t="s">
        <v>108</v>
      </c>
      <c r="I9" s="25">
        <f t="shared" ref="I9:I10" si="1">ROUND($I$5*J9,2)</f>
        <v>0</v>
      </c>
      <c r="J9" s="224">
        <f>+'PCR Cycle 2'!K9</f>
        <v>0.45435908608374953</v>
      </c>
    </row>
    <row r="10" spans="1:34" ht="15" thickBot="1" x14ac:dyDescent="0.4">
      <c r="A10" s="20" t="s">
        <v>109</v>
      </c>
      <c r="I10" s="25">
        <f t="shared" si="1"/>
        <v>0</v>
      </c>
      <c r="J10" s="224">
        <f>+'PCR Cycle 2'!K10</f>
        <v>0.15354803586675725</v>
      </c>
    </row>
    <row r="11" spans="1:34" ht="15.5" thickTop="1" thickBot="1" x14ac:dyDescent="0.4">
      <c r="A11" s="20" t="s">
        <v>111</v>
      </c>
      <c r="I11" s="27">
        <f>SUM(I8:I10)</f>
        <v>0</v>
      </c>
      <c r="J11" s="225">
        <f>SUM(J8:J10)</f>
        <v>1.0000000000000002</v>
      </c>
      <c r="U11" s="4"/>
    </row>
    <row r="12" spans="1:34" ht="15.5" thickTop="1" thickBot="1" x14ac:dyDescent="0.4">
      <c r="U12" s="4"/>
      <c r="V12" s="5"/>
    </row>
    <row r="13" spans="1:34" ht="116.5" thickBot="1" x14ac:dyDescent="0.4">
      <c r="B13" s="118" t="str">
        <f>+'PCR Cycle 2'!B13</f>
        <v>Cumulative Over/Under Carryover From 12/01/2022 Filing</v>
      </c>
      <c r="C13" s="151" t="str">
        <f>+'PCR Cycle 2'!C13</f>
        <v>Reverse November 2022 - January 2023 Forecast From 12/01/2022 Filing</v>
      </c>
      <c r="D13" s="324" t="s">
        <v>33</v>
      </c>
      <c r="E13" s="324"/>
      <c r="F13" s="325"/>
      <c r="G13" s="333" t="s">
        <v>33</v>
      </c>
      <c r="H13" s="334"/>
      <c r="I13" s="335"/>
      <c r="J13" s="320" t="s">
        <v>8</v>
      </c>
      <c r="K13" s="321"/>
      <c r="L13" s="322"/>
    </row>
    <row r="14" spans="1:34" x14ac:dyDescent="0.35">
      <c r="A14" s="46" t="s">
        <v>91</v>
      </c>
      <c r="C14" s="105"/>
      <c r="D14" s="19">
        <f>+'PCR Cycle 2'!D14</f>
        <v>44895</v>
      </c>
      <c r="E14" s="19">
        <f t="shared" ref="E14:L14" si="2">EOMONTH(D14,1)</f>
        <v>44926</v>
      </c>
      <c r="F14" s="19">
        <f t="shared" si="2"/>
        <v>44957</v>
      </c>
      <c r="G14" s="14">
        <f t="shared" si="2"/>
        <v>44985</v>
      </c>
      <c r="H14" s="19">
        <f t="shared" si="2"/>
        <v>45016</v>
      </c>
      <c r="I14" s="15">
        <f t="shared" si="2"/>
        <v>45046</v>
      </c>
      <c r="J14" s="19">
        <f t="shared" si="2"/>
        <v>45077</v>
      </c>
      <c r="K14" s="19">
        <f t="shared" si="2"/>
        <v>45107</v>
      </c>
      <c r="L14" s="15">
        <f t="shared" si="2"/>
        <v>45138</v>
      </c>
      <c r="Y14" s="1"/>
      <c r="Z14" s="1"/>
      <c r="AA14" s="1"/>
      <c r="AB14" s="1"/>
      <c r="AC14" s="1"/>
      <c r="AD14" s="1"/>
      <c r="AE14" s="1"/>
      <c r="AF14" s="1"/>
      <c r="AG14" s="1"/>
      <c r="AH14" s="1"/>
    </row>
    <row r="15" spans="1:34" x14ac:dyDescent="0.35">
      <c r="A15" s="46" t="s">
        <v>5</v>
      </c>
      <c r="C15" s="97">
        <v>0</v>
      </c>
      <c r="D15" s="109">
        <f>SUM(D22:D23)</f>
        <v>0</v>
      </c>
      <c r="E15" s="109">
        <f t="shared" ref="E15:H15" si="3">SUM(E22:E23)</f>
        <v>0</v>
      </c>
      <c r="F15" s="110">
        <f t="shared" si="3"/>
        <v>0</v>
      </c>
      <c r="G15" s="16">
        <f t="shared" si="3"/>
        <v>0</v>
      </c>
      <c r="H15" s="55">
        <f t="shared" si="3"/>
        <v>0</v>
      </c>
      <c r="I15" s="164">
        <f>+I22+I23</f>
        <v>0</v>
      </c>
      <c r="J15" s="157">
        <f t="shared" ref="J15:K15" si="4">+J22+J23</f>
        <v>0</v>
      </c>
      <c r="K15" s="78">
        <f t="shared" si="4"/>
        <v>0</v>
      </c>
      <c r="L15" s="79"/>
    </row>
    <row r="16" spans="1:34" x14ac:dyDescent="0.35">
      <c r="C16" s="99"/>
      <c r="D16" s="17"/>
      <c r="E16" s="17"/>
      <c r="F16" s="17"/>
      <c r="G16" s="28"/>
      <c r="H16" s="17"/>
      <c r="I16" s="11"/>
      <c r="J16" s="31"/>
      <c r="K16" s="31"/>
      <c r="L16" s="29"/>
    </row>
    <row r="17" spans="1:14" x14ac:dyDescent="0.35">
      <c r="A17" s="46" t="s">
        <v>90</v>
      </c>
      <c r="C17" s="99"/>
      <c r="D17" s="18"/>
      <c r="E17" s="18"/>
      <c r="F17" s="18"/>
      <c r="G17" s="288"/>
      <c r="H17" s="18"/>
      <c r="I17" s="165"/>
      <c r="J17" s="31"/>
      <c r="K17" s="31"/>
      <c r="L17" s="29"/>
      <c r="M17" s="3" t="s">
        <v>50</v>
      </c>
      <c r="N17" s="39"/>
    </row>
    <row r="18" spans="1:14" x14ac:dyDescent="0.35">
      <c r="A18" s="46" t="s">
        <v>24</v>
      </c>
      <c r="C18" s="97">
        <v>37563.664790399998</v>
      </c>
      <c r="D18" s="134">
        <f>ROUND('[4]Nov 2022'!$F60,2)</f>
        <v>-9144.74</v>
      </c>
      <c r="E18" s="134">
        <f>ROUND('[4]Dec 2022'!$F60,2)</f>
        <v>-12897.66</v>
      </c>
      <c r="F18" s="186">
        <f>ROUND('[4]Jan 2023'!$F60,2)</f>
        <v>-15629.32</v>
      </c>
      <c r="G18" s="16">
        <f>ROUND('[4]Feb 2023'!$F60,2)</f>
        <v>-3368.47</v>
      </c>
      <c r="H18" s="121">
        <f>ROUND('[4]Mar 2023'!$F60,2)</f>
        <v>-2839.75</v>
      </c>
      <c r="I18" s="166">
        <f>ROUND('[4]Apr 2023'!$F60,2)</f>
        <v>-2374.54</v>
      </c>
      <c r="J18" s="123">
        <f>ROUND('PCR Cycle 2'!J26*$M18,2)</f>
        <v>-2134.56</v>
      </c>
      <c r="K18" s="41">
        <f>ROUND('PCR Cycle 2'!K26*$M18,2)</f>
        <v>-2664.01</v>
      </c>
      <c r="L18" s="61">
        <f>ROUND('PCR Cycle 2'!L26*$M18,2)</f>
        <v>-3717.14</v>
      </c>
      <c r="M18" s="72">
        <v>-1.0000000000000001E-5</v>
      </c>
      <c r="N18" s="4"/>
    </row>
    <row r="19" spans="1:14" x14ac:dyDescent="0.35">
      <c r="A19" s="46" t="s">
        <v>25</v>
      </c>
      <c r="C19" s="97">
        <v>0</v>
      </c>
      <c r="D19" s="134">
        <f>ROUND('[4]Nov 2022'!$F64,2)</f>
        <v>0</v>
      </c>
      <c r="E19" s="134">
        <f>ROUND('[4]Dec 2022'!$F64,2)</f>
        <v>0</v>
      </c>
      <c r="F19" s="186">
        <f>ROUND('[4]Jan 2023'!$F64,2)</f>
        <v>0</v>
      </c>
      <c r="G19" s="16">
        <f>ROUND('[4]Feb 2023'!$F64,2)</f>
        <v>0</v>
      </c>
      <c r="H19" s="121">
        <f>ROUND('[4]Mar 2023'!$F64,2)</f>
        <v>0</v>
      </c>
      <c r="I19" s="166">
        <f>ROUND('[4]Apr 2023'!$F64,2)</f>
        <v>0</v>
      </c>
      <c r="J19" s="123">
        <f>ROUND(SUM('PCR Cycle 2'!J27:J29)*$M19,2)</f>
        <v>0</v>
      </c>
      <c r="K19" s="41">
        <f>ROUND(SUM('PCR Cycle 2'!K27:K29)*$M19,2)</f>
        <v>0</v>
      </c>
      <c r="L19" s="61">
        <f>ROUND(SUM('PCR Cycle 2'!L27:L29)*$M19,2)</f>
        <v>0</v>
      </c>
      <c r="M19" s="72">
        <v>0</v>
      </c>
      <c r="N19" s="4"/>
    </row>
    <row r="20" spans="1:14" x14ac:dyDescent="0.35">
      <c r="C20" s="67"/>
      <c r="D20" s="68"/>
      <c r="E20" s="68"/>
      <c r="F20" s="68"/>
      <c r="G20" s="98"/>
      <c r="H20" s="68"/>
      <c r="I20" s="167"/>
      <c r="J20" s="56"/>
      <c r="K20" s="56"/>
      <c r="L20" s="13"/>
      <c r="N20" s="4"/>
    </row>
    <row r="21" spans="1:14" x14ac:dyDescent="0.35">
      <c r="A21" s="46" t="s">
        <v>92</v>
      </c>
      <c r="C21" s="36"/>
      <c r="D21" s="37"/>
      <c r="E21" s="37"/>
      <c r="F21" s="37"/>
      <c r="G21" s="36"/>
      <c r="H21" s="37"/>
      <c r="I21" s="170"/>
      <c r="J21" s="52"/>
      <c r="K21" s="52"/>
      <c r="L21" s="38"/>
    </row>
    <row r="22" spans="1:14" x14ac:dyDescent="0.35">
      <c r="A22" s="46" t="s">
        <v>24</v>
      </c>
      <c r="C22" s="97">
        <v>0</v>
      </c>
      <c r="D22" s="109">
        <v>0</v>
      </c>
      <c r="E22" s="109">
        <v>0</v>
      </c>
      <c r="F22" s="110">
        <v>0</v>
      </c>
      <c r="G22" s="16">
        <v>0</v>
      </c>
      <c r="H22" s="55">
        <v>0</v>
      </c>
      <c r="I22" s="164">
        <v>0</v>
      </c>
      <c r="J22" s="159">
        <v>0</v>
      </c>
      <c r="K22" s="141">
        <v>0</v>
      </c>
      <c r="L22" s="79"/>
    </row>
    <row r="23" spans="1:14" x14ac:dyDescent="0.35">
      <c r="A23" s="46" t="s">
        <v>25</v>
      </c>
      <c r="C23" s="97">
        <v>0</v>
      </c>
      <c r="D23" s="109">
        <v>0</v>
      </c>
      <c r="E23" s="109">
        <v>0</v>
      </c>
      <c r="F23" s="110">
        <v>0</v>
      </c>
      <c r="G23" s="16">
        <v>0</v>
      </c>
      <c r="H23" s="55">
        <v>0</v>
      </c>
      <c r="I23" s="164">
        <v>0</v>
      </c>
      <c r="J23" s="159">
        <v>0</v>
      </c>
      <c r="K23" s="141">
        <v>0</v>
      </c>
      <c r="L23" s="79"/>
      <c r="N23" s="47"/>
    </row>
    <row r="24" spans="1:14" x14ac:dyDescent="0.35">
      <c r="C24" s="99"/>
      <c r="D24" s="18"/>
      <c r="E24" s="18"/>
      <c r="F24" s="18"/>
      <c r="G24" s="288"/>
      <c r="H24" s="18"/>
      <c r="I24" s="165"/>
      <c r="J24" s="56"/>
      <c r="K24" s="56"/>
      <c r="L24" s="13"/>
    </row>
    <row r="25" spans="1:14" ht="15" thickBot="1" x14ac:dyDescent="0.4">
      <c r="A25" s="3" t="s">
        <v>14</v>
      </c>
      <c r="B25" s="3"/>
      <c r="C25" s="103">
        <v>638.75</v>
      </c>
      <c r="D25" s="134">
        <v>-374.39</v>
      </c>
      <c r="E25" s="134">
        <v>-351.92</v>
      </c>
      <c r="F25" s="135">
        <v>-295.55</v>
      </c>
      <c r="G25" s="26">
        <v>-257.08999999999997</v>
      </c>
      <c r="H25" s="122">
        <v>-250.62</v>
      </c>
      <c r="I25" s="171">
        <v>-246.11</v>
      </c>
      <c r="J25" s="160">
        <v>-235.71</v>
      </c>
      <c r="K25" s="143">
        <v>-224.52</v>
      </c>
      <c r="L25" s="82"/>
    </row>
    <row r="26" spans="1:14" x14ac:dyDescent="0.35">
      <c r="C26" s="64"/>
      <c r="D26" s="147"/>
      <c r="E26" s="147"/>
      <c r="F26" s="148"/>
      <c r="G26" s="64"/>
      <c r="H26" s="33"/>
      <c r="I26" s="172"/>
      <c r="J26" s="34"/>
      <c r="K26" s="34"/>
      <c r="L26" s="60"/>
    </row>
    <row r="27" spans="1:14" x14ac:dyDescent="0.35">
      <c r="A27" s="46" t="s">
        <v>52</v>
      </c>
      <c r="C27" s="65"/>
      <c r="D27" s="148"/>
      <c r="E27" s="148"/>
      <c r="F27" s="148"/>
      <c r="G27" s="289"/>
      <c r="H27" s="35"/>
      <c r="I27" s="173"/>
      <c r="J27" s="34"/>
      <c r="K27" s="34"/>
      <c r="L27" s="60"/>
    </row>
    <row r="28" spans="1:14" x14ac:dyDescent="0.35">
      <c r="A28" s="46" t="s">
        <v>24</v>
      </c>
      <c r="C28" s="100">
        <f t="shared" ref="C28:L28" si="5">C22-C18</f>
        <v>-37563.664790399998</v>
      </c>
      <c r="D28" s="41">
        <f t="shared" si="5"/>
        <v>9144.74</v>
      </c>
      <c r="E28" s="41">
        <f t="shared" si="5"/>
        <v>12897.66</v>
      </c>
      <c r="F28" s="108">
        <f t="shared" si="5"/>
        <v>15629.32</v>
      </c>
      <c r="G28" s="40">
        <f t="shared" si="5"/>
        <v>3368.47</v>
      </c>
      <c r="H28" s="41">
        <f t="shared" si="5"/>
        <v>2839.75</v>
      </c>
      <c r="I28" s="61">
        <f t="shared" si="5"/>
        <v>2374.54</v>
      </c>
      <c r="J28" s="123">
        <f t="shared" si="5"/>
        <v>2134.56</v>
      </c>
      <c r="K28" s="41">
        <f t="shared" si="5"/>
        <v>2664.01</v>
      </c>
      <c r="L28" s="61">
        <f t="shared" si="5"/>
        <v>3717.14</v>
      </c>
    </row>
    <row r="29" spans="1:14" x14ac:dyDescent="0.35">
      <c r="A29" s="46" t="s">
        <v>25</v>
      </c>
      <c r="C29" s="100">
        <f t="shared" ref="C29:L29" si="6">C23-C19</f>
        <v>0</v>
      </c>
      <c r="D29" s="41">
        <f t="shared" si="6"/>
        <v>0</v>
      </c>
      <c r="E29" s="41">
        <f t="shared" si="6"/>
        <v>0</v>
      </c>
      <c r="F29" s="108">
        <f t="shared" si="6"/>
        <v>0</v>
      </c>
      <c r="G29" s="40">
        <f t="shared" si="6"/>
        <v>0</v>
      </c>
      <c r="H29" s="41">
        <f t="shared" si="6"/>
        <v>0</v>
      </c>
      <c r="I29" s="61">
        <f t="shared" si="6"/>
        <v>0</v>
      </c>
      <c r="J29" s="123">
        <f t="shared" si="6"/>
        <v>0</v>
      </c>
      <c r="K29" s="41">
        <f t="shared" si="6"/>
        <v>0</v>
      </c>
      <c r="L29" s="61">
        <f t="shared" si="6"/>
        <v>0</v>
      </c>
    </row>
    <row r="30" spans="1:14" x14ac:dyDescent="0.35">
      <c r="C30" s="99"/>
      <c r="D30" s="17"/>
      <c r="E30" s="17"/>
      <c r="F30" s="17"/>
      <c r="G30" s="28"/>
      <c r="H30" s="17"/>
      <c r="I30" s="11"/>
      <c r="J30" s="17"/>
      <c r="K30" s="17"/>
      <c r="L30" s="11"/>
    </row>
    <row r="31" spans="1:14" ht="15" thickBot="1" x14ac:dyDescent="0.4">
      <c r="A31" s="46" t="s">
        <v>53</v>
      </c>
      <c r="C31" s="99"/>
      <c r="D31" s="17"/>
      <c r="E31" s="17"/>
      <c r="F31" s="17"/>
      <c r="G31" s="28"/>
      <c r="H31" s="17"/>
      <c r="I31" s="11"/>
      <c r="J31" s="17"/>
      <c r="K31" s="17"/>
      <c r="L31" s="11"/>
    </row>
    <row r="32" spans="1:14" x14ac:dyDescent="0.35">
      <c r="A32" s="46" t="s">
        <v>24</v>
      </c>
      <c r="B32" s="116">
        <v>-54174.305209599966</v>
      </c>
      <c r="C32" s="100">
        <f>B32+C28+B37</f>
        <v>-91737.969999999972</v>
      </c>
      <c r="D32" s="41">
        <f t="shared" ref="D32:L33" si="7">C32+D28+C37</f>
        <v>-81954.479999999967</v>
      </c>
      <c r="E32" s="41">
        <f t="shared" si="7"/>
        <v>-69431.199999999968</v>
      </c>
      <c r="F32" s="108">
        <f t="shared" si="7"/>
        <v>-54153.799999999967</v>
      </c>
      <c r="G32" s="40">
        <f t="shared" si="7"/>
        <v>-51080.879999999968</v>
      </c>
      <c r="H32" s="41">
        <f t="shared" si="7"/>
        <v>-48498.229999999967</v>
      </c>
      <c r="I32" s="61">
        <f t="shared" si="7"/>
        <v>-46374.309999999969</v>
      </c>
      <c r="J32" s="123">
        <f t="shared" si="7"/>
        <v>-44485.859999999971</v>
      </c>
      <c r="K32" s="41">
        <f t="shared" si="7"/>
        <v>-42057.559999999969</v>
      </c>
      <c r="L32" s="61">
        <f t="shared" si="7"/>
        <v>-38564.939999999966</v>
      </c>
    </row>
    <row r="33" spans="1:12" ht="15" thickBot="1" x14ac:dyDescent="0.4">
      <c r="A33" s="46" t="s">
        <v>25</v>
      </c>
      <c r="B33" s="117">
        <v>0</v>
      </c>
      <c r="C33" s="100">
        <f>B33+C29+B38</f>
        <v>0</v>
      </c>
      <c r="D33" s="41">
        <f t="shared" si="7"/>
        <v>0</v>
      </c>
      <c r="E33" s="41">
        <f t="shared" si="7"/>
        <v>0</v>
      </c>
      <c r="F33" s="108">
        <f t="shared" si="7"/>
        <v>0</v>
      </c>
      <c r="G33" s="40">
        <f t="shared" si="7"/>
        <v>0</v>
      </c>
      <c r="H33" s="41">
        <f t="shared" si="7"/>
        <v>0</v>
      </c>
      <c r="I33" s="61">
        <f t="shared" si="7"/>
        <v>0</v>
      </c>
      <c r="J33" s="123">
        <f t="shared" si="7"/>
        <v>0</v>
      </c>
      <c r="K33" s="41">
        <f t="shared" si="7"/>
        <v>0</v>
      </c>
      <c r="L33" s="61">
        <f t="shared" si="7"/>
        <v>0</v>
      </c>
    </row>
    <row r="34" spans="1:12" x14ac:dyDescent="0.35">
      <c r="C34" s="99"/>
      <c r="D34" s="17"/>
      <c r="E34" s="17"/>
      <c r="F34" s="17"/>
      <c r="G34" s="10"/>
      <c r="H34" s="17"/>
      <c r="I34" s="11"/>
      <c r="J34" s="17"/>
      <c r="K34" s="17"/>
      <c r="L34" s="11"/>
    </row>
    <row r="35" spans="1:12" x14ac:dyDescent="0.35">
      <c r="A35" s="39" t="s">
        <v>88</v>
      </c>
      <c r="B35" s="39"/>
      <c r="C35" s="104"/>
      <c r="D35" s="83">
        <f>+'PCR Cycle 2'!D47</f>
        <v>4.3267999999999996E-3</v>
      </c>
      <c r="E35" s="83">
        <f>+'PCR Cycle 2'!E47</f>
        <v>4.6379000000000004E-3</v>
      </c>
      <c r="F35" s="83">
        <f>+'PCR Cycle 2'!F47</f>
        <v>4.7694E-3</v>
      </c>
      <c r="G35" s="84">
        <f>+'PCR Cycle 2'!G47</f>
        <v>4.8724500000000004E-3</v>
      </c>
      <c r="H35" s="83">
        <f>+'PCR Cycle 2'!H47</f>
        <v>5.0207200000000002E-3</v>
      </c>
      <c r="I35" s="92">
        <f>+'PCR Cycle 2'!I47</f>
        <v>5.1744800000000004E-3</v>
      </c>
      <c r="J35" s="83">
        <f>+'PCR Cycle 2'!J47</f>
        <v>5.1744800000000004E-3</v>
      </c>
      <c r="K35" s="83">
        <f>+'PCR Cycle 2'!K47</f>
        <v>5.1744800000000004E-3</v>
      </c>
      <c r="L35" s="85"/>
    </row>
    <row r="36" spans="1:12" x14ac:dyDescent="0.35">
      <c r="A36" s="39" t="s">
        <v>37</v>
      </c>
      <c r="B36" s="39"/>
      <c r="C36" s="106"/>
      <c r="D36" s="83"/>
      <c r="E36" s="83"/>
      <c r="F36" s="83"/>
      <c r="G36" s="84"/>
      <c r="H36" s="83"/>
      <c r="I36" s="85"/>
      <c r="J36" s="83"/>
      <c r="K36" s="83"/>
      <c r="L36" s="85"/>
    </row>
    <row r="37" spans="1:12" x14ac:dyDescent="0.35">
      <c r="A37" s="46" t="s">
        <v>24</v>
      </c>
      <c r="C37" s="100">
        <v>638.75</v>
      </c>
      <c r="D37" s="41">
        <f t="shared" ref="D37:L38" si="8">ROUND((C32+C37+D28/2)*D$35,2)</f>
        <v>-374.38</v>
      </c>
      <c r="E37" s="41">
        <f t="shared" si="8"/>
        <v>-351.92</v>
      </c>
      <c r="F37" s="108">
        <f t="shared" si="8"/>
        <v>-295.55</v>
      </c>
      <c r="G37" s="40">
        <f t="shared" si="8"/>
        <v>-257.10000000000002</v>
      </c>
      <c r="H37" s="123">
        <f t="shared" si="8"/>
        <v>-250.62</v>
      </c>
      <c r="I37" s="49">
        <f t="shared" si="8"/>
        <v>-246.11</v>
      </c>
      <c r="J37" s="161">
        <f t="shared" si="8"/>
        <v>-235.71</v>
      </c>
      <c r="K37" s="108">
        <f t="shared" si="8"/>
        <v>-224.52</v>
      </c>
      <c r="L37" s="61">
        <f t="shared" si="8"/>
        <v>0</v>
      </c>
    </row>
    <row r="38" spans="1:12" ht="15" thickBot="1" x14ac:dyDescent="0.4">
      <c r="A38" s="46" t="s">
        <v>25</v>
      </c>
      <c r="C38" s="100">
        <v>0</v>
      </c>
      <c r="D38" s="41">
        <f t="shared" si="8"/>
        <v>0</v>
      </c>
      <c r="E38" s="41">
        <f t="shared" si="8"/>
        <v>0</v>
      </c>
      <c r="F38" s="108">
        <f t="shared" si="8"/>
        <v>0</v>
      </c>
      <c r="G38" s="40">
        <f t="shared" si="8"/>
        <v>0</v>
      </c>
      <c r="H38" s="123">
        <f t="shared" si="8"/>
        <v>0</v>
      </c>
      <c r="I38" s="49">
        <f t="shared" si="8"/>
        <v>0</v>
      </c>
      <c r="J38" s="161">
        <f t="shared" si="8"/>
        <v>0</v>
      </c>
      <c r="K38" s="108">
        <f t="shared" si="8"/>
        <v>0</v>
      </c>
      <c r="L38" s="61">
        <f t="shared" si="8"/>
        <v>0</v>
      </c>
    </row>
    <row r="39" spans="1:12" ht="15.5" thickTop="1" thickBot="1" x14ac:dyDescent="0.4">
      <c r="A39" s="54" t="s">
        <v>22</v>
      </c>
      <c r="B39" s="54"/>
      <c r="C39" s="107">
        <v>0</v>
      </c>
      <c r="D39" s="42">
        <f t="shared" ref="D39:I39" si="9">SUM(D37:D38)+SUM(D32:D33)-D42</f>
        <v>0</v>
      </c>
      <c r="E39" s="42">
        <f t="shared" si="9"/>
        <v>0</v>
      </c>
      <c r="F39" s="50">
        <f t="shared" ref="F39:H39" si="10">SUM(F37:F38)+SUM(F32:F33)-F42</f>
        <v>0</v>
      </c>
      <c r="G39" s="290">
        <f t="shared" si="10"/>
        <v>0</v>
      </c>
      <c r="H39" s="50">
        <f t="shared" si="10"/>
        <v>0</v>
      </c>
      <c r="I39" s="62">
        <f t="shared" si="9"/>
        <v>0</v>
      </c>
      <c r="J39" s="162">
        <f t="shared" ref="J39:L39" si="11">SUM(J37:J38)+SUM(J32:J33)-J42</f>
        <v>0</v>
      </c>
      <c r="K39" s="50">
        <f t="shared" si="11"/>
        <v>0</v>
      </c>
      <c r="L39" s="62">
        <f t="shared" si="11"/>
        <v>0</v>
      </c>
    </row>
    <row r="40" spans="1:12" ht="15.5" thickTop="1" thickBot="1" x14ac:dyDescent="0.4">
      <c r="A40" s="54" t="s">
        <v>23</v>
      </c>
      <c r="B40" s="54"/>
      <c r="C40" s="107">
        <v>0</v>
      </c>
      <c r="D40" s="42">
        <f t="shared" ref="D40:I40" si="12">SUM(D37:D38)-D25</f>
        <v>9.9999999999909051E-3</v>
      </c>
      <c r="E40" s="42">
        <f t="shared" si="12"/>
        <v>0</v>
      </c>
      <c r="F40" s="50">
        <f t="shared" ref="F40:H40" si="13">SUM(F37:F38)-F25</f>
        <v>0</v>
      </c>
      <c r="G40" s="290">
        <f t="shared" si="13"/>
        <v>-1.0000000000047748E-2</v>
      </c>
      <c r="H40" s="50">
        <f t="shared" si="13"/>
        <v>0</v>
      </c>
      <c r="I40" s="62">
        <f t="shared" si="12"/>
        <v>0</v>
      </c>
      <c r="J40" s="163">
        <f t="shared" ref="J40:L40" si="14">SUM(J37:J38)-J25</f>
        <v>0</v>
      </c>
      <c r="K40" s="42">
        <f t="shared" si="14"/>
        <v>0</v>
      </c>
      <c r="L40" s="42">
        <f t="shared" si="14"/>
        <v>0</v>
      </c>
    </row>
    <row r="41" spans="1:12" ht="15.5" thickTop="1" thickBot="1" x14ac:dyDescent="0.4">
      <c r="C41" s="99"/>
      <c r="D41" s="17"/>
      <c r="E41" s="17"/>
      <c r="F41" s="17"/>
      <c r="G41" s="10"/>
      <c r="H41" s="17"/>
      <c r="I41" s="11"/>
      <c r="J41" s="17"/>
      <c r="K41" s="17"/>
      <c r="L41" s="11"/>
    </row>
    <row r="42" spans="1:12" ht="15" thickBot="1" x14ac:dyDescent="0.4">
      <c r="A42" s="46" t="s">
        <v>36</v>
      </c>
      <c r="B42" s="119">
        <f>SUM(B32:B33)</f>
        <v>-54174.305209599966</v>
      </c>
      <c r="C42" s="100">
        <f t="shared" ref="C42:L42" si="15">(C15-SUM(C18:C19))+SUM(C37:C38)+B42</f>
        <v>-91099.219999999972</v>
      </c>
      <c r="D42" s="41">
        <f t="shared" si="15"/>
        <v>-82328.859999999971</v>
      </c>
      <c r="E42" s="41">
        <f t="shared" si="15"/>
        <v>-69783.119999999966</v>
      </c>
      <c r="F42" s="108">
        <f t="shared" si="15"/>
        <v>-54449.349999999962</v>
      </c>
      <c r="G42" s="40">
        <f t="shared" si="15"/>
        <v>-51337.97999999996</v>
      </c>
      <c r="H42" s="41">
        <f t="shared" si="15"/>
        <v>-48748.849999999962</v>
      </c>
      <c r="I42" s="61">
        <f t="shared" si="15"/>
        <v>-46620.419999999962</v>
      </c>
      <c r="J42" s="161">
        <f t="shared" si="15"/>
        <v>-44721.569999999963</v>
      </c>
      <c r="K42" s="108">
        <f t="shared" si="15"/>
        <v>-42282.079999999965</v>
      </c>
      <c r="L42" s="61">
        <f t="shared" si="15"/>
        <v>-38564.939999999966</v>
      </c>
    </row>
    <row r="43" spans="1:12" x14ac:dyDescent="0.35">
      <c r="A43" s="46" t="s">
        <v>12</v>
      </c>
      <c r="C43" s="120"/>
      <c r="D43" s="17"/>
      <c r="E43" s="17"/>
      <c r="F43" s="17"/>
      <c r="G43" s="10"/>
      <c r="H43" s="17"/>
      <c r="I43" s="11"/>
      <c r="J43" s="17"/>
      <c r="K43" s="17"/>
      <c r="L43" s="11"/>
    </row>
    <row r="44" spans="1:12" ht="15" thickBot="1" x14ac:dyDescent="0.4">
      <c r="A44" s="37"/>
      <c r="B44" s="37"/>
      <c r="C44" s="146"/>
      <c r="D44" s="44"/>
      <c r="E44" s="44"/>
      <c r="F44" s="44"/>
      <c r="G44" s="43"/>
      <c r="H44" s="44"/>
      <c r="I44" s="45"/>
      <c r="J44" s="44"/>
      <c r="K44" s="44"/>
      <c r="L44" s="45"/>
    </row>
    <row r="46" spans="1:12" x14ac:dyDescent="0.35">
      <c r="A46" s="69" t="s">
        <v>11</v>
      </c>
      <c r="B46" s="69"/>
      <c r="C46" s="69"/>
    </row>
    <row r="47" spans="1:12" x14ac:dyDescent="0.35">
      <c r="A47" s="330" t="s">
        <v>170</v>
      </c>
      <c r="B47" s="330"/>
      <c r="C47" s="330"/>
      <c r="D47" s="330"/>
      <c r="E47" s="330"/>
      <c r="F47" s="330"/>
      <c r="G47" s="330"/>
      <c r="H47" s="330"/>
      <c r="I47" s="330"/>
      <c r="J47" s="180"/>
      <c r="K47" s="180"/>
      <c r="L47" s="180"/>
    </row>
    <row r="48" spans="1:12" ht="61.5" customHeight="1" x14ac:dyDescent="0.35">
      <c r="A48" s="330" t="s">
        <v>284</v>
      </c>
      <c r="B48" s="330"/>
      <c r="C48" s="330"/>
      <c r="D48" s="330"/>
      <c r="E48" s="330"/>
      <c r="F48" s="330"/>
      <c r="G48" s="330"/>
      <c r="H48" s="330"/>
      <c r="I48" s="330"/>
      <c r="J48" s="180"/>
      <c r="K48" s="180"/>
    </row>
    <row r="49" spans="1:12" ht="18.75" customHeight="1" x14ac:dyDescent="0.35">
      <c r="A49" s="3" t="s">
        <v>210</v>
      </c>
      <c r="B49" s="3"/>
      <c r="C49" s="3"/>
      <c r="I49" s="4"/>
      <c r="J49" s="180"/>
      <c r="K49" s="180"/>
      <c r="L49" s="180"/>
    </row>
    <row r="50" spans="1:12" x14ac:dyDescent="0.35">
      <c r="A50" s="3" t="s">
        <v>191</v>
      </c>
      <c r="B50" s="3"/>
      <c r="C50" s="3"/>
      <c r="I50" s="4"/>
    </row>
    <row r="51" spans="1:12" x14ac:dyDescent="0.35">
      <c r="A51" s="3" t="s">
        <v>125</v>
      </c>
      <c r="B51" s="3"/>
      <c r="C51" s="3"/>
      <c r="I51" s="4"/>
    </row>
    <row r="52" spans="1:12" x14ac:dyDescent="0.35">
      <c r="A52" s="3" t="s">
        <v>192</v>
      </c>
      <c r="B52" s="63"/>
      <c r="C52" s="63"/>
      <c r="D52" s="39"/>
      <c r="E52" s="39"/>
      <c r="F52" s="39"/>
      <c r="G52" s="39"/>
      <c r="H52" s="39"/>
      <c r="I52" s="39"/>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H65"/>
  <sheetViews>
    <sheetView topLeftCell="A37" workbookViewId="0">
      <selection activeCell="K64" sqref="K64"/>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06/01/2023</v>
      </c>
      <c r="B1" s="3"/>
      <c r="C1" s="3"/>
    </row>
    <row r="2" spans="1:34" x14ac:dyDescent="0.35">
      <c r="D2" s="3" t="s">
        <v>176</v>
      </c>
    </row>
    <row r="3" spans="1:34" ht="29" x14ac:dyDescent="0.35">
      <c r="D3" s="48" t="s">
        <v>46</v>
      </c>
      <c r="E3" s="70" t="s">
        <v>17</v>
      </c>
      <c r="F3" s="48" t="s">
        <v>3</v>
      </c>
      <c r="G3" s="70" t="s">
        <v>55</v>
      </c>
      <c r="H3" s="48" t="s">
        <v>10</v>
      </c>
      <c r="I3" s="48" t="s">
        <v>18</v>
      </c>
      <c r="R3" s="48"/>
    </row>
    <row r="4" spans="1:34" x14ac:dyDescent="0.35">
      <c r="A4" s="20" t="s">
        <v>24</v>
      </c>
      <c r="B4" s="20"/>
      <c r="C4" s="20"/>
      <c r="D4" s="22">
        <f>SUM(C20:L20)</f>
        <v>-205204.2</v>
      </c>
      <c r="E4" s="22">
        <f>SUM(C26:K26)</f>
        <v>0</v>
      </c>
      <c r="F4" s="22">
        <f>E4-D4</f>
        <v>205204.2</v>
      </c>
      <c r="G4" s="22">
        <f>+B40</f>
        <v>-437801.97999999992</v>
      </c>
      <c r="H4" s="22">
        <f>SUM(C47:K47)</f>
        <v>-11673.170000000002</v>
      </c>
      <c r="I4" s="25">
        <f>SUM(F4:H4)</f>
        <v>-244270.94999999992</v>
      </c>
      <c r="J4" s="47">
        <f>+I4-L40</f>
        <v>0</v>
      </c>
      <c r="M4" s="47"/>
    </row>
    <row r="5" spans="1:34" x14ac:dyDescent="0.35">
      <c r="A5" s="20" t="s">
        <v>107</v>
      </c>
      <c r="B5" s="20"/>
      <c r="C5" s="20"/>
      <c r="D5" s="22">
        <f t="shared" ref="D5:D6" si="0">SUM(C21:L21)</f>
        <v>-1115.3900000000001</v>
      </c>
      <c r="E5" s="22">
        <f t="shared" ref="E5:E6" si="1">SUM(C27:K27)</f>
        <v>0</v>
      </c>
      <c r="F5" s="22">
        <f t="shared" ref="F5:F6" si="2">E5-D5</f>
        <v>1115.3900000000001</v>
      </c>
      <c r="G5" s="22">
        <f t="shared" ref="G5:G6" si="3">+B41</f>
        <v>-1108.8799999999997</v>
      </c>
      <c r="H5" s="22">
        <f t="shared" ref="H5:H6" si="4">SUM(C48:K48)</f>
        <v>-6.51</v>
      </c>
      <c r="I5" s="25">
        <f t="shared" ref="I5:I6" si="5">SUM(F5:H5)</f>
        <v>4.4586556668946287E-13</v>
      </c>
      <c r="J5" s="47"/>
      <c r="M5" s="47"/>
    </row>
    <row r="6" spans="1:34" x14ac:dyDescent="0.35">
      <c r="A6" s="20" t="s">
        <v>108</v>
      </c>
      <c r="B6" s="20"/>
      <c r="C6" s="20"/>
      <c r="D6" s="22">
        <f t="shared" si="0"/>
        <v>-1292.5</v>
      </c>
      <c r="E6" s="22">
        <f t="shared" si="1"/>
        <v>0</v>
      </c>
      <c r="F6" s="22">
        <f t="shared" si="2"/>
        <v>1292.5</v>
      </c>
      <c r="G6" s="22">
        <f t="shared" si="3"/>
        <v>-1284.9399999999998</v>
      </c>
      <c r="H6" s="22">
        <f t="shared" si="4"/>
        <v>-7.5600000000000005</v>
      </c>
      <c r="I6" s="25">
        <f t="shared" si="5"/>
        <v>1.723066134218243E-13</v>
      </c>
      <c r="J6" s="47"/>
      <c r="M6" s="47"/>
    </row>
    <row r="7" spans="1:34" ht="15" thickBot="1" x14ac:dyDescent="0.4">
      <c r="A7" s="20" t="s">
        <v>109</v>
      </c>
      <c r="B7" s="20"/>
      <c r="C7" s="20"/>
      <c r="D7" s="22">
        <f>SUM(C23:L23)</f>
        <v>-436.77</v>
      </c>
      <c r="E7" s="22">
        <f>SUM(C29:K29)</f>
        <v>0</v>
      </c>
      <c r="F7" s="22">
        <f>E7-D7</f>
        <v>436.77</v>
      </c>
      <c r="G7" s="22">
        <f>+B43</f>
        <v>-434.22</v>
      </c>
      <c r="H7" s="22">
        <f>SUM(C50:K50)</f>
        <v>-2.5499999999999998</v>
      </c>
      <c r="I7" s="25">
        <f>SUM(F7:H7)</f>
        <v>-4.5297099404706387E-14</v>
      </c>
      <c r="J7" s="47">
        <f>+I7-L43</f>
        <v>1.8207657603852567E-14</v>
      </c>
      <c r="M7" s="47"/>
    </row>
    <row r="8" spans="1:34" ht="15.5" thickTop="1" thickBot="1" x14ac:dyDescent="0.4">
      <c r="D8" s="27">
        <f t="shared" ref="D8" si="6">SUM(D4:D7)</f>
        <v>-208048.86000000002</v>
      </c>
      <c r="E8" s="27">
        <f>SUM(E4:E7)</f>
        <v>0</v>
      </c>
      <c r="F8" s="27">
        <f>SUM(F4:F7)</f>
        <v>208048.86000000002</v>
      </c>
      <c r="G8" s="27">
        <f>SUM(G4:G7)</f>
        <v>-440630.0199999999</v>
      </c>
      <c r="H8" s="27">
        <f>SUM(H4:H7)</f>
        <v>-11689.79</v>
      </c>
      <c r="I8" s="27">
        <f>SUM(I4:I7)</f>
        <v>-244270.94999999992</v>
      </c>
      <c r="S8" s="5"/>
    </row>
    <row r="9" spans="1:34" ht="44" thickTop="1" x14ac:dyDescent="0.35">
      <c r="I9" s="227"/>
      <c r="J9" s="226" t="s">
        <v>122</v>
      </c>
    </row>
    <row r="10" spans="1:34" x14ac:dyDescent="0.35">
      <c r="A10" s="20" t="s">
        <v>107</v>
      </c>
      <c r="I10" s="25">
        <f>ROUND($I$7*J10,2)</f>
        <v>0</v>
      </c>
      <c r="J10" s="224">
        <f>+'PCR Cycle 2'!K8</f>
        <v>0.39209287804949344</v>
      </c>
    </row>
    <row r="11" spans="1:34" x14ac:dyDescent="0.35">
      <c r="A11" s="20" t="s">
        <v>108</v>
      </c>
      <c r="I11" s="25">
        <f t="shared" ref="I11:I12" si="7">ROUND($I$7*J11,2)</f>
        <v>0</v>
      </c>
      <c r="J11" s="224">
        <f>+'PCR Cycle 2'!K9</f>
        <v>0.45435908608374953</v>
      </c>
    </row>
    <row r="12" spans="1:34" ht="15" thickBot="1" x14ac:dyDescent="0.4">
      <c r="A12" s="20" t="s">
        <v>109</v>
      </c>
      <c r="I12" s="25">
        <f t="shared" si="7"/>
        <v>0</v>
      </c>
      <c r="J12" s="224">
        <f>+'PCR Cycle 2'!K10</f>
        <v>0.15354803586675725</v>
      </c>
    </row>
    <row r="13" spans="1:34" ht="15.5" thickTop="1" thickBot="1" x14ac:dyDescent="0.4">
      <c r="A13" s="20" t="s">
        <v>111</v>
      </c>
      <c r="I13" s="27">
        <f>SUM(I10:I12)</f>
        <v>0</v>
      </c>
      <c r="J13" s="225">
        <f>SUM(J10:J12)</f>
        <v>1.0000000000000002</v>
      </c>
      <c r="U13" s="4"/>
    </row>
    <row r="14" spans="1:34" ht="15.5" thickTop="1" thickBot="1" x14ac:dyDescent="0.4">
      <c r="U14" s="4"/>
      <c r="V14" s="5"/>
    </row>
    <row r="15" spans="1:34" ht="116.5" thickBot="1" x14ac:dyDescent="0.4">
      <c r="B15" s="118" t="str">
        <f>+'PCR Cycle 2'!B13</f>
        <v>Cumulative Over/Under Carryover From 12/01/2022 Filing</v>
      </c>
      <c r="C15" s="151" t="str">
        <f>+'PCR Cycle 2'!C13</f>
        <v>Reverse November 2022 - January 2023 Forecast From 12/01/2022 Filing</v>
      </c>
      <c r="D15" s="324" t="s">
        <v>33</v>
      </c>
      <c r="E15" s="324"/>
      <c r="F15" s="325"/>
      <c r="G15" s="333" t="s">
        <v>33</v>
      </c>
      <c r="H15" s="334"/>
      <c r="I15" s="335"/>
      <c r="J15" s="320" t="s">
        <v>8</v>
      </c>
      <c r="K15" s="321"/>
      <c r="L15" s="322"/>
    </row>
    <row r="16" spans="1:34" x14ac:dyDescent="0.35">
      <c r="A16" s="46" t="s">
        <v>91</v>
      </c>
      <c r="C16" s="105"/>
      <c r="D16" s="19">
        <f>+'PCR Cycle 2'!D14</f>
        <v>44895</v>
      </c>
      <c r="E16" s="19">
        <f t="shared" ref="E16:L16" si="8">EOMONTH(D16,1)</f>
        <v>44926</v>
      </c>
      <c r="F16" s="19">
        <f t="shared" si="8"/>
        <v>44957</v>
      </c>
      <c r="G16" s="14">
        <f t="shared" si="8"/>
        <v>44985</v>
      </c>
      <c r="H16" s="19">
        <f t="shared" si="8"/>
        <v>45016</v>
      </c>
      <c r="I16" s="15">
        <f t="shared" si="8"/>
        <v>45046</v>
      </c>
      <c r="J16" s="19">
        <f t="shared" si="8"/>
        <v>45077</v>
      </c>
      <c r="K16" s="19">
        <f t="shared" si="8"/>
        <v>45107</v>
      </c>
      <c r="L16" s="15">
        <f t="shared" si="8"/>
        <v>45138</v>
      </c>
      <c r="Y16" s="1"/>
      <c r="Z16" s="1"/>
      <c r="AA16" s="1"/>
      <c r="AB16" s="1"/>
      <c r="AC16" s="1"/>
      <c r="AD16" s="1"/>
      <c r="AE16" s="1"/>
      <c r="AF16" s="1"/>
      <c r="AG16" s="1"/>
      <c r="AH16" s="1"/>
    </row>
    <row r="17" spans="1:14" x14ac:dyDescent="0.35">
      <c r="A17" s="46" t="s">
        <v>5</v>
      </c>
      <c r="C17" s="97">
        <v>0</v>
      </c>
      <c r="D17" s="109">
        <f>SUM(D26:D29)</f>
        <v>0</v>
      </c>
      <c r="E17" s="109">
        <f t="shared" ref="E17:H17" si="9">SUM(E26:E29)</f>
        <v>0</v>
      </c>
      <c r="F17" s="110">
        <f t="shared" si="9"/>
        <v>0</v>
      </c>
      <c r="G17" s="16">
        <f t="shared" si="9"/>
        <v>0</v>
      </c>
      <c r="H17" s="55">
        <f t="shared" si="9"/>
        <v>0</v>
      </c>
      <c r="I17" s="164">
        <f>+I26+I29</f>
        <v>0</v>
      </c>
      <c r="J17" s="157">
        <f t="shared" ref="J17:K17" si="10">+J26+J29</f>
        <v>0</v>
      </c>
      <c r="K17" s="78">
        <f t="shared" si="10"/>
        <v>0</v>
      </c>
      <c r="L17" s="79"/>
    </row>
    <row r="18" spans="1:14" x14ac:dyDescent="0.35">
      <c r="C18" s="99"/>
      <c r="D18" s="17"/>
      <c r="E18" s="17"/>
      <c r="F18" s="17"/>
      <c r="G18" s="28"/>
      <c r="H18" s="17"/>
      <c r="I18" s="11"/>
      <c r="J18" s="31"/>
      <c r="K18" s="31"/>
      <c r="L18" s="29"/>
    </row>
    <row r="19" spans="1:14" x14ac:dyDescent="0.35">
      <c r="A19" s="46" t="s">
        <v>90</v>
      </c>
      <c r="C19" s="99"/>
      <c r="D19" s="18"/>
      <c r="E19" s="18"/>
      <c r="F19" s="18"/>
      <c r="G19" s="288"/>
      <c r="H19" s="18"/>
      <c r="I19" s="165"/>
      <c r="J19" s="31"/>
      <c r="K19" s="31"/>
      <c r="L19" s="29"/>
      <c r="M19" s="3" t="s">
        <v>50</v>
      </c>
      <c r="N19" s="39"/>
    </row>
    <row r="20" spans="1:14" x14ac:dyDescent="0.35">
      <c r="A20" s="46" t="s">
        <v>24</v>
      </c>
      <c r="C20" s="97">
        <v>0</v>
      </c>
      <c r="D20" s="134">
        <v>0</v>
      </c>
      <c r="E20" s="134">
        <v>0</v>
      </c>
      <c r="F20" s="186">
        <v>0</v>
      </c>
      <c r="G20" s="16">
        <f>ROUND('[4]Feb 2023'!$F97,2)</f>
        <v>-40435.21</v>
      </c>
      <c r="H20" s="121">
        <f>ROUND('[4]Mar 2023'!$F97,2)</f>
        <v>-34073.629999999997</v>
      </c>
      <c r="I20" s="166">
        <f>ROUND('[4]Apr 2023'!$F97,2)</f>
        <v>-28506.799999999999</v>
      </c>
      <c r="J20" s="123">
        <f>ROUND('PCR Cycle 2'!J26*$M20,2)</f>
        <v>-25614.68</v>
      </c>
      <c r="K20" s="41">
        <f>ROUND('PCR Cycle 2'!K26*$M20,2)</f>
        <v>-31968.15</v>
      </c>
      <c r="L20" s="61">
        <f>ROUND('PCR Cycle 2'!L26*$M20,2)</f>
        <v>-44605.73</v>
      </c>
      <c r="M20" s="72">
        <v>-1.2E-4</v>
      </c>
      <c r="N20" s="4"/>
    </row>
    <row r="21" spans="1:14" x14ac:dyDescent="0.35">
      <c r="A21" s="46" t="s">
        <v>107</v>
      </c>
      <c r="C21" s="97">
        <v>0</v>
      </c>
      <c r="D21" s="134">
        <v>0</v>
      </c>
      <c r="E21" s="134">
        <v>0</v>
      </c>
      <c r="F21" s="186">
        <v>0</v>
      </c>
      <c r="G21" s="16">
        <f>ROUND('[4]Feb 2023'!$F98,2)</f>
        <v>-1115.3900000000001</v>
      </c>
      <c r="H21" s="121">
        <f>ROUND('[4]Mar 2023'!$F98,2)</f>
        <v>0</v>
      </c>
      <c r="I21" s="166">
        <f>ROUND('[4]Apr 2023'!$F98,2)</f>
        <v>0</v>
      </c>
      <c r="J21" s="123">
        <f>ROUND('PCR Cycle 2'!J27*$M21,2)</f>
        <v>0</v>
      </c>
      <c r="K21" s="41">
        <f>ROUND('PCR Cycle 2'!K27*$M21,2)</f>
        <v>0</v>
      </c>
      <c r="L21" s="61">
        <f>ROUND('PCR Cycle 2'!L27*$M21,2)</f>
        <v>0</v>
      </c>
      <c r="M21" s="72">
        <v>0</v>
      </c>
      <c r="N21" s="4"/>
    </row>
    <row r="22" spans="1:14" x14ac:dyDescent="0.35">
      <c r="A22" s="46" t="s">
        <v>108</v>
      </c>
      <c r="C22" s="97">
        <v>0</v>
      </c>
      <c r="D22" s="134">
        <v>0</v>
      </c>
      <c r="E22" s="134">
        <v>0</v>
      </c>
      <c r="F22" s="186">
        <v>0</v>
      </c>
      <c r="G22" s="16">
        <f>ROUND('[4]Feb 2023'!$F99,2)</f>
        <v>-1292.5</v>
      </c>
      <c r="H22" s="121">
        <f>ROUND('[4]Mar 2023'!$F99,2)</f>
        <v>0</v>
      </c>
      <c r="I22" s="166">
        <f>ROUND('[4]Apr 2023'!$F99,2)</f>
        <v>0</v>
      </c>
      <c r="J22" s="123">
        <f>ROUND('PCR Cycle 2'!J28*$M22,2)</f>
        <v>0</v>
      </c>
      <c r="K22" s="41">
        <f>ROUND('PCR Cycle 2'!K28*$M22,2)</f>
        <v>0</v>
      </c>
      <c r="L22" s="61">
        <f>ROUND('PCR Cycle 2'!L28*$M22,2)</f>
        <v>0</v>
      </c>
      <c r="M22" s="72">
        <v>0</v>
      </c>
      <c r="N22" s="4"/>
    </row>
    <row r="23" spans="1:14" x14ac:dyDescent="0.35">
      <c r="A23" s="46" t="s">
        <v>109</v>
      </c>
      <c r="C23" s="97">
        <v>0</v>
      </c>
      <c r="D23" s="134">
        <v>0</v>
      </c>
      <c r="E23" s="134">
        <v>0</v>
      </c>
      <c r="F23" s="186">
        <v>0</v>
      </c>
      <c r="G23" s="16">
        <f>ROUND('[4]Feb 2023'!$F100,2)</f>
        <v>-436.77</v>
      </c>
      <c r="H23" s="121">
        <f>ROUND('[4]Mar 2023'!$F100,2)</f>
        <v>0</v>
      </c>
      <c r="I23" s="166">
        <f>ROUND('[4]Apr 2023'!$F100,2)</f>
        <v>0</v>
      </c>
      <c r="J23" s="123">
        <f>ROUND('PCR Cycle 2'!J29*$M23,2)</f>
        <v>0</v>
      </c>
      <c r="K23" s="41">
        <f>ROUND('PCR Cycle 2'!K29*$M23,2)</f>
        <v>0</v>
      </c>
      <c r="L23" s="61">
        <f>ROUND('PCR Cycle 2'!L29*$M23,2)</f>
        <v>0</v>
      </c>
      <c r="M23" s="72">
        <v>0</v>
      </c>
      <c r="N23" s="4"/>
    </row>
    <row r="24" spans="1:14" x14ac:dyDescent="0.35">
      <c r="C24" s="67"/>
      <c r="D24" s="68"/>
      <c r="E24" s="68"/>
      <c r="F24" s="68"/>
      <c r="G24" s="98"/>
      <c r="H24" s="68"/>
      <c r="I24" s="167"/>
      <c r="J24" s="56"/>
      <c r="K24" s="56"/>
      <c r="L24" s="13"/>
      <c r="N24" s="4"/>
    </row>
    <row r="25" spans="1:14" x14ac:dyDescent="0.35">
      <c r="A25" s="46" t="s">
        <v>92</v>
      </c>
      <c r="C25" s="36"/>
      <c r="D25" s="37"/>
      <c r="E25" s="37"/>
      <c r="F25" s="37"/>
      <c r="G25" s="36"/>
      <c r="H25" s="37"/>
      <c r="I25" s="170"/>
      <c r="J25" s="52"/>
      <c r="K25" s="52"/>
      <c r="L25" s="38"/>
    </row>
    <row r="26" spans="1:14" x14ac:dyDescent="0.35">
      <c r="A26" s="46" t="s">
        <v>24</v>
      </c>
      <c r="C26" s="97">
        <v>0</v>
      </c>
      <c r="D26" s="109">
        <v>0</v>
      </c>
      <c r="E26" s="109">
        <v>0</v>
      </c>
      <c r="F26" s="110">
        <v>0</v>
      </c>
      <c r="G26" s="16">
        <v>0</v>
      </c>
      <c r="H26" s="55">
        <v>0</v>
      </c>
      <c r="I26" s="164">
        <v>0</v>
      </c>
      <c r="J26" s="159">
        <v>0</v>
      </c>
      <c r="K26" s="141">
        <v>0</v>
      </c>
      <c r="L26" s="79"/>
    </row>
    <row r="27" spans="1:14" x14ac:dyDescent="0.35">
      <c r="A27" s="46" t="s">
        <v>107</v>
      </c>
      <c r="C27" s="97">
        <v>0</v>
      </c>
      <c r="D27" s="109">
        <v>0</v>
      </c>
      <c r="E27" s="109">
        <v>0</v>
      </c>
      <c r="F27" s="110">
        <v>0</v>
      </c>
      <c r="G27" s="16">
        <v>0</v>
      </c>
      <c r="H27" s="55">
        <v>0</v>
      </c>
      <c r="I27" s="164">
        <v>0</v>
      </c>
      <c r="J27" s="159">
        <v>0</v>
      </c>
      <c r="K27" s="141">
        <v>0</v>
      </c>
      <c r="L27" s="79"/>
    </row>
    <row r="28" spans="1:14" x14ac:dyDescent="0.35">
      <c r="A28" s="46" t="s">
        <v>108</v>
      </c>
      <c r="C28" s="97">
        <v>0</v>
      </c>
      <c r="D28" s="109">
        <v>0</v>
      </c>
      <c r="E28" s="109">
        <v>0</v>
      </c>
      <c r="F28" s="110">
        <v>0</v>
      </c>
      <c r="G28" s="16">
        <v>0</v>
      </c>
      <c r="H28" s="55">
        <v>0</v>
      </c>
      <c r="I28" s="164">
        <v>0</v>
      </c>
      <c r="J28" s="159">
        <v>0</v>
      </c>
      <c r="K28" s="141">
        <v>0</v>
      </c>
      <c r="L28" s="79"/>
    </row>
    <row r="29" spans="1:14" x14ac:dyDescent="0.35">
      <c r="A29" s="46" t="s">
        <v>109</v>
      </c>
      <c r="C29" s="97">
        <v>0</v>
      </c>
      <c r="D29" s="109">
        <v>0</v>
      </c>
      <c r="E29" s="109">
        <v>0</v>
      </c>
      <c r="F29" s="110">
        <v>0</v>
      </c>
      <c r="G29" s="16">
        <v>0</v>
      </c>
      <c r="H29" s="55">
        <v>0</v>
      </c>
      <c r="I29" s="164">
        <v>0</v>
      </c>
      <c r="J29" s="159">
        <v>0</v>
      </c>
      <c r="K29" s="141">
        <v>0</v>
      </c>
      <c r="L29" s="79"/>
      <c r="N29" s="47"/>
    </row>
    <row r="30" spans="1:14" x14ac:dyDescent="0.35">
      <c r="C30" s="99"/>
      <c r="D30" s="18"/>
      <c r="E30" s="18"/>
      <c r="F30" s="18"/>
      <c r="G30" s="288"/>
      <c r="H30" s="18"/>
      <c r="I30" s="165"/>
      <c r="J30" s="56"/>
      <c r="K30" s="56"/>
      <c r="L30" s="13"/>
    </row>
    <row r="31" spans="1:14" ht="15" thickBot="1" x14ac:dyDescent="0.4">
      <c r="A31" s="3" t="s">
        <v>14</v>
      </c>
      <c r="B31" s="3"/>
      <c r="C31" s="103">
        <v>3440.9399999999996</v>
      </c>
      <c r="D31" s="134">
        <v>-1891.6299999999999</v>
      </c>
      <c r="E31" s="134">
        <v>-2036.4099999999999</v>
      </c>
      <c r="F31" s="135">
        <v>-2103.86</v>
      </c>
      <c r="G31" s="26">
        <v>-2047.2</v>
      </c>
      <c r="H31" s="122">
        <v>-1932.73</v>
      </c>
      <c r="I31" s="171">
        <v>-1840.01</v>
      </c>
      <c r="J31" s="160">
        <v>-1709.51</v>
      </c>
      <c r="K31" s="143">
        <v>-1569.38</v>
      </c>
      <c r="L31" s="82"/>
    </row>
    <row r="32" spans="1:14" x14ac:dyDescent="0.35">
      <c r="C32" s="64"/>
      <c r="D32" s="147"/>
      <c r="E32" s="147"/>
      <c r="F32" s="148"/>
      <c r="G32" s="64"/>
      <c r="H32" s="33"/>
      <c r="I32" s="172"/>
      <c r="J32" s="34"/>
      <c r="K32" s="34"/>
      <c r="L32" s="60"/>
    </row>
    <row r="33" spans="1:12" x14ac:dyDescent="0.35">
      <c r="A33" s="46" t="s">
        <v>52</v>
      </c>
      <c r="C33" s="65"/>
      <c r="D33" s="148"/>
      <c r="E33" s="148"/>
      <c r="F33" s="148"/>
      <c r="G33" s="289"/>
      <c r="H33" s="35"/>
      <c r="I33" s="173"/>
      <c r="J33" s="34"/>
      <c r="K33" s="34"/>
      <c r="L33" s="60"/>
    </row>
    <row r="34" spans="1:12" x14ac:dyDescent="0.35">
      <c r="A34" s="46" t="s">
        <v>24</v>
      </c>
      <c r="C34" s="100">
        <f t="shared" ref="C34:L34" si="11">C26-C20</f>
        <v>0</v>
      </c>
      <c r="D34" s="41">
        <f t="shared" si="11"/>
        <v>0</v>
      </c>
      <c r="E34" s="41">
        <f t="shared" si="11"/>
        <v>0</v>
      </c>
      <c r="F34" s="108">
        <f t="shared" si="11"/>
        <v>0</v>
      </c>
      <c r="G34" s="40">
        <f t="shared" si="11"/>
        <v>40435.21</v>
      </c>
      <c r="H34" s="41">
        <f t="shared" si="11"/>
        <v>34073.629999999997</v>
      </c>
      <c r="I34" s="61">
        <f t="shared" si="11"/>
        <v>28506.799999999999</v>
      </c>
      <c r="J34" s="123">
        <f t="shared" si="11"/>
        <v>25614.68</v>
      </c>
      <c r="K34" s="41">
        <f t="shared" si="11"/>
        <v>31968.15</v>
      </c>
      <c r="L34" s="61">
        <f t="shared" si="11"/>
        <v>44605.73</v>
      </c>
    </row>
    <row r="35" spans="1:12" x14ac:dyDescent="0.35">
      <c r="A35" s="46" t="s">
        <v>107</v>
      </c>
      <c r="C35" s="100">
        <f t="shared" ref="C35:L35" si="12">C27-C21</f>
        <v>0</v>
      </c>
      <c r="D35" s="41">
        <f t="shared" si="12"/>
        <v>0</v>
      </c>
      <c r="E35" s="41">
        <f t="shared" si="12"/>
        <v>0</v>
      </c>
      <c r="F35" s="108">
        <f t="shared" si="12"/>
        <v>0</v>
      </c>
      <c r="G35" s="40">
        <f t="shared" si="12"/>
        <v>1115.3900000000001</v>
      </c>
      <c r="H35" s="41">
        <f t="shared" si="12"/>
        <v>0</v>
      </c>
      <c r="I35" s="61">
        <f t="shared" si="12"/>
        <v>0</v>
      </c>
      <c r="J35" s="123">
        <f t="shared" si="12"/>
        <v>0</v>
      </c>
      <c r="K35" s="41">
        <f t="shared" si="12"/>
        <v>0</v>
      </c>
      <c r="L35" s="61">
        <f t="shared" si="12"/>
        <v>0</v>
      </c>
    </row>
    <row r="36" spans="1:12" x14ac:dyDescent="0.35">
      <c r="A36" s="46" t="s">
        <v>108</v>
      </c>
      <c r="C36" s="100">
        <f t="shared" ref="C36:L36" si="13">C28-C22</f>
        <v>0</v>
      </c>
      <c r="D36" s="41">
        <f t="shared" si="13"/>
        <v>0</v>
      </c>
      <c r="E36" s="41">
        <f t="shared" si="13"/>
        <v>0</v>
      </c>
      <c r="F36" s="108">
        <f t="shared" si="13"/>
        <v>0</v>
      </c>
      <c r="G36" s="40">
        <f t="shared" si="13"/>
        <v>1292.5</v>
      </c>
      <c r="H36" s="41">
        <f t="shared" si="13"/>
        <v>0</v>
      </c>
      <c r="I36" s="61">
        <f t="shared" si="13"/>
        <v>0</v>
      </c>
      <c r="J36" s="123">
        <f t="shared" si="13"/>
        <v>0</v>
      </c>
      <c r="K36" s="41">
        <f t="shared" si="13"/>
        <v>0</v>
      </c>
      <c r="L36" s="61">
        <f t="shared" si="13"/>
        <v>0</v>
      </c>
    </row>
    <row r="37" spans="1:12" x14ac:dyDescent="0.35">
      <c r="A37" s="46" t="s">
        <v>109</v>
      </c>
      <c r="C37" s="100">
        <f t="shared" ref="C37:L37" si="14">C29-C23</f>
        <v>0</v>
      </c>
      <c r="D37" s="41">
        <f t="shared" si="14"/>
        <v>0</v>
      </c>
      <c r="E37" s="41">
        <f t="shared" si="14"/>
        <v>0</v>
      </c>
      <c r="F37" s="108">
        <f t="shared" si="14"/>
        <v>0</v>
      </c>
      <c r="G37" s="40">
        <f t="shared" si="14"/>
        <v>436.77</v>
      </c>
      <c r="H37" s="41">
        <f t="shared" si="14"/>
        <v>0</v>
      </c>
      <c r="I37" s="61">
        <f t="shared" si="14"/>
        <v>0</v>
      </c>
      <c r="J37" s="123">
        <f t="shared" si="14"/>
        <v>0</v>
      </c>
      <c r="K37" s="41">
        <f t="shared" si="14"/>
        <v>0</v>
      </c>
      <c r="L37" s="61">
        <f t="shared" si="14"/>
        <v>0</v>
      </c>
    </row>
    <row r="38" spans="1:12" x14ac:dyDescent="0.35">
      <c r="C38" s="99"/>
      <c r="D38" s="17"/>
      <c r="E38" s="17"/>
      <c r="F38" s="17"/>
      <c r="G38" s="28"/>
      <c r="H38" s="17"/>
      <c r="I38" s="11"/>
      <c r="J38" s="17"/>
      <c r="K38" s="17"/>
      <c r="L38" s="11"/>
    </row>
    <row r="39" spans="1:12" ht="15" thickBot="1" x14ac:dyDescent="0.4">
      <c r="A39" s="46" t="s">
        <v>53</v>
      </c>
      <c r="C39" s="99"/>
      <c r="D39" s="17"/>
      <c r="E39" s="17"/>
      <c r="F39" s="17"/>
      <c r="G39" s="28"/>
      <c r="H39" s="17"/>
      <c r="I39" s="11"/>
      <c r="J39" s="17"/>
      <c r="K39" s="17"/>
      <c r="L39" s="11"/>
    </row>
    <row r="40" spans="1:12" x14ac:dyDescent="0.35">
      <c r="A40" s="46" t="s">
        <v>24</v>
      </c>
      <c r="B40" s="116">
        <v>-437801.97999999992</v>
      </c>
      <c r="C40" s="100">
        <f t="shared" ref="C40:L40" si="15">B40+C34+B47</f>
        <v>-437801.97999999992</v>
      </c>
      <c r="D40" s="41">
        <f t="shared" si="15"/>
        <v>-434383.12999999995</v>
      </c>
      <c r="E40" s="41">
        <f t="shared" si="15"/>
        <v>-436262.61999999994</v>
      </c>
      <c r="F40" s="108">
        <f t="shared" si="15"/>
        <v>-438285.95999999996</v>
      </c>
      <c r="G40" s="40">
        <f t="shared" si="15"/>
        <v>-399941.10999999993</v>
      </c>
      <c r="H40" s="41">
        <f t="shared" si="15"/>
        <v>-367914.67999999993</v>
      </c>
      <c r="I40" s="61">
        <f t="shared" si="15"/>
        <v>-341340.60999999993</v>
      </c>
      <c r="J40" s="123">
        <f t="shared" si="15"/>
        <v>-317565.93999999994</v>
      </c>
      <c r="K40" s="41">
        <f t="shared" si="15"/>
        <v>-287307.29999999993</v>
      </c>
      <c r="L40" s="61">
        <f t="shared" si="15"/>
        <v>-244270.94999999992</v>
      </c>
    </row>
    <row r="41" spans="1:12" x14ac:dyDescent="0.35">
      <c r="A41" s="46" t="s">
        <v>107</v>
      </c>
      <c r="B41" s="244">
        <v>-1108.8799999999997</v>
      </c>
      <c r="C41" s="100">
        <f t="shared" ref="C41:L41" si="16">B41+C35+B48</f>
        <v>-1108.8799999999997</v>
      </c>
      <c r="D41" s="41">
        <f t="shared" si="16"/>
        <v>-1100.2199999999996</v>
      </c>
      <c r="E41" s="41">
        <f t="shared" si="16"/>
        <v>-1104.9799999999996</v>
      </c>
      <c r="F41" s="108">
        <f t="shared" si="16"/>
        <v>-1110.0999999999995</v>
      </c>
      <c r="G41" s="40">
        <f t="shared" si="16"/>
        <v>6.4570571112199104E-13</v>
      </c>
      <c r="H41" s="41">
        <f t="shared" si="16"/>
        <v>6.4570571112199104E-13</v>
      </c>
      <c r="I41" s="61">
        <f t="shared" si="16"/>
        <v>6.4570571112199104E-13</v>
      </c>
      <c r="J41" s="123">
        <f t="shared" si="16"/>
        <v>6.4570571112199104E-13</v>
      </c>
      <c r="K41" s="41">
        <f t="shared" si="16"/>
        <v>6.4570571112199104E-13</v>
      </c>
      <c r="L41" s="61">
        <f t="shared" si="16"/>
        <v>6.4570571112199104E-13</v>
      </c>
    </row>
    <row r="42" spans="1:12" x14ac:dyDescent="0.35">
      <c r="A42" s="46" t="s">
        <v>108</v>
      </c>
      <c r="B42" s="244">
        <v>-1284.9399999999998</v>
      </c>
      <c r="C42" s="100">
        <f t="shared" ref="C42:L42" si="17">B42+C36+B49</f>
        <v>-1284.9399999999998</v>
      </c>
      <c r="D42" s="41">
        <f t="shared" si="17"/>
        <v>-1274.8999999999999</v>
      </c>
      <c r="E42" s="41">
        <f t="shared" si="17"/>
        <v>-1280.4199999999998</v>
      </c>
      <c r="F42" s="108">
        <f t="shared" si="17"/>
        <v>-1286.3599999999999</v>
      </c>
      <c r="G42" s="40">
        <f t="shared" si="17"/>
        <v>1.0036416142611415E-13</v>
      </c>
      <c r="H42" s="41">
        <f t="shared" si="17"/>
        <v>1.0036416142611415E-13</v>
      </c>
      <c r="I42" s="61">
        <f t="shared" si="17"/>
        <v>1.0036416142611415E-13</v>
      </c>
      <c r="J42" s="123">
        <f t="shared" si="17"/>
        <v>1.0036416142611415E-13</v>
      </c>
      <c r="K42" s="41">
        <f t="shared" si="17"/>
        <v>1.0036416142611415E-13</v>
      </c>
      <c r="L42" s="61">
        <f t="shared" si="17"/>
        <v>1.0036416142611415E-13</v>
      </c>
    </row>
    <row r="43" spans="1:12" ht="15" thickBot="1" x14ac:dyDescent="0.4">
      <c r="A43" s="46" t="s">
        <v>109</v>
      </c>
      <c r="B43" s="117">
        <v>-434.22</v>
      </c>
      <c r="C43" s="100">
        <f t="shared" ref="C43:L43" si="18">B43+C37+B50</f>
        <v>-434.22</v>
      </c>
      <c r="D43" s="41">
        <f t="shared" si="18"/>
        <v>-430.83000000000004</v>
      </c>
      <c r="E43" s="41">
        <f t="shared" si="18"/>
        <v>-432.69000000000005</v>
      </c>
      <c r="F43" s="108">
        <f t="shared" si="18"/>
        <v>-434.70000000000005</v>
      </c>
      <c r="G43" s="40">
        <f t="shared" si="18"/>
        <v>-6.3504757008558954E-14</v>
      </c>
      <c r="H43" s="41">
        <f t="shared" si="18"/>
        <v>-6.3504757008558954E-14</v>
      </c>
      <c r="I43" s="61">
        <f t="shared" si="18"/>
        <v>-6.3504757008558954E-14</v>
      </c>
      <c r="J43" s="123">
        <f t="shared" si="18"/>
        <v>-6.3504757008558954E-14</v>
      </c>
      <c r="K43" s="41">
        <f t="shared" si="18"/>
        <v>-6.3504757008558954E-14</v>
      </c>
      <c r="L43" s="61">
        <f t="shared" si="18"/>
        <v>-6.3504757008558954E-14</v>
      </c>
    </row>
    <row r="44" spans="1:12" x14ac:dyDescent="0.35">
      <c r="C44" s="99"/>
      <c r="D44" s="17"/>
      <c r="E44" s="17"/>
      <c r="F44" s="17"/>
      <c r="G44" s="10"/>
      <c r="H44" s="17"/>
      <c r="I44" s="11"/>
      <c r="J44" s="17"/>
      <c r="K44" s="17"/>
      <c r="L44" s="11"/>
    </row>
    <row r="45" spans="1:12" x14ac:dyDescent="0.35">
      <c r="A45" s="39" t="s">
        <v>88</v>
      </c>
      <c r="B45" s="39"/>
      <c r="C45" s="104"/>
      <c r="D45" s="83">
        <f>+'PCR Cycle 2'!D47</f>
        <v>4.3267999999999996E-3</v>
      </c>
      <c r="E45" s="83">
        <f>+'PCR Cycle 2'!E47</f>
        <v>4.6379000000000004E-3</v>
      </c>
      <c r="F45" s="83">
        <f>+'PCR Cycle 2'!F47</f>
        <v>4.7694E-3</v>
      </c>
      <c r="G45" s="84">
        <f>+'PCR Cycle 2'!G47</f>
        <v>4.8724500000000004E-3</v>
      </c>
      <c r="H45" s="83">
        <f>+'PCR Cycle 2'!H47</f>
        <v>5.0207200000000002E-3</v>
      </c>
      <c r="I45" s="92">
        <f>+'PCR Cycle 2'!I47</f>
        <v>5.1744800000000004E-3</v>
      </c>
      <c r="J45" s="83">
        <f>+'PCR Cycle 2'!J47</f>
        <v>5.1744800000000004E-3</v>
      </c>
      <c r="K45" s="83">
        <f>+'PCR Cycle 2'!K47</f>
        <v>5.1744800000000004E-3</v>
      </c>
      <c r="L45" s="85"/>
    </row>
    <row r="46" spans="1:12" x14ac:dyDescent="0.35">
      <c r="A46" s="39" t="s">
        <v>37</v>
      </c>
      <c r="B46" s="39"/>
      <c r="C46" s="106"/>
      <c r="D46" s="83"/>
      <c r="E46" s="83"/>
      <c r="F46" s="83"/>
      <c r="G46" s="84"/>
      <c r="H46" s="83"/>
      <c r="I46" s="85"/>
      <c r="J46" s="83"/>
      <c r="K46" s="83"/>
      <c r="L46" s="85"/>
    </row>
    <row r="47" spans="1:12" x14ac:dyDescent="0.35">
      <c r="A47" s="46" t="s">
        <v>24</v>
      </c>
      <c r="C47" s="100">
        <v>3418.85</v>
      </c>
      <c r="D47" s="41">
        <f t="shared" ref="D47:L47" si="19">ROUND((C40+C47+D34/2)*D$45,2)</f>
        <v>-1879.49</v>
      </c>
      <c r="E47" s="41">
        <f t="shared" si="19"/>
        <v>-2023.34</v>
      </c>
      <c r="F47" s="108">
        <f t="shared" si="19"/>
        <v>-2090.36</v>
      </c>
      <c r="G47" s="40">
        <f t="shared" si="19"/>
        <v>-2047.2</v>
      </c>
      <c r="H47" s="123">
        <f t="shared" si="19"/>
        <v>-1932.73</v>
      </c>
      <c r="I47" s="49">
        <f t="shared" si="19"/>
        <v>-1840.01</v>
      </c>
      <c r="J47" s="161">
        <f t="shared" si="19"/>
        <v>-1709.51</v>
      </c>
      <c r="K47" s="108">
        <f t="shared" si="19"/>
        <v>-1569.38</v>
      </c>
      <c r="L47" s="61">
        <f t="shared" si="19"/>
        <v>0</v>
      </c>
    </row>
    <row r="48" spans="1:12" x14ac:dyDescent="0.35">
      <c r="A48" s="46" t="s">
        <v>107</v>
      </c>
      <c r="C48" s="100">
        <v>8.66</v>
      </c>
      <c r="D48" s="41">
        <f t="shared" ref="D48:L48" si="20">ROUND((C41+C48+D35/2)*D$45,2)</f>
        <v>-4.76</v>
      </c>
      <c r="E48" s="41">
        <f t="shared" si="20"/>
        <v>-5.12</v>
      </c>
      <c r="F48" s="108">
        <f t="shared" si="20"/>
        <v>-5.29</v>
      </c>
      <c r="G48" s="40">
        <f>ROUND((F41+F48+G35/2)*G$45,2)*0</f>
        <v>0</v>
      </c>
      <c r="H48" s="123">
        <f t="shared" si="20"/>
        <v>0</v>
      </c>
      <c r="I48" s="49">
        <f t="shared" si="20"/>
        <v>0</v>
      </c>
      <c r="J48" s="161">
        <f t="shared" si="20"/>
        <v>0</v>
      </c>
      <c r="K48" s="108">
        <f t="shared" si="20"/>
        <v>0</v>
      </c>
      <c r="L48" s="61">
        <f t="shared" si="20"/>
        <v>0</v>
      </c>
    </row>
    <row r="49" spans="1:12" x14ac:dyDescent="0.35">
      <c r="A49" s="46" t="s">
        <v>108</v>
      </c>
      <c r="C49" s="100">
        <v>10.039999999999999</v>
      </c>
      <c r="D49" s="41">
        <f t="shared" ref="D49:L49" si="21">ROUND((C42+C49+D36/2)*D$45,2)</f>
        <v>-5.52</v>
      </c>
      <c r="E49" s="41">
        <f t="shared" si="21"/>
        <v>-5.94</v>
      </c>
      <c r="F49" s="108">
        <f t="shared" si="21"/>
        <v>-6.14</v>
      </c>
      <c r="G49" s="40">
        <f>ROUND((F42+F49+G36/2)*G$45,2)*0</f>
        <v>0</v>
      </c>
      <c r="H49" s="123">
        <f t="shared" si="21"/>
        <v>0</v>
      </c>
      <c r="I49" s="49">
        <f t="shared" si="21"/>
        <v>0</v>
      </c>
      <c r="J49" s="161">
        <f t="shared" si="21"/>
        <v>0</v>
      </c>
      <c r="K49" s="108">
        <f t="shared" si="21"/>
        <v>0</v>
      </c>
      <c r="L49" s="61">
        <f t="shared" si="21"/>
        <v>0</v>
      </c>
    </row>
    <row r="50" spans="1:12" ht="15" thickBot="1" x14ac:dyDescent="0.4">
      <c r="A50" s="46" t="s">
        <v>109</v>
      </c>
      <c r="C50" s="100">
        <v>3.3899999999999997</v>
      </c>
      <c r="D50" s="41">
        <f t="shared" ref="D50:L50" si="22">ROUND((C43+C50+D37/2)*D$45,2)</f>
        <v>-1.86</v>
      </c>
      <c r="E50" s="41">
        <f t="shared" si="22"/>
        <v>-2.0099999999999998</v>
      </c>
      <c r="F50" s="108">
        <f t="shared" si="22"/>
        <v>-2.0699999999999998</v>
      </c>
      <c r="G50" s="40">
        <f>ROUND((F43+F50+G37/2)*G$45,2)*0</f>
        <v>0</v>
      </c>
      <c r="H50" s="123">
        <f t="shared" si="22"/>
        <v>0</v>
      </c>
      <c r="I50" s="49">
        <f t="shared" si="22"/>
        <v>0</v>
      </c>
      <c r="J50" s="161">
        <f t="shared" si="22"/>
        <v>0</v>
      </c>
      <c r="K50" s="108">
        <f t="shared" si="22"/>
        <v>0</v>
      </c>
      <c r="L50" s="61">
        <f t="shared" si="22"/>
        <v>0</v>
      </c>
    </row>
    <row r="51" spans="1:12" ht="15.5" thickTop="1" thickBot="1" x14ac:dyDescent="0.4">
      <c r="A51" s="54" t="s">
        <v>22</v>
      </c>
      <c r="B51" s="54"/>
      <c r="C51" s="107">
        <v>0</v>
      </c>
      <c r="D51" s="42">
        <f t="shared" ref="D51:I51" si="23">SUM(D47:D50)+SUM(D40:D43)-D54</f>
        <v>0</v>
      </c>
      <c r="E51" s="42">
        <f t="shared" si="23"/>
        <v>0</v>
      </c>
      <c r="F51" s="50">
        <f t="shared" ref="F51:H51" si="24">SUM(F47:F50)+SUM(F40:F43)-F54</f>
        <v>0</v>
      </c>
      <c r="G51" s="290">
        <f t="shared" si="24"/>
        <v>0</v>
      </c>
      <c r="H51" s="50">
        <f t="shared" si="24"/>
        <v>0</v>
      </c>
      <c r="I51" s="62">
        <f t="shared" si="23"/>
        <v>0</v>
      </c>
      <c r="J51" s="162">
        <f t="shared" ref="J51:L51" si="25">SUM(J47:J50)+SUM(J40:J43)-J54</f>
        <v>0</v>
      </c>
      <c r="K51" s="50">
        <f t="shared" si="25"/>
        <v>0</v>
      </c>
      <c r="L51" s="62">
        <f t="shared" si="25"/>
        <v>0</v>
      </c>
    </row>
    <row r="52" spans="1:12" ht="15.5" thickTop="1" thickBot="1" x14ac:dyDescent="0.4">
      <c r="A52" s="54" t="s">
        <v>23</v>
      </c>
      <c r="B52" s="54"/>
      <c r="C52" s="107">
        <v>0</v>
      </c>
      <c r="D52" s="42">
        <f t="shared" ref="D52:I52" si="26">SUM(D47:D50)-D31</f>
        <v>0</v>
      </c>
      <c r="E52" s="42">
        <f t="shared" si="26"/>
        <v>0</v>
      </c>
      <c r="F52" s="50">
        <f t="shared" ref="F52:H52" si="27">SUM(F47:F50)-F31</f>
        <v>0</v>
      </c>
      <c r="G52" s="290">
        <f t="shared" si="27"/>
        <v>0</v>
      </c>
      <c r="H52" s="50">
        <f t="shared" si="27"/>
        <v>0</v>
      </c>
      <c r="I52" s="62">
        <f t="shared" si="26"/>
        <v>0</v>
      </c>
      <c r="J52" s="163">
        <f t="shared" ref="J52:L52" si="28">SUM(J47:J50)-J31</f>
        <v>0</v>
      </c>
      <c r="K52" s="42">
        <f t="shared" si="28"/>
        <v>0</v>
      </c>
      <c r="L52" s="42">
        <f t="shared" si="28"/>
        <v>0</v>
      </c>
    </row>
    <row r="53" spans="1:12" ht="15.5" thickTop="1" thickBot="1" x14ac:dyDescent="0.4">
      <c r="C53" s="99"/>
      <c r="D53" s="17"/>
      <c r="E53" s="17"/>
      <c r="F53" s="17"/>
      <c r="G53" s="10"/>
      <c r="H53" s="17"/>
      <c r="I53" s="11"/>
      <c r="J53" s="17"/>
      <c r="K53" s="17"/>
      <c r="L53" s="11"/>
    </row>
    <row r="54" spans="1:12" ht="15" thickBot="1" x14ac:dyDescent="0.4">
      <c r="A54" s="46" t="s">
        <v>36</v>
      </c>
      <c r="B54" s="119">
        <f>SUM(B40:B43)</f>
        <v>-440630.0199999999</v>
      </c>
      <c r="C54" s="100">
        <f t="shared" ref="C54:L54" si="29">(C17-SUM(C20:C23))+SUM(C47:C50)+B54</f>
        <v>-437189.0799999999</v>
      </c>
      <c r="D54" s="41">
        <f t="shared" si="29"/>
        <v>-439080.7099999999</v>
      </c>
      <c r="E54" s="41">
        <f t="shared" si="29"/>
        <v>-441117.11999999988</v>
      </c>
      <c r="F54" s="108">
        <f t="shared" si="29"/>
        <v>-443220.97999999986</v>
      </c>
      <c r="G54" s="40">
        <f t="shared" si="29"/>
        <v>-401988.30999999988</v>
      </c>
      <c r="H54" s="41">
        <f t="shared" si="29"/>
        <v>-369847.40999999986</v>
      </c>
      <c r="I54" s="61">
        <f t="shared" si="29"/>
        <v>-343180.61999999988</v>
      </c>
      <c r="J54" s="161">
        <f t="shared" si="29"/>
        <v>-319275.4499999999</v>
      </c>
      <c r="K54" s="108">
        <f t="shared" si="29"/>
        <v>-288876.67999999988</v>
      </c>
      <c r="L54" s="61">
        <f t="shared" si="29"/>
        <v>-244270.94999999987</v>
      </c>
    </row>
    <row r="55" spans="1:12" x14ac:dyDescent="0.35">
      <c r="A55" s="46" t="s">
        <v>12</v>
      </c>
      <c r="C55" s="120"/>
      <c r="D55" s="17"/>
      <c r="E55" s="17"/>
      <c r="F55" s="17"/>
      <c r="G55" s="10"/>
      <c r="H55" s="17"/>
      <c r="I55" s="11"/>
      <c r="J55" s="17"/>
      <c r="K55" s="17"/>
      <c r="L55" s="11"/>
    </row>
    <row r="56" spans="1:12" ht="15" thickBot="1" x14ac:dyDescent="0.4">
      <c r="A56" s="37"/>
      <c r="B56" s="37"/>
      <c r="C56" s="146"/>
      <c r="D56" s="44"/>
      <c r="E56" s="44"/>
      <c r="F56" s="44"/>
      <c r="G56" s="43"/>
      <c r="H56" s="44"/>
      <c r="I56" s="45"/>
      <c r="J56" s="44"/>
      <c r="K56" s="44"/>
      <c r="L56" s="45"/>
    </row>
    <row r="58" spans="1:12" x14ac:dyDescent="0.35">
      <c r="A58" s="69" t="s">
        <v>11</v>
      </c>
      <c r="B58" s="69"/>
      <c r="C58" s="69"/>
    </row>
    <row r="59" spans="1:12" x14ac:dyDescent="0.35">
      <c r="A59" s="330" t="s">
        <v>170</v>
      </c>
      <c r="B59" s="330"/>
      <c r="C59" s="330"/>
      <c r="D59" s="330"/>
      <c r="E59" s="330"/>
      <c r="F59" s="330"/>
      <c r="G59" s="330"/>
      <c r="H59" s="330"/>
      <c r="I59" s="330"/>
      <c r="J59" s="299"/>
      <c r="K59" s="299"/>
      <c r="L59" s="299"/>
    </row>
    <row r="60" spans="1:12" ht="58.5" customHeight="1" x14ac:dyDescent="0.35">
      <c r="A60" s="330" t="s">
        <v>284</v>
      </c>
      <c r="B60" s="330"/>
      <c r="C60" s="330"/>
      <c r="D60" s="330"/>
      <c r="E60" s="330"/>
      <c r="F60" s="330"/>
      <c r="G60" s="330"/>
      <c r="H60" s="330"/>
      <c r="I60" s="330"/>
      <c r="J60" s="299"/>
      <c r="K60" s="299"/>
    </row>
    <row r="61" spans="1:12" ht="18.75" customHeight="1" x14ac:dyDescent="0.35">
      <c r="A61" s="3" t="s">
        <v>210</v>
      </c>
      <c r="B61" s="3"/>
      <c r="C61" s="3"/>
      <c r="I61" s="4"/>
      <c r="J61" s="299"/>
      <c r="K61" s="299"/>
      <c r="L61" s="299"/>
    </row>
    <row r="62" spans="1:12" x14ac:dyDescent="0.35">
      <c r="A62" s="3" t="s">
        <v>191</v>
      </c>
      <c r="B62" s="3"/>
      <c r="C62" s="3"/>
      <c r="I62" s="4"/>
    </row>
    <row r="63" spans="1:12" x14ac:dyDescent="0.35">
      <c r="A63" s="3" t="s">
        <v>125</v>
      </c>
      <c r="B63" s="3"/>
      <c r="C63" s="3"/>
      <c r="I63" s="4"/>
    </row>
    <row r="64" spans="1:12" x14ac:dyDescent="0.35">
      <c r="A64" s="3"/>
      <c r="B64" s="63"/>
      <c r="C64" s="63"/>
      <c r="D64" s="39"/>
      <c r="E64" s="39"/>
      <c r="F64" s="39"/>
      <c r="G64" s="39"/>
      <c r="H64" s="39"/>
      <c r="I64" s="39"/>
    </row>
    <row r="65" spans="1:3" x14ac:dyDescent="0.35">
      <c r="A65" s="3"/>
      <c r="B65" s="3"/>
      <c r="C65" s="3"/>
    </row>
  </sheetData>
  <mergeCells count="5">
    <mergeCell ref="D15:F15"/>
    <mergeCell ref="G15:I15"/>
    <mergeCell ref="J15:L15"/>
    <mergeCell ref="A59:I59"/>
    <mergeCell ref="A60:I60"/>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zoomScale="96" zoomScaleNormal="96" workbookViewId="0">
      <pane xSplit="2" ySplit="3" topLeftCell="O4" activePane="bottomRight" state="frozen"/>
      <selection activeCell="J8" sqref="J8"/>
      <selection pane="topRight" activeCell="J8" sqref="J8"/>
      <selection pane="bottomLeft" activeCell="J8" sqref="J8"/>
      <selection pane="bottomRight" activeCell="O5" sqref="O5:T7"/>
    </sheetView>
  </sheetViews>
  <sheetFormatPr defaultRowHeight="14.5" outlineLevelCol="1" x14ac:dyDescent="0.35"/>
  <cols>
    <col min="2" max="2" width="25.1796875" customWidth="1"/>
    <col min="3" max="4" width="16.7265625" bestFit="1" customWidth="1"/>
    <col min="5" max="5" width="15.453125" bestFit="1" customWidth="1"/>
    <col min="6" max="6" width="14.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2" width="13.7265625" bestFit="1" customWidth="1"/>
    <col min="13" max="13" width="14.26953125" bestFit="1" customWidth="1"/>
    <col min="14" max="14" width="11.7265625" bestFit="1" customWidth="1"/>
    <col min="15" max="15" width="37.1796875" customWidth="1" outlineLevel="1"/>
    <col min="16" max="16" width="19.26953125" customWidth="1" outlineLevel="1"/>
    <col min="17" max="17" width="16" style="46" customWidth="1" outlineLevel="1"/>
    <col min="18" max="18" width="9.1796875" customWidth="1" outlineLevel="1"/>
    <col min="19" max="20" width="16.7265625" bestFit="1" customWidth="1" outlineLevel="1"/>
    <col min="21" max="21" width="16.7265625" style="46" bestFit="1" customWidth="1" outlineLevel="1"/>
    <col min="22" max="22" width="16.7265625" bestFit="1" customWidth="1" outlineLevel="1"/>
    <col min="23" max="23" width="9.1796875" customWidth="1" outlineLevel="1"/>
    <col min="24" max="27" width="16.7265625" bestFit="1" customWidth="1" outlineLevel="1"/>
    <col min="28" max="28" width="12" bestFit="1" customWidth="1"/>
  </cols>
  <sheetData>
    <row r="1" spans="1:28" x14ac:dyDescent="0.35">
      <c r="A1" s="3" t="str">
        <f>+'PPC Cycle 3'!A1</f>
        <v>Evergy Missouri West, Inc. - DSIM Rider Update Filed 06/01/2023</v>
      </c>
    </row>
    <row r="2" spans="1:28" ht="15" thickBot="1" x14ac:dyDescent="0.4">
      <c r="H2" s="46"/>
      <c r="I2" s="46"/>
      <c r="J2" s="48"/>
      <c r="K2" s="48"/>
    </row>
    <row r="3" spans="1:28" ht="27.5" thickBot="1" x14ac:dyDescent="0.4">
      <c r="B3" s="87" t="s">
        <v>7</v>
      </c>
      <c r="C3" s="130" t="s">
        <v>19</v>
      </c>
      <c r="D3" s="130" t="s">
        <v>20</v>
      </c>
      <c r="E3" s="130" t="s">
        <v>57</v>
      </c>
      <c r="F3" s="130" t="s">
        <v>21</v>
      </c>
      <c r="G3" s="130" t="s">
        <v>38</v>
      </c>
      <c r="H3" s="89" t="s">
        <v>28</v>
      </c>
      <c r="I3" s="39"/>
      <c r="J3" s="88" t="s">
        <v>13</v>
      </c>
      <c r="K3" s="89" t="s">
        <v>56</v>
      </c>
      <c r="L3" s="89" t="s">
        <v>72</v>
      </c>
      <c r="M3" s="89" t="s">
        <v>73</v>
      </c>
    </row>
    <row r="4" spans="1:28" ht="15" thickBot="1" x14ac:dyDescent="0.4">
      <c r="B4" s="90" t="s">
        <v>24</v>
      </c>
      <c r="C4" s="128">
        <f t="shared" ref="C4:F7" si="0">C12+C20</f>
        <v>4796412.0523199989</v>
      </c>
      <c r="D4" s="129">
        <f t="shared" si="0"/>
        <v>1872344.5699999998</v>
      </c>
      <c r="E4" s="129">
        <f t="shared" si="0"/>
        <v>1750806.7178199999</v>
      </c>
      <c r="F4" s="129">
        <f t="shared" si="0"/>
        <v>-282835.8899999999</v>
      </c>
      <c r="G4" s="132">
        <f>+'PPC Cycle 3'!B5</f>
        <v>3639182901</v>
      </c>
      <c r="H4" s="283">
        <f>ROUND(SUM(C4:F4)/G4,5)</f>
        <v>2.2399999999999998E-3</v>
      </c>
      <c r="I4" s="284"/>
      <c r="J4" s="303">
        <f>ROUND((C12+C20)/G4,5)</f>
        <v>1.32E-3</v>
      </c>
      <c r="K4" s="307">
        <f>ROUND((D12+D20)/G4,5)+0.00001</f>
        <v>5.2000000000000006E-4</v>
      </c>
      <c r="L4" s="133">
        <f>ROUND((E12+E20)/G4,5)</f>
        <v>4.8000000000000001E-4</v>
      </c>
      <c r="M4" s="133">
        <f>ROUND((F12+F20)/G4,5)</f>
        <v>-8.0000000000000007E-5</v>
      </c>
      <c r="N4" s="258">
        <f>+H4-SUM(J4:M4)</f>
        <v>0</v>
      </c>
      <c r="O4" s="266"/>
      <c r="P4" s="266"/>
      <c r="Q4" s="266"/>
      <c r="R4" s="266"/>
      <c r="S4" s="266"/>
    </row>
    <row r="5" spans="1:28" ht="15" thickBot="1" x14ac:dyDescent="0.4">
      <c r="B5" s="90" t="s">
        <v>107</v>
      </c>
      <c r="C5" s="128">
        <f t="shared" si="0"/>
        <v>1576698.92</v>
      </c>
      <c r="D5" s="129">
        <f t="shared" si="0"/>
        <v>364017.13999999996</v>
      </c>
      <c r="E5" s="129">
        <f t="shared" si="0"/>
        <v>322982.3</v>
      </c>
      <c r="F5" s="129">
        <f t="shared" si="0"/>
        <v>0</v>
      </c>
      <c r="G5" s="132">
        <f>+'PPC Cycle 3'!B6</f>
        <v>1268069356</v>
      </c>
      <c r="H5" s="283">
        <f>ROUND(SUM(C5:F5)/G5,5)</f>
        <v>1.7899999999999999E-3</v>
      </c>
      <c r="I5" s="284"/>
      <c r="J5" s="306">
        <f>ROUND((C13+C21)/G5,5)+0.00001</f>
        <v>1.25E-3</v>
      </c>
      <c r="K5" s="292">
        <f>ROUND((D13+D21)/G5,5)</f>
        <v>2.9E-4</v>
      </c>
      <c r="L5" s="133">
        <f>ROUND((E13+E21)/G5,5)</f>
        <v>2.5000000000000001E-4</v>
      </c>
      <c r="M5" s="133">
        <f>ROUND((F13+F21)/G5,5)</f>
        <v>0</v>
      </c>
      <c r="N5" s="258">
        <f t="shared" ref="N5:N7" si="1">+H5-SUM(J5:M5)</f>
        <v>0</v>
      </c>
      <c r="O5" s="266"/>
      <c r="P5" s="266"/>
      <c r="Q5" s="266"/>
      <c r="R5" s="266"/>
      <c r="S5" s="266"/>
    </row>
    <row r="6" spans="1:28" s="46" customFormat="1" ht="15" thickBot="1" x14ac:dyDescent="0.4">
      <c r="B6" s="90" t="s">
        <v>108</v>
      </c>
      <c r="C6" s="128">
        <f t="shared" si="0"/>
        <v>1963612.5699999996</v>
      </c>
      <c r="D6" s="129">
        <f t="shared" si="0"/>
        <v>574193.71000000008</v>
      </c>
      <c r="E6" s="129">
        <f t="shared" si="0"/>
        <v>595990.02</v>
      </c>
      <c r="F6" s="129">
        <f t="shared" si="0"/>
        <v>0</v>
      </c>
      <c r="G6" s="132">
        <f>+'PPC Cycle 3'!B7</f>
        <v>1132334460</v>
      </c>
      <c r="H6" s="283">
        <f>ROUND(SUM(C6:F6)/G6,5)</f>
        <v>2.7699999999999999E-3</v>
      </c>
      <c r="I6" s="284"/>
      <c r="J6" s="254">
        <f>ROUND((C14+C22)/G6,5)</f>
        <v>1.73E-3</v>
      </c>
      <c r="K6" s="292">
        <f>ROUND((D14+D22)/G6,5)</f>
        <v>5.1000000000000004E-4</v>
      </c>
      <c r="L6" s="133">
        <f>ROUND((E14+E22)/G6,5)</f>
        <v>5.2999999999999998E-4</v>
      </c>
      <c r="M6" s="133">
        <f>ROUND((F14+F22)/G6,5)</f>
        <v>0</v>
      </c>
      <c r="N6" s="258">
        <f t="shared" si="1"/>
        <v>0</v>
      </c>
      <c r="O6" s="266"/>
      <c r="P6" s="266"/>
      <c r="Q6" s="266"/>
      <c r="R6" s="266"/>
      <c r="S6" s="266"/>
    </row>
    <row r="7" spans="1:28" s="46" customFormat="1" ht="15" thickBot="1" x14ac:dyDescent="0.4">
      <c r="B7" s="90" t="s">
        <v>109</v>
      </c>
      <c r="C7" s="128">
        <f t="shared" si="0"/>
        <v>880831.56000000052</v>
      </c>
      <c r="D7" s="129">
        <f t="shared" si="0"/>
        <v>78755.250000000015</v>
      </c>
      <c r="E7" s="129">
        <f t="shared" si="0"/>
        <v>268315.28999999998</v>
      </c>
      <c r="F7" s="129">
        <f t="shared" si="0"/>
        <v>0</v>
      </c>
      <c r="G7" s="132">
        <f>+'PPC Cycle 3'!B8</f>
        <v>757566193</v>
      </c>
      <c r="H7" s="283">
        <f>ROUND(SUM(C7:F7)/G7,5)</f>
        <v>1.6199999999999999E-3</v>
      </c>
      <c r="I7" s="284"/>
      <c r="J7" s="254">
        <f>ROUND((C15+C23)/G7,5)</f>
        <v>1.16E-3</v>
      </c>
      <c r="K7" s="307">
        <f>ROUND((D15+D23)/G7,5)+0.00001</f>
        <v>1.1E-4</v>
      </c>
      <c r="L7" s="133">
        <f>ROUND((E15+E23)/G7,5)</f>
        <v>3.5E-4</v>
      </c>
      <c r="M7" s="133">
        <f>ROUND((F15+F23)/G7,5)</f>
        <v>0</v>
      </c>
      <c r="N7" s="258">
        <f t="shared" si="1"/>
        <v>0</v>
      </c>
      <c r="O7" s="266"/>
      <c r="P7" s="266"/>
      <c r="Q7" s="266"/>
      <c r="R7" s="266"/>
      <c r="S7" s="266"/>
    </row>
    <row r="8" spans="1:28" x14ac:dyDescent="0.35">
      <c r="C8" s="127"/>
      <c r="D8" s="127"/>
      <c r="E8" s="127"/>
      <c r="F8" s="127"/>
      <c r="G8" s="126"/>
      <c r="H8" s="285"/>
      <c r="I8" s="285"/>
      <c r="J8" s="285"/>
    </row>
    <row r="9" spans="1:28" x14ac:dyDescent="0.35">
      <c r="C9" s="127"/>
      <c r="D9" s="127"/>
      <c r="E9" s="127"/>
      <c r="F9" s="127"/>
      <c r="G9" s="126"/>
      <c r="H9" s="46"/>
      <c r="I9" s="46"/>
      <c r="J9" s="17"/>
      <c r="K9" s="17"/>
      <c r="L9" s="46"/>
      <c r="M9" s="46"/>
    </row>
    <row r="10" spans="1:28" ht="15" thickBot="1" x14ac:dyDescent="0.4">
      <c r="C10" s="127"/>
      <c r="D10" s="127"/>
      <c r="E10" s="127"/>
      <c r="F10" s="127"/>
      <c r="G10" s="126"/>
      <c r="H10" s="46"/>
      <c r="I10" s="46"/>
      <c r="J10" s="17"/>
      <c r="K10" s="17"/>
      <c r="L10" s="46"/>
      <c r="M10" s="46"/>
    </row>
    <row r="11" spans="1:28" ht="15" thickBot="1" x14ac:dyDescent="0.4">
      <c r="B11" s="87" t="s">
        <v>7</v>
      </c>
      <c r="C11" s="131" t="s">
        <v>6</v>
      </c>
      <c r="D11" s="131" t="s">
        <v>16</v>
      </c>
      <c r="E11" s="131" t="s">
        <v>58</v>
      </c>
      <c r="F11" s="131" t="s">
        <v>17</v>
      </c>
      <c r="G11" s="126"/>
      <c r="H11" s="46"/>
      <c r="I11" s="46"/>
      <c r="J11" s="17"/>
      <c r="K11" s="17"/>
      <c r="L11" s="46"/>
      <c r="M11" s="46"/>
      <c r="O11" s="131" t="s">
        <v>74</v>
      </c>
      <c r="P11" s="131" t="s">
        <v>75</v>
      </c>
      <c r="Q11" s="131" t="s">
        <v>82</v>
      </c>
      <c r="R11" s="46"/>
      <c r="S11" s="131" t="s">
        <v>76</v>
      </c>
      <c r="T11" s="131" t="s">
        <v>77</v>
      </c>
      <c r="U11" s="131" t="s">
        <v>103</v>
      </c>
      <c r="V11" s="131" t="s">
        <v>93</v>
      </c>
      <c r="X11" s="131" t="s">
        <v>114</v>
      </c>
      <c r="Y11" s="131" t="s">
        <v>115</v>
      </c>
      <c r="Z11" s="131" t="s">
        <v>116</v>
      </c>
      <c r="AA11" s="131" t="s">
        <v>117</v>
      </c>
    </row>
    <row r="12" spans="1:28" ht="15" thickBot="1" x14ac:dyDescent="0.4">
      <c r="B12" s="90" t="s">
        <v>24</v>
      </c>
      <c r="C12" s="129">
        <f>+'PPC Cycle 3'!C5</f>
        <v>5979758.3399999999</v>
      </c>
      <c r="D12" s="129">
        <f>'PTD Cycle 2'!C6+'PTD Cycle 3'!C6</f>
        <v>1682904.72</v>
      </c>
      <c r="E12" s="129">
        <f>+'EO Cycle 2'!G7+'EO Cycle 3'!G7</f>
        <v>1539611.91</v>
      </c>
      <c r="F12" s="128">
        <f>+'OA Cycle 3'!F9</f>
        <v>0</v>
      </c>
      <c r="G12" s="126"/>
      <c r="H12" s="46"/>
      <c r="I12" s="46"/>
      <c r="J12" s="46"/>
      <c r="K12" s="46"/>
      <c r="L12" s="46"/>
      <c r="M12" s="46"/>
      <c r="O12" s="181">
        <v>0</v>
      </c>
      <c r="P12" s="181">
        <v>0</v>
      </c>
      <c r="Q12" s="223">
        <v>0</v>
      </c>
      <c r="R12" s="156"/>
      <c r="S12" s="155">
        <v>0</v>
      </c>
      <c r="T12" s="155">
        <f>ROUND(+'PTD Cycle 2'!C6/'Tariff Tables'!G4,5)</f>
        <v>0</v>
      </c>
      <c r="U12" s="155">
        <f>ROUND('EO Cycle 2'!G7/'Tariff Tables'!G4,5)</f>
        <v>-1.0000000000000001E-5</v>
      </c>
      <c r="V12" s="155">
        <f>ROUND(0/'Tariff Tables'!G4,5)</f>
        <v>0</v>
      </c>
      <c r="X12" s="188">
        <f>ROUND('PPC Cycle 3'!C5/'Tariff Tables'!$G4,5)</f>
        <v>1.64E-3</v>
      </c>
      <c r="Y12" s="188">
        <f>ROUND('PTD Cycle 3'!C6/'Tariff Tables'!G4,5)</f>
        <v>4.6000000000000001E-4</v>
      </c>
      <c r="Z12" s="188">
        <f>ROUND('EO Cycle 3'!G7/'Tariff Tables'!G4,5)</f>
        <v>4.4000000000000002E-4</v>
      </c>
      <c r="AA12" s="188">
        <f>ROUND('OA Cycle 3'!F9/'Tariff Tables'!G4,5)</f>
        <v>0</v>
      </c>
      <c r="AB12" s="156">
        <f>SUM(O12:AA12,O20:AA20)</f>
        <v>2.2399999999999998E-3</v>
      </c>
    </row>
    <row r="13" spans="1:28" ht="15" thickBot="1" x14ac:dyDescent="0.4">
      <c r="B13" s="90" t="s">
        <v>107</v>
      </c>
      <c r="C13" s="129">
        <f>+'PPC Cycle 3'!C6</f>
        <v>2402998.34</v>
      </c>
      <c r="D13" s="129">
        <f>'PTD Cycle 2'!C10+'PTD Cycle 3'!C7</f>
        <v>534110.43000000005</v>
      </c>
      <c r="E13" s="129">
        <f>+'EO Cycle 2'!G11+'EO Cycle 3'!G11</f>
        <v>235509.34999999998</v>
      </c>
      <c r="F13" s="128">
        <f>+'OA Cycle 3'!F14</f>
        <v>0</v>
      </c>
      <c r="G13" s="126"/>
      <c r="H13" s="46"/>
      <c r="I13" s="46"/>
      <c r="J13" s="46"/>
      <c r="K13" s="46"/>
      <c r="L13" s="46"/>
      <c r="M13" s="46"/>
      <c r="O13" s="181">
        <v>0</v>
      </c>
      <c r="P13" s="181">
        <v>0</v>
      </c>
      <c r="Q13" s="223">
        <v>0</v>
      </c>
      <c r="R13" s="156"/>
      <c r="S13" s="155">
        <v>0</v>
      </c>
      <c r="T13" s="181">
        <f>ROUND(+'PTD Cycle 2'!C10/'Tariff Tables'!G5,5)</f>
        <v>0</v>
      </c>
      <c r="U13" s="223">
        <f>ROUND('EO Cycle 2'!G11/'Tariff Tables'!G5,5)</f>
        <v>0</v>
      </c>
      <c r="V13" s="181">
        <f>ROUND('OA Cycle 2'!B13/'Tariff Tables'!G5,5)</f>
        <v>0</v>
      </c>
      <c r="X13" s="188">
        <f>ROUND('PPC Cycle 3'!C6/'Tariff Tables'!$G5,5)</f>
        <v>1.9E-3</v>
      </c>
      <c r="Y13" s="188">
        <f>ROUND('PTD Cycle 3'!C7/'Tariff Tables'!G5,5)</f>
        <v>4.2000000000000002E-4</v>
      </c>
      <c r="Z13" s="188">
        <f>ROUND('EO Cycle 3'!G11/'Tariff Tables'!G5,5)</f>
        <v>1.8000000000000001E-4</v>
      </c>
      <c r="AA13" s="188">
        <f>ROUND(0/'Tariff Tables'!G5,5)</f>
        <v>0</v>
      </c>
      <c r="AB13" s="156">
        <f>SUM(O13:AA13,O21:AA21)</f>
        <v>1.7900000000000001E-3</v>
      </c>
    </row>
    <row r="14" spans="1:28" s="46" customFormat="1" ht="15" thickBot="1" x14ac:dyDescent="0.4">
      <c r="B14" s="90" t="s">
        <v>108</v>
      </c>
      <c r="C14" s="129">
        <f>+'PPC Cycle 3'!C7</f>
        <v>2306359.08</v>
      </c>
      <c r="D14" s="129">
        <f>'PTD Cycle 2'!C11+'PTD Cycle 3'!C8</f>
        <v>474610.89</v>
      </c>
      <c r="E14" s="129">
        <f>+'EO Cycle 2'!G12+'EO Cycle 3'!G12</f>
        <v>481755.36</v>
      </c>
      <c r="F14" s="128">
        <f>+'OA Cycle 3'!F15</f>
        <v>0</v>
      </c>
      <c r="G14" s="126"/>
      <c r="O14" s="181">
        <v>0</v>
      </c>
      <c r="P14" s="181">
        <v>0</v>
      </c>
      <c r="Q14" s="238">
        <v>0</v>
      </c>
      <c r="R14" s="239"/>
      <c r="S14" s="188">
        <v>0</v>
      </c>
      <c r="T14" s="240">
        <f>ROUND(+'PTD Cycle 2'!C11/'Tariff Tables'!G6,5)</f>
        <v>0</v>
      </c>
      <c r="U14" s="238">
        <f>ROUND('EO Cycle 2'!G12/'Tariff Tables'!G6,5)</f>
        <v>0</v>
      </c>
      <c r="V14" s="181">
        <f>ROUND('OA Cycle 2'!B14/'Tariff Tables'!G6,5)</f>
        <v>0</v>
      </c>
      <c r="X14" s="188">
        <f>ROUND('PPC Cycle 3'!C7/'Tariff Tables'!$G6,5)</f>
        <v>2.0400000000000001E-3</v>
      </c>
      <c r="Y14" s="188">
        <f>ROUND('PTD Cycle 3'!C8/'Tariff Tables'!G6,5)</f>
        <v>4.2000000000000002E-4</v>
      </c>
      <c r="Z14" s="188">
        <f>ROUND('EO Cycle 3'!G12/'Tariff Tables'!G6,5)+0.00001</f>
        <v>4.3000000000000004E-4</v>
      </c>
      <c r="AA14" s="188">
        <f>ROUND(0/'Tariff Tables'!G6,5)</f>
        <v>0</v>
      </c>
      <c r="AB14" s="156">
        <f>SUM(O14:AA14,O22:AA22)</f>
        <v>2.7700000000000003E-3</v>
      </c>
    </row>
    <row r="15" spans="1:28" s="46" customFormat="1" ht="15" thickBot="1" x14ac:dyDescent="0.4">
      <c r="B15" s="90" t="s">
        <v>109</v>
      </c>
      <c r="C15" s="129">
        <f>+'PPC Cycle 3'!C8</f>
        <v>1697168.4</v>
      </c>
      <c r="D15" s="129">
        <f>'PTD Cycle 2'!C12+'PTD Cycle 3'!C9</f>
        <v>42940.789999999994</v>
      </c>
      <c r="E15" s="129">
        <f>+'EO Cycle 2'!G13+'EO Cycle 3'!G13</f>
        <v>188100.98</v>
      </c>
      <c r="F15" s="128">
        <f>+'OA Cycle 3'!F16</f>
        <v>0</v>
      </c>
      <c r="G15" s="126"/>
      <c r="O15" s="181">
        <v>0</v>
      </c>
      <c r="P15" s="181">
        <v>0</v>
      </c>
      <c r="Q15" s="238">
        <v>0</v>
      </c>
      <c r="R15" s="239"/>
      <c r="S15" s="188">
        <v>0</v>
      </c>
      <c r="T15" s="240">
        <f>ROUND(+'PTD Cycle 2'!C12/'Tariff Tables'!G7,5)</f>
        <v>0</v>
      </c>
      <c r="U15" s="238">
        <f>ROUND('EO Cycle 2'!G13/'Tariff Tables'!G7,5)</f>
        <v>0</v>
      </c>
      <c r="V15" s="181">
        <f>ROUND('OA Cycle 2'!B15/'Tariff Tables'!G7,5)</f>
        <v>0</v>
      </c>
      <c r="X15" s="188">
        <f>ROUND('PPC Cycle 3'!C8/'Tariff Tables'!$G7,5)</f>
        <v>2.2399999999999998E-3</v>
      </c>
      <c r="Y15" s="188">
        <f>ROUND('PTD Cycle 3'!C9/'Tariff Tables'!G7,5)</f>
        <v>6.0000000000000002E-5</v>
      </c>
      <c r="Z15" s="188">
        <f>ROUND('EO Cycle 3'!G13/'Tariff Tables'!G7,5)-0.00001</f>
        <v>2.4000000000000001E-4</v>
      </c>
      <c r="AA15" s="188">
        <f>ROUND(0/'Tariff Tables'!G7,5)</f>
        <v>0</v>
      </c>
      <c r="AB15" s="156">
        <f>SUM(O15:AA15,O23:AA23)</f>
        <v>1.6199999999999999E-3</v>
      </c>
    </row>
    <row r="16" spans="1:28" x14ac:dyDescent="0.35">
      <c r="C16" s="127"/>
      <c r="D16" s="127"/>
      <c r="E16" s="127"/>
      <c r="F16" s="127"/>
      <c r="G16" s="126"/>
      <c r="J16" s="17"/>
      <c r="K16" s="17"/>
      <c r="O16" s="182"/>
      <c r="P16" s="182"/>
      <c r="Q16" s="241"/>
      <c r="R16" s="239"/>
      <c r="S16" s="239"/>
      <c r="T16" s="239"/>
      <c r="U16" s="239"/>
      <c r="V16" s="156"/>
      <c r="X16" s="239"/>
      <c r="Y16" s="239"/>
      <c r="Z16" s="239"/>
      <c r="AA16" s="239"/>
    </row>
    <row r="17" spans="2:27" x14ac:dyDescent="0.35">
      <c r="C17" s="127"/>
      <c r="D17" s="127"/>
      <c r="E17" s="127"/>
      <c r="F17" s="127"/>
      <c r="G17" s="126"/>
      <c r="J17" s="17"/>
      <c r="K17" s="17"/>
      <c r="O17" s="182"/>
      <c r="P17" s="182"/>
      <c r="Q17" s="241"/>
      <c r="R17" s="239"/>
      <c r="S17" s="239"/>
      <c r="T17" s="239"/>
      <c r="U17" s="239"/>
      <c r="V17" s="156"/>
      <c r="X17" s="239"/>
      <c r="Y17" s="239"/>
      <c r="Z17" s="239"/>
      <c r="AA17" s="239"/>
    </row>
    <row r="18" spans="2:27" ht="15" thickBot="1" x14ac:dyDescent="0.4">
      <c r="C18" s="127"/>
      <c r="D18" s="127"/>
      <c r="E18" s="127"/>
      <c r="F18" s="127"/>
      <c r="G18" s="126"/>
      <c r="J18" s="17"/>
      <c r="K18" s="17"/>
      <c r="O18" s="182"/>
      <c r="P18" s="182"/>
      <c r="Q18" s="241"/>
      <c r="R18" s="239"/>
      <c r="S18" s="239"/>
      <c r="T18" s="239"/>
      <c r="U18" s="239"/>
      <c r="V18" s="239"/>
      <c r="W18" s="285"/>
      <c r="X18" s="239"/>
      <c r="Y18" s="239"/>
      <c r="Z18" s="239"/>
      <c r="AA18" s="239"/>
    </row>
    <row r="19" spans="2:27" ht="15" thickBot="1" x14ac:dyDescent="0.4">
      <c r="B19" s="87" t="s">
        <v>7</v>
      </c>
      <c r="C19" s="131" t="s">
        <v>4</v>
      </c>
      <c r="D19" s="131" t="s">
        <v>9</v>
      </c>
      <c r="E19" s="131" t="s">
        <v>59</v>
      </c>
      <c r="F19" s="131" t="s">
        <v>18</v>
      </c>
      <c r="G19" s="126"/>
      <c r="O19" s="183" t="s">
        <v>78</v>
      </c>
      <c r="P19" s="183" t="s">
        <v>79</v>
      </c>
      <c r="Q19" s="242" t="s">
        <v>83</v>
      </c>
      <c r="R19" s="239"/>
      <c r="S19" s="243" t="s">
        <v>80</v>
      </c>
      <c r="T19" s="243" t="s">
        <v>81</v>
      </c>
      <c r="U19" s="242" t="s">
        <v>106</v>
      </c>
      <c r="V19" s="243" t="s">
        <v>94</v>
      </c>
      <c r="W19" s="285"/>
      <c r="X19" s="243" t="s">
        <v>118</v>
      </c>
      <c r="Y19" s="243" t="s">
        <v>119</v>
      </c>
      <c r="Z19" s="242" t="s">
        <v>120</v>
      </c>
      <c r="AA19" s="243" t="s">
        <v>121</v>
      </c>
    </row>
    <row r="20" spans="2:27" ht="15" thickBot="1" x14ac:dyDescent="0.4">
      <c r="B20" s="90" t="s">
        <v>24</v>
      </c>
      <c r="C20" s="129">
        <f>+'PCR Cycle 3'!K4+'PCR Cycle 2'!J4</f>
        <v>-1183346.287680001</v>
      </c>
      <c r="D20" s="129">
        <f>'TDR Cycle 3'!K4+'TDR Cycle 2'!K4</f>
        <v>189439.84999999986</v>
      </c>
      <c r="E20" s="129">
        <f>+'EOR Cycle 2'!I4+'EOR Cycle 3'!I4</f>
        <v>211194.80781999987</v>
      </c>
      <c r="F20" s="128">
        <f>+'OAR Cycle 2'!I4+'OAR Cycle 3'!I4</f>
        <v>-282835.8899999999</v>
      </c>
      <c r="G20" s="126"/>
      <c r="O20" s="181">
        <v>0</v>
      </c>
      <c r="P20" s="181">
        <v>0</v>
      </c>
      <c r="Q20" s="240">
        <v>0</v>
      </c>
      <c r="R20" s="239"/>
      <c r="S20" s="188">
        <f>ROUND(+'PCR Cycle 2'!J4/'Tariff Tables'!G4,5)</f>
        <v>0</v>
      </c>
      <c r="T20" s="188">
        <f>ROUND(+'TDR Cycle 2'!K4/'Tariff Tables'!G4,5)</f>
        <v>1.6000000000000001E-4</v>
      </c>
      <c r="U20" s="188">
        <f>ROUND('EOR Cycle 2'!I4/'Tariff Tables'!G4,5)</f>
        <v>0</v>
      </c>
      <c r="V20" s="188">
        <f>ROUND('OAR Cycle 2'!I4/'Tariff Tables'!G4,5)</f>
        <v>-1.0000000000000001E-5</v>
      </c>
      <c r="W20" s="285"/>
      <c r="X20" s="308">
        <f>ROUND('PCR Cycle 3'!K4/'Tariff Tables'!G4,5)+0.00001</f>
        <v>-3.1999999999999997E-4</v>
      </c>
      <c r="Y20" s="188">
        <f>ROUND('TDR Cycle 3'!K4/'Tariff Tables'!G4,5)</f>
        <v>-1E-4</v>
      </c>
      <c r="Z20" s="309">
        <f>ROUND('EOR Cycle 3'!I4/'Tariff Tables'!G4,5)-0.00001</f>
        <v>5.0000000000000002E-5</v>
      </c>
      <c r="AA20" s="305">
        <f>ROUND('OAR Cycle 3'!I4/'Tariff Tables'!G4,5)</f>
        <v>-6.9999999999999994E-5</v>
      </c>
    </row>
    <row r="21" spans="2:27" ht="15" thickBot="1" x14ac:dyDescent="0.4">
      <c r="B21" s="90" t="s">
        <v>107</v>
      </c>
      <c r="C21" s="129">
        <f>'PCR Cycle 3'!K5+'PCR Cycle 2'!J8</f>
        <v>-826299.41999999993</v>
      </c>
      <c r="D21" s="129">
        <f>'TDR Cycle 3'!K5+'TDR Cycle 2'!K8</f>
        <v>-170093.2900000001</v>
      </c>
      <c r="E21" s="129">
        <f>+'EOR Cycle 2'!I8+'EOR Cycle 3'!I5</f>
        <v>87472.95</v>
      </c>
      <c r="F21" s="128">
        <f>+'OAR Cycle 2'!I8</f>
        <v>0</v>
      </c>
      <c r="G21" s="126"/>
      <c r="O21" s="181">
        <v>0</v>
      </c>
      <c r="P21" s="181">
        <v>0</v>
      </c>
      <c r="Q21" s="240">
        <v>0</v>
      </c>
      <c r="R21" s="239"/>
      <c r="S21" s="308">
        <f>ROUND(+'PCR Cycle 2'!J8/'Tariff Tables'!G5,5)+0.00001</f>
        <v>-1.0000000000000001E-5</v>
      </c>
      <c r="T21" s="308">
        <f>ROUND(+'TDR Cycle 2'!K8/'Tariff Tables'!G5,5)+0.00001</f>
        <v>1.3999999999999999E-4</v>
      </c>
      <c r="U21" s="240">
        <f>ROUND('EOR Cycle 2'!I8/'Tariff Tables'!G5,5)</f>
        <v>5.0000000000000002E-5</v>
      </c>
      <c r="V21" s="188">
        <f>ROUND('OAR Cycle 2'!I8/'Tariff Tables'!G5,5)</f>
        <v>0</v>
      </c>
      <c r="W21" s="285"/>
      <c r="X21" s="240">
        <f>ROUND('PCR Cycle 3'!K5/'Tariff Tables'!G5,5)</f>
        <v>-6.4000000000000005E-4</v>
      </c>
      <c r="Y21" s="188">
        <f>ROUND('TDR Cycle 3'!K5/'Tariff Tables'!G5,5)</f>
        <v>-2.7E-4</v>
      </c>
      <c r="Z21" s="188">
        <f>ROUND('EOR Cycle 3'!I5/'Tariff Tables'!G5,5)</f>
        <v>2.0000000000000002E-5</v>
      </c>
      <c r="AA21" s="188">
        <f>ROUND('OAR Cycle 3'!I5/'Tariff Tables'!G5,5)</f>
        <v>0</v>
      </c>
    </row>
    <row r="22" spans="2:27" s="46" customFormat="1" ht="15" thickBot="1" x14ac:dyDescent="0.4">
      <c r="B22" s="90" t="s">
        <v>108</v>
      </c>
      <c r="C22" s="129">
        <f>'PCR Cycle 3'!K6+'PCR Cycle 2'!J9</f>
        <v>-342746.51000000047</v>
      </c>
      <c r="D22" s="129">
        <f>'TDR Cycle 3'!K6+'TDR Cycle 2'!K9</f>
        <v>99582.820000000051</v>
      </c>
      <c r="E22" s="129">
        <f>+'EOR Cycle 2'!I9+'EOR Cycle 3'!I6</f>
        <v>114234.66</v>
      </c>
      <c r="F22" s="128">
        <f>+'OAR Cycle 2'!I9</f>
        <v>0</v>
      </c>
      <c r="G22" s="126"/>
      <c r="O22" s="181">
        <v>0</v>
      </c>
      <c r="P22" s="181">
        <v>0</v>
      </c>
      <c r="Q22" s="240">
        <v>0</v>
      </c>
      <c r="R22" s="239"/>
      <c r="S22" s="308">
        <f>ROUND(+'PCR Cycle 2'!J9/'Tariff Tables'!G6,5)-0.00001</f>
        <v>-3.0000000000000004E-5</v>
      </c>
      <c r="T22" s="240">
        <f>ROUND(+'TDR Cycle 2'!K9/'Tariff Tables'!G6,5)</f>
        <v>1.7000000000000001E-4</v>
      </c>
      <c r="U22" s="240">
        <f>ROUND('EOR Cycle 2'!I9/'Tariff Tables'!G6,5)</f>
        <v>6.0000000000000002E-5</v>
      </c>
      <c r="V22" s="188">
        <f>ROUND('OAR Cycle 2'!I9/'Tariff Tables'!G6,5)</f>
        <v>0</v>
      </c>
      <c r="W22" s="285"/>
      <c r="X22" s="240">
        <f>ROUND('PCR Cycle 3'!K6/'Tariff Tables'!G6,5)</f>
        <v>-2.7999999999999998E-4</v>
      </c>
      <c r="Y22" s="188">
        <f>ROUND('TDR Cycle 3'!K6/'Tariff Tables'!G6,5)</f>
        <v>-8.0000000000000007E-5</v>
      </c>
      <c r="Z22" s="188">
        <f>ROUND('EOR Cycle 3'!I6/'Tariff Tables'!G6,5)</f>
        <v>4.0000000000000003E-5</v>
      </c>
      <c r="AA22" s="188">
        <f>ROUND('OAR Cycle 3'!I6/'Tariff Tables'!G6,5)</f>
        <v>0</v>
      </c>
    </row>
    <row r="23" spans="2:27" s="46" customFormat="1" ht="15" thickBot="1" x14ac:dyDescent="0.4">
      <c r="B23" s="90" t="s">
        <v>109</v>
      </c>
      <c r="C23" s="129">
        <f>'PCR Cycle 3'!K7+'PCR Cycle 2'!J10</f>
        <v>-816336.83999999939</v>
      </c>
      <c r="D23" s="129">
        <f>'TDR Cycle 3'!K7+'TDR Cycle 2'!K10</f>
        <v>35814.460000000021</v>
      </c>
      <c r="E23" s="129">
        <f>+'EOR Cycle 2'!I10+'EOR Cycle 3'!I7</f>
        <v>80214.309999999983</v>
      </c>
      <c r="F23" s="128">
        <f>+'OAR Cycle 2'!I10</f>
        <v>0</v>
      </c>
      <c r="G23" s="126"/>
      <c r="O23" s="181">
        <v>0</v>
      </c>
      <c r="P23" s="181">
        <v>0</v>
      </c>
      <c r="Q23" s="240">
        <v>0</v>
      </c>
      <c r="R23" s="239"/>
      <c r="S23" s="240">
        <f>ROUND(+'PCR Cycle 2'!J10/'Tariff Tables'!G7,5)</f>
        <v>-1.0000000000000001E-5</v>
      </c>
      <c r="T23" s="240">
        <f>ROUND(+'TDR Cycle 2'!K10/'Tariff Tables'!G7,5)</f>
        <v>9.0000000000000006E-5</v>
      </c>
      <c r="U23" s="308">
        <f>ROUND('EOR Cycle 2'!I10/'Tariff Tables'!G7,5)+0.00001</f>
        <v>4.0000000000000003E-5</v>
      </c>
      <c r="V23" s="188">
        <f>ROUND('OAR Cycle 2'!I10/'Tariff Tables'!G7,5)</f>
        <v>0</v>
      </c>
      <c r="W23" s="285"/>
      <c r="X23" s="240">
        <f>ROUND('PCR Cycle 3'!K7/'Tariff Tables'!G7,5)</f>
        <v>-1.07E-3</v>
      </c>
      <c r="Y23" s="188">
        <f>ROUND('TDR Cycle 3'!K7/'Tariff Tables'!G7,5)</f>
        <v>-4.0000000000000003E-5</v>
      </c>
      <c r="Z23" s="188">
        <f>ROUND('EOR Cycle 3'!I7/'Tariff Tables'!G7,5)</f>
        <v>6.9999999999999994E-5</v>
      </c>
      <c r="AA23" s="188">
        <f>ROUND('OAR Cycle 3'!I7/'Tariff Tables'!G7,5)</f>
        <v>0</v>
      </c>
    </row>
    <row r="24" spans="2:27" x14ac:dyDescent="0.35">
      <c r="O24" s="46"/>
      <c r="P24" s="46"/>
      <c r="R24" s="46"/>
      <c r="S24" s="285"/>
      <c r="T24" s="285"/>
      <c r="U24" s="285"/>
      <c r="V24" s="285"/>
      <c r="W24" s="285"/>
      <c r="X24" s="285"/>
      <c r="Y24" s="285"/>
      <c r="Z24" s="285"/>
    </row>
    <row r="25" spans="2:27" x14ac:dyDescent="0.35">
      <c r="B25" s="93" t="s">
        <v>39</v>
      </c>
      <c r="R25" t="s">
        <v>149</v>
      </c>
      <c r="S25" s="286">
        <f t="shared" ref="S25:V28" si="2">+J4-O12-O20-S12-S20-X12-X20</f>
        <v>0</v>
      </c>
      <c r="T25" s="286">
        <f t="shared" si="2"/>
        <v>0</v>
      </c>
      <c r="U25" s="286">
        <f t="shared" si="2"/>
        <v>0</v>
      </c>
      <c r="V25" s="286">
        <f t="shared" si="2"/>
        <v>0</v>
      </c>
      <c r="W25" s="285"/>
      <c r="X25" s="285"/>
      <c r="Y25" s="285"/>
      <c r="Z25" s="285"/>
    </row>
    <row r="26" spans="2:27" x14ac:dyDescent="0.35">
      <c r="B26" s="94" t="s">
        <v>40</v>
      </c>
      <c r="R26" t="s">
        <v>150</v>
      </c>
      <c r="S26" s="286">
        <f t="shared" si="2"/>
        <v>0</v>
      </c>
      <c r="T26" s="286">
        <f t="shared" si="2"/>
        <v>0</v>
      </c>
      <c r="U26" s="286">
        <f t="shared" si="2"/>
        <v>0</v>
      </c>
      <c r="V26" s="286">
        <f t="shared" si="2"/>
        <v>0</v>
      </c>
      <c r="W26" s="285"/>
      <c r="X26" s="285"/>
      <c r="Y26" s="285"/>
      <c r="Z26" s="285"/>
    </row>
    <row r="27" spans="2:27" x14ac:dyDescent="0.35">
      <c r="B27" s="94" t="s">
        <v>43</v>
      </c>
      <c r="R27" t="s">
        <v>151</v>
      </c>
      <c r="S27" s="154">
        <f t="shared" si="2"/>
        <v>0</v>
      </c>
      <c r="T27" s="154">
        <f t="shared" si="2"/>
        <v>0</v>
      </c>
      <c r="U27" s="154">
        <f t="shared" si="2"/>
        <v>-6.0986372202309624E-20</v>
      </c>
      <c r="V27" s="286">
        <f t="shared" si="2"/>
        <v>0</v>
      </c>
    </row>
    <row r="28" spans="2:27" x14ac:dyDescent="0.35">
      <c r="B28" s="94" t="s">
        <v>142</v>
      </c>
      <c r="R28" t="s">
        <v>152</v>
      </c>
      <c r="S28" s="154">
        <f t="shared" si="2"/>
        <v>0</v>
      </c>
      <c r="T28" s="154">
        <f t="shared" si="2"/>
        <v>0</v>
      </c>
      <c r="U28" s="154">
        <f t="shared" si="2"/>
        <v>0</v>
      </c>
      <c r="V28" s="286">
        <f t="shared" si="2"/>
        <v>0</v>
      </c>
    </row>
    <row r="29" spans="2:27" x14ac:dyDescent="0.35">
      <c r="B29" s="94" t="s">
        <v>41</v>
      </c>
      <c r="R29" s="46"/>
      <c r="S29" s="46"/>
      <c r="T29" s="46"/>
    </row>
    <row r="30" spans="2:27" x14ac:dyDescent="0.35">
      <c r="B30" s="94" t="s">
        <v>147</v>
      </c>
      <c r="O30" s="259"/>
      <c r="P30" s="259"/>
      <c r="Q30" s="259"/>
      <c r="R30" s="149"/>
      <c r="S30" s="149"/>
      <c r="T30" s="46"/>
    </row>
    <row r="31" spans="2:27" x14ac:dyDescent="0.35">
      <c r="B31" s="94" t="s">
        <v>141</v>
      </c>
      <c r="O31" s="149"/>
      <c r="P31" s="149"/>
      <c r="Q31" s="260"/>
      <c r="R31" s="149"/>
      <c r="S31" s="149"/>
      <c r="T31" s="46"/>
    </row>
    <row r="32" spans="2:27" x14ac:dyDescent="0.35">
      <c r="B32" s="94" t="s">
        <v>48</v>
      </c>
      <c r="O32" s="261"/>
      <c r="P32" s="149"/>
      <c r="Q32" s="260"/>
      <c r="R32" s="149"/>
      <c r="S32" s="149"/>
      <c r="T32" s="46"/>
    </row>
    <row r="33" spans="2:20" x14ac:dyDescent="0.35">
      <c r="B33" s="94" t="s">
        <v>146</v>
      </c>
      <c r="O33" s="262"/>
      <c r="P33" s="263"/>
      <c r="Q33" s="260"/>
      <c r="R33" s="260"/>
      <c r="S33" s="149"/>
      <c r="T33" s="46"/>
    </row>
    <row r="34" spans="2:20" x14ac:dyDescent="0.35">
      <c r="B34" s="94" t="s">
        <v>143</v>
      </c>
      <c r="O34" s="262"/>
      <c r="P34" s="263"/>
      <c r="Q34" s="260"/>
      <c r="R34" s="260"/>
      <c r="S34" s="149"/>
      <c r="T34" s="46"/>
    </row>
    <row r="35" spans="2:20" x14ac:dyDescent="0.35">
      <c r="B35" s="94" t="s">
        <v>144</v>
      </c>
      <c r="O35" s="262"/>
      <c r="P35" s="263"/>
      <c r="Q35" s="260"/>
      <c r="R35" s="260"/>
      <c r="S35" s="149"/>
      <c r="T35" s="46"/>
    </row>
    <row r="36" spans="2:20" x14ac:dyDescent="0.35">
      <c r="B36" s="94" t="s">
        <v>148</v>
      </c>
      <c r="O36" s="262"/>
      <c r="P36" s="263"/>
      <c r="Q36" s="260"/>
      <c r="R36" s="260"/>
      <c r="S36" s="149"/>
      <c r="T36" s="46"/>
    </row>
    <row r="37" spans="2:20" x14ac:dyDescent="0.35">
      <c r="B37" s="94" t="s">
        <v>42</v>
      </c>
      <c r="O37" s="262"/>
      <c r="P37" s="263"/>
      <c r="Q37" s="260"/>
      <c r="R37" s="260"/>
      <c r="S37" s="149"/>
      <c r="T37" s="46"/>
    </row>
    <row r="38" spans="2:20" x14ac:dyDescent="0.35">
      <c r="B38" s="94" t="s">
        <v>145</v>
      </c>
      <c r="O38" s="262"/>
      <c r="P38" s="263"/>
      <c r="Q38" s="260"/>
      <c r="R38" s="260"/>
      <c r="S38" s="149"/>
      <c r="T38" s="46"/>
    </row>
    <row r="39" spans="2:20" x14ac:dyDescent="0.35">
      <c r="B39" s="94" t="s">
        <v>211</v>
      </c>
      <c r="O39" s="264"/>
      <c r="P39" s="263"/>
      <c r="Q39" s="260"/>
      <c r="R39" s="260"/>
      <c r="S39" s="149"/>
      <c r="T39" s="46"/>
    </row>
    <row r="40" spans="2:20" x14ac:dyDescent="0.35">
      <c r="B40" s="94" t="s">
        <v>212</v>
      </c>
      <c r="O40" s="149"/>
      <c r="P40" s="265"/>
      <c r="Q40" s="260"/>
      <c r="R40" s="260"/>
      <c r="S40" s="149"/>
      <c r="T40" s="46"/>
    </row>
    <row r="41" spans="2:20" x14ac:dyDescent="0.35">
      <c r="O41" s="261"/>
      <c r="P41" s="149"/>
      <c r="Q41" s="260"/>
      <c r="R41" s="260"/>
      <c r="S41" s="149"/>
      <c r="T41" s="46"/>
    </row>
    <row r="42" spans="2:20" x14ac:dyDescent="0.35">
      <c r="O42" s="262"/>
      <c r="P42" s="263"/>
      <c r="Q42" s="260"/>
      <c r="R42" s="260"/>
      <c r="S42" s="149"/>
      <c r="T42" s="46"/>
    </row>
    <row r="43" spans="2:20" x14ac:dyDescent="0.35">
      <c r="O43" s="262"/>
      <c r="P43" s="263"/>
      <c r="Q43" s="260"/>
      <c r="R43" s="260"/>
      <c r="S43" s="149"/>
      <c r="T43" s="46"/>
    </row>
    <row r="44" spans="2:20" x14ac:dyDescent="0.35">
      <c r="O44" s="262"/>
      <c r="P44" s="263"/>
      <c r="Q44" s="260"/>
      <c r="R44" s="260"/>
      <c r="S44" s="149"/>
      <c r="T44" s="46"/>
    </row>
    <row r="45" spans="2:20" x14ac:dyDescent="0.35">
      <c r="O45" s="262"/>
      <c r="P45" s="263"/>
      <c r="Q45" s="260"/>
      <c r="R45" s="260"/>
      <c r="S45" s="149"/>
      <c r="T45" s="46"/>
    </row>
    <row r="46" spans="2:20" x14ac:dyDescent="0.35">
      <c r="O46" s="262"/>
      <c r="P46" s="263"/>
      <c r="Q46" s="260"/>
      <c r="R46" s="260"/>
      <c r="S46" s="149"/>
      <c r="T46" s="46"/>
    </row>
    <row r="47" spans="2:20" x14ac:dyDescent="0.35">
      <c r="O47" s="262"/>
      <c r="P47" s="263"/>
      <c r="Q47" s="260"/>
      <c r="R47" s="260"/>
      <c r="S47" s="149"/>
      <c r="T47" s="46"/>
    </row>
    <row r="48" spans="2:20" x14ac:dyDescent="0.35">
      <c r="O48" s="264"/>
      <c r="P48" s="263"/>
      <c r="Q48" s="260"/>
      <c r="R48" s="260"/>
      <c r="S48" s="149"/>
    </row>
    <row r="49" spans="15:19" x14ac:dyDescent="0.35">
      <c r="O49" s="149"/>
      <c r="P49" s="265"/>
      <c r="Q49" s="260"/>
      <c r="R49" s="260"/>
      <c r="S49" s="149"/>
    </row>
    <row r="50" spans="15:19" x14ac:dyDescent="0.35">
      <c r="O50" s="149"/>
      <c r="P50" s="149"/>
      <c r="Q50" s="260"/>
      <c r="R50" s="260"/>
      <c r="S50" s="149"/>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2:G29"/>
  <sheetViews>
    <sheetView workbookViewId="0">
      <selection activeCell="F11" sqref="F11"/>
    </sheetView>
  </sheetViews>
  <sheetFormatPr defaultRowHeight="14.5" x14ac:dyDescent="0.35"/>
  <cols>
    <col min="1" max="1" width="27.7265625" customWidth="1"/>
    <col min="2" max="2" width="11.26953125" bestFit="1" customWidth="1"/>
    <col min="3" max="3" width="10.1796875" bestFit="1" customWidth="1"/>
    <col min="4" max="5" width="11.26953125" bestFit="1" customWidth="1"/>
    <col min="6" max="6" width="10.1796875" bestFit="1" customWidth="1"/>
  </cols>
  <sheetData>
    <row r="2" spans="1:6" x14ac:dyDescent="0.35">
      <c r="A2" s="3" t="str">
        <f>+'Tariff Tables'!A1</f>
        <v>Evergy Missouri West, Inc. - DSIM Rider Update Filed 06/01/2023</v>
      </c>
    </row>
    <row r="3" spans="1:6" ht="15" thickBot="1" x14ac:dyDescent="0.4">
      <c r="A3" s="3" t="s">
        <v>126</v>
      </c>
    </row>
    <row r="4" spans="1:6" ht="27.5" thickBot="1" x14ac:dyDescent="0.4">
      <c r="A4" s="87" t="s">
        <v>133</v>
      </c>
      <c r="B4" s="130" t="s">
        <v>132</v>
      </c>
      <c r="C4" s="130" t="s">
        <v>131</v>
      </c>
      <c r="D4" s="130" t="s">
        <v>130</v>
      </c>
      <c r="E4" s="130" t="s">
        <v>129</v>
      </c>
      <c r="F4" s="89" t="s">
        <v>28</v>
      </c>
    </row>
    <row r="5" spans="1:6" ht="15" thickBot="1" x14ac:dyDescent="0.4">
      <c r="A5" s="90" t="s">
        <v>24</v>
      </c>
      <c r="B5" s="235">
        <f>+'Tariff Tables'!S12+'Tariff Tables'!S20</f>
        <v>0</v>
      </c>
      <c r="C5" s="236">
        <f>+'Tariff Tables'!T12+'Tariff Tables'!T20</f>
        <v>1.6000000000000001E-4</v>
      </c>
      <c r="D5" s="236">
        <f>+'Tariff Tables'!U12+'Tariff Tables'!U20</f>
        <v>-1.0000000000000001E-5</v>
      </c>
      <c r="E5" s="236">
        <f>+'Tariff Tables'!V12+'Tariff Tables'!V20</f>
        <v>-1.0000000000000001E-5</v>
      </c>
      <c r="F5" s="234">
        <f>SUM(B5:E5)</f>
        <v>1.4000000000000001E-4</v>
      </c>
    </row>
    <row r="6" spans="1:6" ht="15" thickBot="1" x14ac:dyDescent="0.4">
      <c r="A6" s="90" t="s">
        <v>107</v>
      </c>
      <c r="B6" s="235">
        <f>+'Tariff Tables'!S13+'Tariff Tables'!S21</f>
        <v>-1.0000000000000001E-5</v>
      </c>
      <c r="C6" s="236">
        <f>+'Tariff Tables'!T13+'Tariff Tables'!T21</f>
        <v>1.3999999999999999E-4</v>
      </c>
      <c r="D6" s="236">
        <f>+'Tariff Tables'!U13+'Tariff Tables'!U21</f>
        <v>5.0000000000000002E-5</v>
      </c>
      <c r="E6" s="236">
        <f>+'Tariff Tables'!V13+'Tariff Tables'!V21</f>
        <v>0</v>
      </c>
      <c r="F6" s="234">
        <f t="shared" ref="F6:F8" si="0">SUM(B6:E6)</f>
        <v>1.7999999999999998E-4</v>
      </c>
    </row>
    <row r="7" spans="1:6" ht="15" thickBot="1" x14ac:dyDescent="0.4">
      <c r="A7" s="90" t="s">
        <v>108</v>
      </c>
      <c r="B7" s="235">
        <f>+'Tariff Tables'!S14+'Tariff Tables'!S22</f>
        <v>-3.0000000000000004E-5</v>
      </c>
      <c r="C7" s="236">
        <f>+'Tariff Tables'!T14+'Tariff Tables'!T22</f>
        <v>1.7000000000000001E-4</v>
      </c>
      <c r="D7" s="236">
        <f>+'Tariff Tables'!U14+'Tariff Tables'!U22</f>
        <v>6.0000000000000002E-5</v>
      </c>
      <c r="E7" s="236">
        <f>+'Tariff Tables'!V14+'Tariff Tables'!V22</f>
        <v>0</v>
      </c>
      <c r="F7" s="234">
        <f t="shared" si="0"/>
        <v>2.0000000000000001E-4</v>
      </c>
    </row>
    <row r="8" spans="1:6" ht="15" thickBot="1" x14ac:dyDescent="0.4">
      <c r="A8" s="90" t="s">
        <v>109</v>
      </c>
      <c r="B8" s="235">
        <f>+'Tariff Tables'!S15+'Tariff Tables'!S23</f>
        <v>-1.0000000000000001E-5</v>
      </c>
      <c r="C8" s="236">
        <f>+'Tariff Tables'!T15+'Tariff Tables'!T23</f>
        <v>9.0000000000000006E-5</v>
      </c>
      <c r="D8" s="236">
        <f>+'Tariff Tables'!U15+'Tariff Tables'!U23</f>
        <v>4.0000000000000003E-5</v>
      </c>
      <c r="E8" s="236">
        <f>+'Tariff Tables'!V15+'Tariff Tables'!V23</f>
        <v>0</v>
      </c>
      <c r="F8" s="234">
        <f t="shared" si="0"/>
        <v>1.2000000000000002E-4</v>
      </c>
    </row>
    <row r="11" spans="1:6" ht="15" thickBot="1" x14ac:dyDescent="0.4">
      <c r="A11" s="3" t="s">
        <v>127</v>
      </c>
      <c r="B11" s="46"/>
      <c r="C11" s="46"/>
      <c r="D11" s="46"/>
      <c r="E11" s="46"/>
      <c r="F11" s="46"/>
    </row>
    <row r="12" spans="1:6" ht="27.5" thickBot="1" x14ac:dyDescent="0.4">
      <c r="A12" s="87" t="s">
        <v>133</v>
      </c>
      <c r="B12" s="130" t="s">
        <v>132</v>
      </c>
      <c r="C12" s="130" t="s">
        <v>131</v>
      </c>
      <c r="D12" s="130" t="s">
        <v>130</v>
      </c>
      <c r="E12" s="130" t="s">
        <v>129</v>
      </c>
      <c r="F12" s="89" t="s">
        <v>28</v>
      </c>
    </row>
    <row r="13" spans="1:6" ht="15" thickBot="1" x14ac:dyDescent="0.4">
      <c r="A13" s="90" t="s">
        <v>24</v>
      </c>
      <c r="B13" s="235">
        <f>+'Tariff Tables'!X12+'Tariff Tables'!X20</f>
        <v>1.32E-3</v>
      </c>
      <c r="C13" s="236">
        <f>+'Tariff Tables'!Y12+'Tariff Tables'!Y20</f>
        <v>3.6000000000000002E-4</v>
      </c>
      <c r="D13" s="236">
        <f>+'Tariff Tables'!Z12+'Tariff Tables'!Z20</f>
        <v>4.8999999999999998E-4</v>
      </c>
      <c r="E13" s="236">
        <f>+'Tariff Tables'!AA12+'Tariff Tables'!AA20</f>
        <v>-6.9999999999999994E-5</v>
      </c>
      <c r="F13" s="234">
        <f>SUM(B13:E13)</f>
        <v>2.0999999999999999E-3</v>
      </c>
    </row>
    <row r="14" spans="1:6" ht="15" thickBot="1" x14ac:dyDescent="0.4">
      <c r="A14" s="90" t="s">
        <v>107</v>
      </c>
      <c r="B14" s="235">
        <f>+'Tariff Tables'!X13+'Tariff Tables'!X21</f>
        <v>1.2599999999999998E-3</v>
      </c>
      <c r="C14" s="236">
        <f>+'Tariff Tables'!Y13+'Tariff Tables'!Y21</f>
        <v>1.5000000000000001E-4</v>
      </c>
      <c r="D14" s="236">
        <f>+'Tariff Tables'!Z13+'Tariff Tables'!Z21</f>
        <v>2.0000000000000001E-4</v>
      </c>
      <c r="E14" s="236">
        <f>+'Tariff Tables'!AA13+'Tariff Tables'!AA21</f>
        <v>0</v>
      </c>
      <c r="F14" s="234">
        <f t="shared" ref="F14:F16" si="1">SUM(B14:E14)</f>
        <v>1.6099999999999999E-3</v>
      </c>
    </row>
    <row r="15" spans="1:6" ht="15" thickBot="1" x14ac:dyDescent="0.4">
      <c r="A15" s="90" t="s">
        <v>108</v>
      </c>
      <c r="B15" s="235">
        <f>+'Tariff Tables'!X14+'Tariff Tables'!X22</f>
        <v>1.7600000000000003E-3</v>
      </c>
      <c r="C15" s="236">
        <f>+'Tariff Tables'!Y14+'Tariff Tables'!Y22</f>
        <v>3.4000000000000002E-4</v>
      </c>
      <c r="D15" s="236">
        <f>+'Tariff Tables'!Z14+'Tariff Tables'!Z22</f>
        <v>4.7000000000000004E-4</v>
      </c>
      <c r="E15" s="236">
        <f>+'Tariff Tables'!AA14+'Tariff Tables'!AA22</f>
        <v>0</v>
      </c>
      <c r="F15" s="234">
        <f t="shared" si="1"/>
        <v>2.5700000000000002E-3</v>
      </c>
    </row>
    <row r="16" spans="1:6" ht="15" thickBot="1" x14ac:dyDescent="0.4">
      <c r="A16" s="90" t="s">
        <v>109</v>
      </c>
      <c r="B16" s="235">
        <f>+'Tariff Tables'!X15+'Tariff Tables'!X23</f>
        <v>1.1699999999999998E-3</v>
      </c>
      <c r="C16" s="236">
        <f>+'Tariff Tables'!Y15+'Tariff Tables'!Y23</f>
        <v>1.9999999999999998E-5</v>
      </c>
      <c r="D16" s="236">
        <f>+'Tariff Tables'!Z15+'Tariff Tables'!Z23</f>
        <v>3.1E-4</v>
      </c>
      <c r="E16" s="236">
        <f>+'Tariff Tables'!AA15+'Tariff Tables'!AA23</f>
        <v>0</v>
      </c>
      <c r="F16" s="234">
        <f t="shared" si="1"/>
        <v>1.4999999999999998E-3</v>
      </c>
    </row>
    <row r="19" spans="1:7" ht="15" thickBot="1" x14ac:dyDescent="0.4">
      <c r="A19" s="3" t="s">
        <v>128</v>
      </c>
      <c r="B19" s="46"/>
      <c r="C19" s="46"/>
      <c r="D19" s="46"/>
      <c r="E19" s="46"/>
      <c r="F19" s="46"/>
    </row>
    <row r="20" spans="1:7" ht="27.5" thickBot="1" x14ac:dyDescent="0.4">
      <c r="A20" s="87" t="s">
        <v>133</v>
      </c>
      <c r="B20" s="130" t="s">
        <v>132</v>
      </c>
      <c r="C20" s="130" t="s">
        <v>131</v>
      </c>
      <c r="D20" s="130" t="s">
        <v>130</v>
      </c>
      <c r="E20" s="130" t="s">
        <v>129</v>
      </c>
      <c r="F20" s="89" t="s">
        <v>28</v>
      </c>
    </row>
    <row r="21" spans="1:7" ht="15" thickBot="1" x14ac:dyDescent="0.4">
      <c r="A21" s="90" t="s">
        <v>24</v>
      </c>
      <c r="B21" s="235">
        <f t="shared" ref="B21:E24" si="2">+B5+B13</f>
        <v>1.32E-3</v>
      </c>
      <c r="C21" s="236">
        <f t="shared" si="2"/>
        <v>5.2000000000000006E-4</v>
      </c>
      <c r="D21" s="236">
        <f t="shared" si="2"/>
        <v>4.7999999999999996E-4</v>
      </c>
      <c r="E21" s="236">
        <f t="shared" si="2"/>
        <v>-7.9999999999999993E-5</v>
      </c>
      <c r="F21" s="234">
        <f>SUM(B21:E21)</f>
        <v>2.2399999999999998E-3</v>
      </c>
      <c r="G21" s="237">
        <f>+F21-'Tariff Tables'!H4</f>
        <v>0</v>
      </c>
    </row>
    <row r="22" spans="1:7" ht="15" thickBot="1" x14ac:dyDescent="0.4">
      <c r="A22" s="90" t="s">
        <v>107</v>
      </c>
      <c r="B22" s="235">
        <f t="shared" si="2"/>
        <v>1.2499999999999998E-3</v>
      </c>
      <c r="C22" s="236">
        <f t="shared" si="2"/>
        <v>2.9E-4</v>
      </c>
      <c r="D22" s="236">
        <f t="shared" si="2"/>
        <v>2.5000000000000001E-4</v>
      </c>
      <c r="E22" s="236">
        <f t="shared" si="2"/>
        <v>0</v>
      </c>
      <c r="F22" s="234">
        <f t="shared" ref="F22:F24" si="3">SUM(B22:E22)</f>
        <v>1.7899999999999997E-3</v>
      </c>
      <c r="G22" s="237">
        <f>+F22-'Tariff Tables'!H5</f>
        <v>0</v>
      </c>
    </row>
    <row r="23" spans="1:7" ht="15" thickBot="1" x14ac:dyDescent="0.4">
      <c r="A23" s="90" t="s">
        <v>108</v>
      </c>
      <c r="B23" s="235">
        <f t="shared" si="2"/>
        <v>1.7300000000000002E-3</v>
      </c>
      <c r="C23" s="236">
        <f t="shared" si="2"/>
        <v>5.1000000000000004E-4</v>
      </c>
      <c r="D23" s="236">
        <f t="shared" si="2"/>
        <v>5.3000000000000009E-4</v>
      </c>
      <c r="E23" s="236">
        <f t="shared" si="2"/>
        <v>0</v>
      </c>
      <c r="F23" s="234">
        <f t="shared" si="3"/>
        <v>2.7700000000000003E-3</v>
      </c>
      <c r="G23" s="237">
        <f>+F23-'Tariff Tables'!H6</f>
        <v>0</v>
      </c>
    </row>
    <row r="24" spans="1:7" ht="15" thickBot="1" x14ac:dyDescent="0.4">
      <c r="A24" s="90" t="s">
        <v>109</v>
      </c>
      <c r="B24" s="235">
        <f t="shared" si="2"/>
        <v>1.1599999999999998E-3</v>
      </c>
      <c r="C24" s="236">
        <f t="shared" si="2"/>
        <v>1.1E-4</v>
      </c>
      <c r="D24" s="236">
        <f t="shared" si="2"/>
        <v>3.5E-4</v>
      </c>
      <c r="E24" s="236">
        <f t="shared" si="2"/>
        <v>0</v>
      </c>
      <c r="F24" s="234">
        <f t="shared" si="3"/>
        <v>1.6199999999999999E-3</v>
      </c>
      <c r="G24" s="237">
        <f>+F24-'Tariff Tables'!H7</f>
        <v>0</v>
      </c>
    </row>
    <row r="26" spans="1:7" x14ac:dyDescent="0.35">
      <c r="B26" s="237">
        <f>+B21-'Tariff Tables'!J4</f>
        <v>0</v>
      </c>
      <c r="C26" s="237">
        <f>+C21-'Tariff Tables'!K4</f>
        <v>0</v>
      </c>
      <c r="D26" s="237">
        <f>+D21-'Tariff Tables'!L4</f>
        <v>0</v>
      </c>
      <c r="E26" s="237">
        <f>+E21-'Tariff Tables'!M4</f>
        <v>0</v>
      </c>
      <c r="F26" s="237"/>
    </row>
    <row r="27" spans="1:7" x14ac:dyDescent="0.35">
      <c r="B27" s="237">
        <f>+B22-'Tariff Tables'!J5</f>
        <v>0</v>
      </c>
      <c r="C27" s="237">
        <f>+C22-'Tariff Tables'!K5</f>
        <v>0</v>
      </c>
      <c r="D27" s="237">
        <f>+D22-'Tariff Tables'!L5</f>
        <v>0</v>
      </c>
      <c r="E27" s="237">
        <f>+E22-'Tariff Tables'!M5</f>
        <v>0</v>
      </c>
      <c r="F27" s="237"/>
    </row>
    <row r="28" spans="1:7" x14ac:dyDescent="0.35">
      <c r="B28" s="237">
        <f>+B23-'Tariff Tables'!J6</f>
        <v>0</v>
      </c>
      <c r="C28" s="237">
        <f>+C23-'Tariff Tables'!K6</f>
        <v>0</v>
      </c>
      <c r="D28" s="237">
        <f>+D23-'Tariff Tables'!L6</f>
        <v>0</v>
      </c>
      <c r="E28" s="237">
        <f>+E23-'Tariff Tables'!M6</f>
        <v>0</v>
      </c>
      <c r="F28" s="237"/>
    </row>
    <row r="29" spans="1:7" x14ac:dyDescent="0.35">
      <c r="B29" s="237">
        <f>+B24-'Tariff Tables'!J7</f>
        <v>0</v>
      </c>
      <c r="C29" s="237">
        <f>+C24-'Tariff Tables'!K7</f>
        <v>0</v>
      </c>
      <c r="D29" s="237">
        <f>+D24-'Tariff Tables'!L7</f>
        <v>0</v>
      </c>
      <c r="E29" s="237">
        <f>+E24-'Tariff Tables'!M7</f>
        <v>0</v>
      </c>
      <c r="F29" s="237"/>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A12" sqref="A12:E12"/>
    </sheetView>
  </sheetViews>
  <sheetFormatPr defaultColWidth="9.1796875" defaultRowHeight="14.5" x14ac:dyDescent="0.35"/>
  <cols>
    <col min="1" max="1" width="20.81640625" style="46" customWidth="1"/>
    <col min="2" max="2" width="22" style="46" customWidth="1"/>
    <col min="3" max="3" width="17.26953125" style="46" customWidth="1"/>
    <col min="4" max="5" width="12.54296875" style="46" bestFit="1" customWidth="1"/>
    <col min="6" max="16384" width="9.1796875" style="46"/>
  </cols>
  <sheetData>
    <row r="1" spans="1:25" x14ac:dyDescent="0.35">
      <c r="A1" s="63" t="s">
        <v>181</v>
      </c>
    </row>
    <row r="2" spans="1:25" x14ac:dyDescent="0.35">
      <c r="A2" s="9" t="s">
        <v>182</v>
      </c>
    </row>
    <row r="3" spans="1:25" ht="35.25" customHeight="1" x14ac:dyDescent="0.35">
      <c r="B3" s="319" t="s">
        <v>112</v>
      </c>
      <c r="C3" s="319"/>
    </row>
    <row r="4" spans="1:25" ht="58" x14ac:dyDescent="0.35">
      <c r="B4" s="267" t="s">
        <v>44</v>
      </c>
      <c r="C4" s="232" t="s">
        <v>26</v>
      </c>
      <c r="D4" s="293" t="s">
        <v>186</v>
      </c>
      <c r="E4" s="293" t="s">
        <v>183</v>
      </c>
    </row>
    <row r="5" spans="1:25" x14ac:dyDescent="0.35">
      <c r="A5" s="20" t="s">
        <v>24</v>
      </c>
      <c r="B5" s="268">
        <f>SUM('[1]Billed kWh Sales'!F34:G34)</f>
        <v>3639182901</v>
      </c>
      <c r="C5" s="230">
        <f>SUM(D5:E5)</f>
        <v>5979758.3399999999</v>
      </c>
      <c r="D5" s="230">
        <f>ROUND(SUM('[2]Monthly Program Costs'!$AX290:$BI290),2)</f>
        <v>0</v>
      </c>
      <c r="E5" s="230">
        <f>ROUND(SUM('[2]Monthly Program Costs Ext'!$AV290:$BI290),2)</f>
        <v>5979758.3399999999</v>
      </c>
      <c r="G5" s="266"/>
      <c r="H5" s="266"/>
    </row>
    <row r="6" spans="1:25" x14ac:dyDescent="0.35">
      <c r="A6" s="20" t="s">
        <v>107</v>
      </c>
      <c r="B6" s="268">
        <f>SUM('[1]Billed kWh Sales'!F35:G35)</f>
        <v>1268069356</v>
      </c>
      <c r="C6" s="230">
        <f t="shared" ref="C6:C8" si="0">SUM(D6:E6)</f>
        <v>2402998.34</v>
      </c>
      <c r="D6" s="230">
        <f>ROUND(SUM('[2]Monthly Program Costs'!$AX291:$BI291),2)</f>
        <v>0</v>
      </c>
      <c r="E6" s="230">
        <f>ROUND(SUM('[2]Monthly Program Costs Ext'!$AV291:$BI291),2)</f>
        <v>2402998.34</v>
      </c>
      <c r="F6" s="266"/>
      <c r="G6" s="266"/>
      <c r="H6" s="266"/>
      <c r="I6" s="266"/>
    </row>
    <row r="7" spans="1:25" x14ac:dyDescent="0.35">
      <c r="A7" s="20" t="s">
        <v>108</v>
      </c>
      <c r="B7" s="268">
        <f>SUM('[1]Billed kWh Sales'!F36:G36)</f>
        <v>1132334460</v>
      </c>
      <c r="C7" s="230">
        <f t="shared" si="0"/>
        <v>2306359.08</v>
      </c>
      <c r="D7" s="230">
        <f>ROUND(SUM('[2]Monthly Program Costs'!$AX293:$BI293),2)</f>
        <v>0</v>
      </c>
      <c r="E7" s="230">
        <f>ROUND(SUM('[2]Monthly Program Costs Ext'!$AV293:$BI293),2)</f>
        <v>2306359.08</v>
      </c>
      <c r="F7" s="266"/>
      <c r="G7" s="266"/>
      <c r="H7" s="266"/>
      <c r="I7" s="266"/>
    </row>
    <row r="8" spans="1:25" x14ac:dyDescent="0.35">
      <c r="A8" s="20" t="s">
        <v>109</v>
      </c>
      <c r="B8" s="268">
        <f>SUM('[1]Billed kWh Sales'!F37:G37)</f>
        <v>757566193</v>
      </c>
      <c r="C8" s="230">
        <f t="shared" si="0"/>
        <v>1697168.4</v>
      </c>
      <c r="D8" s="230">
        <f>ROUND(SUM('[2]Monthly Program Costs'!$AX294:$BI294),2)</f>
        <v>0</v>
      </c>
      <c r="E8" s="230">
        <f>ROUND(SUM('[2]Monthly Program Costs Ext'!$AV294:$BI294),2)</f>
        <v>1697168.4</v>
      </c>
      <c r="F8" s="266"/>
      <c r="G8" s="266"/>
      <c r="H8" s="266"/>
      <c r="I8" s="266"/>
      <c r="P8" s="1"/>
      <c r="Q8" s="1"/>
      <c r="R8" s="1"/>
      <c r="S8" s="1"/>
      <c r="T8" s="1"/>
      <c r="U8" s="1"/>
      <c r="V8" s="1"/>
      <c r="W8" s="1"/>
      <c r="X8" s="1"/>
      <c r="Y8" s="1"/>
    </row>
    <row r="9" spans="1:25" x14ac:dyDescent="0.35">
      <c r="A9" s="30" t="s">
        <v>111</v>
      </c>
      <c r="B9" s="269">
        <f>SUM(B5:B8)</f>
        <v>6797152910</v>
      </c>
      <c r="C9" s="231">
        <f>SUM(C5:C8)</f>
        <v>12386284.16</v>
      </c>
      <c r="D9" s="231">
        <f t="shared" ref="D9:E9" si="1">SUM(D5:D8)</f>
        <v>0</v>
      </c>
      <c r="E9" s="231">
        <f t="shared" si="1"/>
        <v>12386284.16</v>
      </c>
      <c r="P9" s="1"/>
      <c r="Q9" s="1"/>
      <c r="R9" s="1"/>
      <c r="S9" s="1"/>
      <c r="T9" s="1"/>
      <c r="U9" s="1"/>
      <c r="V9" s="1"/>
      <c r="W9" s="1"/>
      <c r="X9" s="1"/>
      <c r="Y9" s="1"/>
    </row>
    <row r="11" spans="1:25" x14ac:dyDescent="0.35">
      <c r="A11" s="53" t="s">
        <v>11</v>
      </c>
    </row>
    <row r="12" spans="1:25" ht="29.25" customHeight="1" x14ac:dyDescent="0.35">
      <c r="A12" s="318" t="s">
        <v>273</v>
      </c>
      <c r="B12" s="318"/>
      <c r="C12" s="318"/>
      <c r="D12" s="318"/>
      <c r="E12" s="318"/>
      <c r="F12" s="295"/>
      <c r="G12" s="318"/>
      <c r="H12" s="318"/>
      <c r="I12" s="318"/>
    </row>
    <row r="13" spans="1:25" ht="18.75" customHeight="1" x14ac:dyDescent="0.35">
      <c r="A13" s="318" t="s">
        <v>168</v>
      </c>
      <c r="B13" s="318"/>
      <c r="C13" s="318"/>
      <c r="D13" s="318"/>
      <c r="E13" s="318"/>
    </row>
    <row r="14" spans="1:25" ht="28.5" customHeight="1" x14ac:dyDescent="0.35">
      <c r="A14" s="318" t="s">
        <v>189</v>
      </c>
      <c r="B14" s="318"/>
      <c r="C14" s="318"/>
      <c r="D14" s="318"/>
      <c r="E14" s="318"/>
    </row>
    <row r="15" spans="1:25" ht="28.5" customHeight="1" x14ac:dyDescent="0.35">
      <c r="A15" s="318" t="s">
        <v>190</v>
      </c>
      <c r="B15" s="318"/>
      <c r="C15" s="318"/>
      <c r="D15" s="318"/>
      <c r="E15" s="318"/>
    </row>
    <row r="16" spans="1:25" ht="32.25" customHeight="1" x14ac:dyDescent="0.35"/>
    <row r="23" spans="3:3" x14ac:dyDescent="0.35">
      <c r="C23" s="2"/>
    </row>
    <row r="45" spans="2:3" x14ac:dyDescent="0.35">
      <c r="B45" s="8"/>
      <c r="C45" s="8"/>
    </row>
    <row r="49" spans="2:3" x14ac:dyDescent="0.35">
      <c r="B49" s="8"/>
      <c r="C49" s="8"/>
    </row>
  </sheetData>
  <mergeCells count="6">
    <mergeCell ref="A15:E15"/>
    <mergeCell ref="B3:C3"/>
    <mergeCell ref="G12:I12"/>
    <mergeCell ref="A12:E12"/>
    <mergeCell ref="A13:E13"/>
    <mergeCell ref="A14:E14"/>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A23" workbookViewId="0">
      <selection activeCell="O23" sqref="O1:O1048576"/>
    </sheetView>
  </sheetViews>
  <sheetFormatPr defaultColWidth="9.1796875" defaultRowHeight="14.5" x14ac:dyDescent="0.35"/>
  <cols>
    <col min="1" max="1" width="54.54296875" style="46" customWidth="1"/>
    <col min="2" max="2" width="14.7265625" style="46" customWidth="1"/>
    <col min="3" max="3" width="15" style="46" customWidth="1"/>
    <col min="4" max="4" width="15.26953125" style="46" customWidth="1"/>
    <col min="5" max="5" width="15.81640625" style="46" customWidth="1"/>
    <col min="6" max="6" width="17.54296875" style="46" customWidth="1"/>
    <col min="7" max="8" width="13.26953125" style="46" customWidth="1"/>
    <col min="9" max="9" width="15.7265625" style="46" customWidth="1"/>
    <col min="10" max="11" width="12.54296875" style="46" bestFit="1" customWidth="1"/>
    <col min="12" max="12" width="14.453125" style="46" customWidth="1"/>
    <col min="13" max="13" width="15" style="46" bestFit="1" customWidth="1"/>
    <col min="14" max="14" width="16.26953125" style="46" bestFit="1" customWidth="1"/>
    <col min="15" max="15" width="16.1796875" style="46" customWidth="1"/>
    <col min="16" max="16" width="17.26953125" style="46" bestFit="1" customWidth="1"/>
    <col min="17" max="17" width="17.453125" style="46" customWidth="1"/>
    <col min="18" max="18" width="15.54296875" style="46" customWidth="1"/>
    <col min="19" max="19" width="13" style="46" customWidth="1"/>
    <col min="20" max="20" width="9.1796875" style="46"/>
    <col min="21" max="21" width="14.26953125" style="46" bestFit="1" customWidth="1"/>
    <col min="22" max="16384" width="9.1796875" style="46"/>
  </cols>
  <sheetData>
    <row r="1" spans="1:34" x14ac:dyDescent="0.35">
      <c r="A1" s="3" t="str">
        <f>+'PPC Cycle 3'!A1</f>
        <v>Evergy Missouri West, Inc. - DSIM Rider Update Filed 06/01/2023</v>
      </c>
      <c r="B1" s="3"/>
      <c r="C1" s="3"/>
    </row>
    <row r="2" spans="1:34" x14ac:dyDescent="0.35">
      <c r="D2" s="3" t="s">
        <v>60</v>
      </c>
    </row>
    <row r="3" spans="1:34" ht="29" x14ac:dyDescent="0.35">
      <c r="D3" s="48" t="s">
        <v>46</v>
      </c>
      <c r="E3" s="48" t="s">
        <v>45</v>
      </c>
      <c r="F3" s="70" t="s">
        <v>2</v>
      </c>
      <c r="G3" s="48" t="s">
        <v>3</v>
      </c>
      <c r="H3" s="70" t="s">
        <v>55</v>
      </c>
      <c r="I3" s="48" t="s">
        <v>10</v>
      </c>
      <c r="J3" s="48" t="s">
        <v>4</v>
      </c>
    </row>
    <row r="4" spans="1:34" x14ac:dyDescent="0.35">
      <c r="A4" s="20" t="s">
        <v>24</v>
      </c>
      <c r="D4" s="22">
        <f>SUM(C32:L32)</f>
        <v>0</v>
      </c>
      <c r="E4" s="136">
        <f>SUM(C26:L26)</f>
        <v>1712644562.1922002</v>
      </c>
      <c r="F4" s="22">
        <f>SUM(C22:K22)</f>
        <v>0</v>
      </c>
      <c r="G4" s="22">
        <f>F4-D4</f>
        <v>0</v>
      </c>
      <c r="H4" s="22">
        <f>+B44</f>
        <v>-0.23768000013951607</v>
      </c>
      <c r="I4" s="22">
        <f>SUM(C49:K49)</f>
        <v>0</v>
      </c>
      <c r="J4" s="25">
        <f>SUM(G4:I4)</f>
        <v>-0.23768000013951607</v>
      </c>
      <c r="K4" s="47">
        <f>+J4-L44</f>
        <v>0</v>
      </c>
    </row>
    <row r="5" spans="1:34" ht="15" thickBot="1" x14ac:dyDescent="0.4">
      <c r="A5" s="20" t="s">
        <v>25</v>
      </c>
      <c r="D5" s="22">
        <f>SUM(C33:L35)</f>
        <v>-34882.799999999996</v>
      </c>
      <c r="E5" s="136">
        <f>SUM(C27:L29)</f>
        <v>1591395963.4184997</v>
      </c>
      <c r="F5" s="22">
        <f>SUM(C23:K23)</f>
        <v>0</v>
      </c>
      <c r="G5" s="22">
        <f>F5-D5</f>
        <v>34882.799999999996</v>
      </c>
      <c r="H5" s="22">
        <f>+B45</f>
        <v>-81461.748960000099</v>
      </c>
      <c r="I5" s="22">
        <f>SUM(C50:K50)</f>
        <v>-2494.65</v>
      </c>
      <c r="J5" s="25">
        <f>SUM(G5:I5)</f>
        <v>-49073.598960000105</v>
      </c>
      <c r="K5" s="47">
        <f>+J5-L45</f>
        <v>0</v>
      </c>
    </row>
    <row r="6" spans="1:34" ht="15.5" thickTop="1" thickBot="1" x14ac:dyDescent="0.4">
      <c r="D6" s="27">
        <f t="shared" ref="D6" si="0">SUM(D4:D5)</f>
        <v>-34882.799999999996</v>
      </c>
      <c r="E6" s="27">
        <f t="shared" ref="E6:H6" si="1">SUM(E4:E5)</f>
        <v>3304040525.6106997</v>
      </c>
      <c r="F6" s="27">
        <f t="shared" si="1"/>
        <v>0</v>
      </c>
      <c r="G6" s="27">
        <f t="shared" si="1"/>
        <v>34882.799999999996</v>
      </c>
      <c r="H6" s="27">
        <f t="shared" si="1"/>
        <v>-81461.986640000236</v>
      </c>
      <c r="I6" s="27">
        <f>SUM(I4:I5)</f>
        <v>-2494.65</v>
      </c>
      <c r="J6" s="27">
        <f>SUM(J4:J5)</f>
        <v>-49073.836640000241</v>
      </c>
    </row>
    <row r="7" spans="1:34" ht="44" thickTop="1" x14ac:dyDescent="0.35">
      <c r="D7" s="228"/>
      <c r="E7" s="229"/>
      <c r="F7" s="228"/>
      <c r="G7" s="228"/>
      <c r="H7" s="228"/>
      <c r="I7" s="227"/>
      <c r="J7" s="227"/>
      <c r="K7" s="226" t="s">
        <v>122</v>
      </c>
    </row>
    <row r="8" spans="1:34" x14ac:dyDescent="0.35">
      <c r="A8" s="20" t="s">
        <v>107</v>
      </c>
      <c r="D8" s="228"/>
      <c r="E8" s="229"/>
      <c r="F8" s="228"/>
      <c r="G8" s="228"/>
      <c r="H8" s="228"/>
      <c r="I8" s="227"/>
      <c r="J8" s="25">
        <f>ROUND($J$5*K8,2)</f>
        <v>-19241.41</v>
      </c>
      <c r="K8" s="224">
        <f>+'[3]Monthly TD Calc'!$CZ$44</f>
        <v>0.39209287804949344</v>
      </c>
    </row>
    <row r="9" spans="1:34" x14ac:dyDescent="0.35">
      <c r="A9" s="20" t="s">
        <v>108</v>
      </c>
      <c r="D9" s="228"/>
      <c r="E9" s="229"/>
      <c r="F9" s="228"/>
      <c r="G9" s="228"/>
      <c r="H9" s="228"/>
      <c r="I9" s="227"/>
      <c r="J9" s="25">
        <f t="shared" ref="J9:J10" si="2">ROUND($J$5*K9,2)</f>
        <v>-22297.040000000001</v>
      </c>
      <c r="K9" s="224">
        <f>+'[3]Monthly TD Calc'!$DB$44</f>
        <v>0.45435908608374953</v>
      </c>
    </row>
    <row r="10" spans="1:34" ht="15" thickBot="1" x14ac:dyDescent="0.4">
      <c r="A10" s="20" t="s">
        <v>109</v>
      </c>
      <c r="D10" s="228"/>
      <c r="E10" s="229"/>
      <c r="F10" s="228"/>
      <c r="G10" s="228"/>
      <c r="H10" s="228"/>
      <c r="I10" s="227"/>
      <c r="J10" s="25">
        <f t="shared" si="2"/>
        <v>-7535.15</v>
      </c>
      <c r="K10" s="224">
        <f>+'[3]Monthly TD Calc'!$DC$44</f>
        <v>0.15354803586675725</v>
      </c>
    </row>
    <row r="11" spans="1:34" ht="15.5" thickTop="1" thickBot="1" x14ac:dyDescent="0.4">
      <c r="A11" s="20" t="s">
        <v>111</v>
      </c>
      <c r="D11" s="228"/>
      <c r="E11" s="229"/>
      <c r="F11" s="228"/>
      <c r="G11" s="228"/>
      <c r="H11" s="228"/>
      <c r="I11" s="227"/>
      <c r="J11" s="27">
        <f>SUM(J8:J10)</f>
        <v>-49073.599999999999</v>
      </c>
      <c r="K11" s="225">
        <f>SUM(K8:K10)</f>
        <v>1.0000000000000002</v>
      </c>
    </row>
    <row r="12" spans="1:34" ht="15.5" thickTop="1" thickBot="1" x14ac:dyDescent="0.4"/>
    <row r="13" spans="1:34" ht="87.5" thickBot="1" x14ac:dyDescent="0.4">
      <c r="B13" s="118" t="s">
        <v>184</v>
      </c>
      <c r="C13" s="151" t="s">
        <v>185</v>
      </c>
      <c r="D13" s="324" t="s">
        <v>33</v>
      </c>
      <c r="E13" s="324"/>
      <c r="F13" s="325"/>
      <c r="G13" s="326" t="s">
        <v>33</v>
      </c>
      <c r="H13" s="327"/>
      <c r="I13" s="328"/>
      <c r="J13" s="320" t="s">
        <v>8</v>
      </c>
      <c r="K13" s="321"/>
      <c r="L13" s="322"/>
    </row>
    <row r="14" spans="1:34" x14ac:dyDescent="0.35">
      <c r="A14" s="46" t="s">
        <v>32</v>
      </c>
      <c r="C14" s="14"/>
      <c r="D14" s="19">
        <v>44895</v>
      </c>
      <c r="E14" s="19">
        <f>EOMONTH(D14,1)</f>
        <v>44926</v>
      </c>
      <c r="F14" s="19">
        <f t="shared" ref="F14:L14" si="3">EOMONTH(E14,1)</f>
        <v>44957</v>
      </c>
      <c r="G14" s="14">
        <f t="shared" si="3"/>
        <v>44985</v>
      </c>
      <c r="H14" s="19">
        <f t="shared" si="3"/>
        <v>45016</v>
      </c>
      <c r="I14" s="15">
        <f t="shared" si="3"/>
        <v>45046</v>
      </c>
      <c r="J14" s="19">
        <f t="shared" si="3"/>
        <v>45077</v>
      </c>
      <c r="K14" s="19">
        <f t="shared" si="3"/>
        <v>45107</v>
      </c>
      <c r="L14" s="95">
        <f t="shared" si="3"/>
        <v>45138</v>
      </c>
      <c r="Y14" s="1"/>
      <c r="Z14" s="1"/>
      <c r="AA14" s="1"/>
      <c r="AB14" s="1"/>
      <c r="AC14" s="1"/>
      <c r="AD14" s="1"/>
      <c r="AE14" s="1"/>
      <c r="AF14" s="1"/>
      <c r="AG14" s="1"/>
      <c r="AH14" s="1"/>
    </row>
    <row r="15" spans="1:34" x14ac:dyDescent="0.35">
      <c r="A15" s="46" t="s">
        <v>24</v>
      </c>
      <c r="C15" s="97">
        <v>0</v>
      </c>
      <c r="D15" s="109">
        <v>0</v>
      </c>
      <c r="E15" s="109">
        <v>0</v>
      </c>
      <c r="F15" s="110">
        <v>0</v>
      </c>
      <c r="G15" s="16">
        <v>0</v>
      </c>
      <c r="H15" s="55">
        <v>0</v>
      </c>
      <c r="I15" s="164">
        <v>0</v>
      </c>
      <c r="J15" s="174">
        <v>0</v>
      </c>
      <c r="K15" s="138">
        <v>0</v>
      </c>
      <c r="L15" s="76"/>
    </row>
    <row r="16" spans="1:34" x14ac:dyDescent="0.35">
      <c r="A16" s="46" t="s">
        <v>25</v>
      </c>
      <c r="C16" s="97">
        <v>0</v>
      </c>
      <c r="D16" s="109">
        <v>0</v>
      </c>
      <c r="E16" s="109">
        <v>0</v>
      </c>
      <c r="F16" s="110">
        <v>0</v>
      </c>
      <c r="G16" s="16">
        <v>0</v>
      </c>
      <c r="H16" s="55">
        <v>0</v>
      </c>
      <c r="I16" s="164">
        <v>0</v>
      </c>
      <c r="J16" s="174">
        <v>0</v>
      </c>
      <c r="K16" s="138">
        <v>0</v>
      </c>
      <c r="L16" s="76"/>
      <c r="M16" s="63" t="s">
        <v>27</v>
      </c>
    </row>
    <row r="17" spans="1:14" x14ac:dyDescent="0.35">
      <c r="A17" s="46" t="s">
        <v>0</v>
      </c>
      <c r="C17" s="97">
        <v>0</v>
      </c>
      <c r="D17" s="109">
        <v>0</v>
      </c>
      <c r="E17" s="109">
        <v>0</v>
      </c>
      <c r="F17" s="110">
        <v>0</v>
      </c>
      <c r="G17" s="16">
        <v>0</v>
      </c>
      <c r="H17" s="55">
        <v>0</v>
      </c>
      <c r="I17" s="164">
        <v>0</v>
      </c>
      <c r="J17" s="174">
        <v>0</v>
      </c>
      <c r="K17" s="138">
        <v>0</v>
      </c>
      <c r="L17" s="76"/>
      <c r="M17" s="73">
        <v>0.5</v>
      </c>
    </row>
    <row r="18" spans="1:14" x14ac:dyDescent="0.35">
      <c r="A18" s="46" t="s">
        <v>1</v>
      </c>
      <c r="C18" s="97">
        <v>0</v>
      </c>
      <c r="D18" s="109">
        <v>0</v>
      </c>
      <c r="E18" s="109">
        <v>0</v>
      </c>
      <c r="F18" s="110">
        <v>0</v>
      </c>
      <c r="G18" s="16">
        <v>0</v>
      </c>
      <c r="H18" s="55">
        <v>0</v>
      </c>
      <c r="I18" s="164">
        <v>0</v>
      </c>
      <c r="J18" s="174">
        <v>0</v>
      </c>
      <c r="K18" s="138">
        <v>0</v>
      </c>
      <c r="L18" s="76"/>
      <c r="M18" s="63"/>
    </row>
    <row r="19" spans="1:14" x14ac:dyDescent="0.35">
      <c r="C19" s="98"/>
      <c r="D19" s="31"/>
      <c r="E19" s="31"/>
      <c r="F19" s="31"/>
      <c r="G19" s="28"/>
      <c r="H19" s="31"/>
      <c r="I19" s="11"/>
      <c r="J19" s="31"/>
      <c r="K19" s="31"/>
      <c r="L19" s="29"/>
    </row>
    <row r="20" spans="1:14" x14ac:dyDescent="0.35">
      <c r="C20" s="98"/>
      <c r="D20" s="31"/>
      <c r="E20" s="31"/>
      <c r="F20" s="31"/>
      <c r="G20" s="28"/>
      <c r="H20" s="31"/>
      <c r="I20" s="11"/>
      <c r="J20" s="31"/>
      <c r="K20" s="31"/>
      <c r="L20" s="29"/>
    </row>
    <row r="21" spans="1:14" x14ac:dyDescent="0.35">
      <c r="A21" s="46" t="s">
        <v>35</v>
      </c>
      <c r="C21" s="99"/>
      <c r="D21" s="31"/>
      <c r="E21" s="31"/>
      <c r="F21" s="31"/>
      <c r="G21" s="28"/>
      <c r="H21" s="31"/>
      <c r="I21" s="165"/>
      <c r="J21" s="17"/>
      <c r="K21" s="17"/>
      <c r="L21" s="11"/>
    </row>
    <row r="22" spans="1:14" x14ac:dyDescent="0.35">
      <c r="A22" s="46" t="s">
        <v>24</v>
      </c>
      <c r="C22" s="40"/>
      <c r="D22" s="41">
        <f t="shared" ref="D22:K22" si="4">D15+($M$17*D$17)+($M$17*D$18)</f>
        <v>0</v>
      </c>
      <c r="E22" s="41">
        <f t="shared" si="4"/>
        <v>0</v>
      </c>
      <c r="F22" s="108">
        <f t="shared" si="4"/>
        <v>0</v>
      </c>
      <c r="G22" s="40">
        <f t="shared" si="4"/>
        <v>0</v>
      </c>
      <c r="H22" s="41">
        <f t="shared" si="4"/>
        <v>0</v>
      </c>
      <c r="I22" s="61">
        <f t="shared" si="4"/>
        <v>0</v>
      </c>
      <c r="J22" s="123">
        <f t="shared" si="4"/>
        <v>0</v>
      </c>
      <c r="K22" s="41">
        <f t="shared" si="4"/>
        <v>0</v>
      </c>
      <c r="L22" s="61">
        <f t="shared" ref="L22" si="5">L15+($M$17*L$17)+($M$17*L$18)+L$19*(1-$M$19)</f>
        <v>0</v>
      </c>
    </row>
    <row r="23" spans="1:14" x14ac:dyDescent="0.35">
      <c r="A23" s="46" t="s">
        <v>25</v>
      </c>
      <c r="C23" s="40"/>
      <c r="D23" s="41">
        <f t="shared" ref="D23:K23" si="6">(D$16+$M$17*D$17)+D$18*$M$17</f>
        <v>0</v>
      </c>
      <c r="E23" s="41">
        <f t="shared" si="6"/>
        <v>0</v>
      </c>
      <c r="F23" s="108">
        <f t="shared" si="6"/>
        <v>0</v>
      </c>
      <c r="G23" s="40">
        <f t="shared" si="6"/>
        <v>0</v>
      </c>
      <c r="H23" s="41">
        <f t="shared" si="6"/>
        <v>0</v>
      </c>
      <c r="I23" s="61">
        <f t="shared" si="6"/>
        <v>0</v>
      </c>
      <c r="J23" s="123">
        <f t="shared" si="6"/>
        <v>0</v>
      </c>
      <c r="K23" s="41">
        <f t="shared" si="6"/>
        <v>0</v>
      </c>
      <c r="L23" s="61">
        <f t="shared" ref="L23" si="7">(L$16+$M$17*L$17+L$19*$M$19)+L$18*$M$17</f>
        <v>0</v>
      </c>
    </row>
    <row r="24" spans="1:14" x14ac:dyDescent="0.35">
      <c r="C24" s="99"/>
      <c r="D24" s="31"/>
      <c r="E24" s="31"/>
      <c r="F24" s="31"/>
      <c r="G24" s="28"/>
      <c r="H24" s="31"/>
      <c r="I24" s="11"/>
      <c r="J24" s="17"/>
      <c r="K24" s="17"/>
      <c r="L24" s="11"/>
    </row>
    <row r="25" spans="1:14" x14ac:dyDescent="0.35">
      <c r="A25" s="39" t="s">
        <v>47</v>
      </c>
      <c r="B25" s="39"/>
      <c r="C25" s="101"/>
      <c r="D25" s="31"/>
      <c r="E25" s="31"/>
      <c r="F25" s="31"/>
      <c r="G25" s="28"/>
      <c r="H25" s="31"/>
      <c r="I25" s="11"/>
      <c r="J25" s="17"/>
      <c r="K25" s="17"/>
      <c r="L25" s="11"/>
    </row>
    <row r="26" spans="1:14" x14ac:dyDescent="0.35">
      <c r="A26" s="46" t="s">
        <v>24</v>
      </c>
      <c r="C26" s="102">
        <v>-939091619.75999999</v>
      </c>
      <c r="D26" s="111">
        <f>+'[4]Nov 2022'!$F116</f>
        <v>228590149.70069999</v>
      </c>
      <c r="E26" s="111">
        <f>+'[4]Dec 2022'!$F116</f>
        <v>322400333.55010003</v>
      </c>
      <c r="F26" s="111">
        <f>+'[4]Jan 2023'!$F116</f>
        <v>390767821.45130002</v>
      </c>
      <c r="G26" s="184">
        <f>+'[4]Feb 2023'!$F123</f>
        <v>336960286.61050004</v>
      </c>
      <c r="H26" s="187">
        <f>+'[4]Mar 2023'!$F123</f>
        <v>283934281.55830002</v>
      </c>
      <c r="I26" s="179">
        <f>+'[4]Apr 2023'!$F123</f>
        <v>237511968.08130002</v>
      </c>
      <c r="J26" s="175">
        <f>+'[1]Billed kWh Sales'!U25</f>
        <v>213455630</v>
      </c>
      <c r="K26" s="139">
        <f>+'[1]Billed kWh Sales'!V25</f>
        <v>266401286</v>
      </c>
      <c r="L26" s="77">
        <f>+'[1]Billed kWh Sales'!W25</f>
        <v>371714425</v>
      </c>
    </row>
    <row r="27" spans="1:14" x14ac:dyDescent="0.35">
      <c r="A27" s="46" t="s">
        <v>107</v>
      </c>
      <c r="C27" s="102">
        <v>-280574488</v>
      </c>
      <c r="D27" s="111">
        <f>+'[4]Nov 2022'!$F117</f>
        <v>95893071.72420001</v>
      </c>
      <c r="E27" s="111">
        <f>+'[4]Dec 2022'!$F117</f>
        <v>109357852.72739998</v>
      </c>
      <c r="F27" s="111">
        <f>+'[4]Jan 2023'!$F117</f>
        <v>123266202.59049997</v>
      </c>
      <c r="G27" s="184">
        <f>+'[4]Feb 2023'!$F124</f>
        <v>111682918.58029997</v>
      </c>
      <c r="H27" s="187">
        <f>+'[4]Mar 2023'!$F124</f>
        <v>103017418.34429999</v>
      </c>
      <c r="I27" s="179">
        <f>+'[4]Apr 2023'!$F124</f>
        <v>93794092.484200001</v>
      </c>
      <c r="J27" s="175">
        <f>+'[1]Billed kWh Sales'!U26</f>
        <v>98592028</v>
      </c>
      <c r="K27" s="139">
        <f>+'[1]Billed kWh Sales'!V26</f>
        <v>107426924</v>
      </c>
      <c r="L27" s="77">
        <f>+'[1]Billed kWh Sales'!W26</f>
        <v>121274389</v>
      </c>
    </row>
    <row r="28" spans="1:14" x14ac:dyDescent="0.35">
      <c r="A28" s="46" t="s">
        <v>108</v>
      </c>
      <c r="C28" s="102">
        <v>-269290880</v>
      </c>
      <c r="D28" s="111">
        <f>+'[4]Nov 2022'!$F118</f>
        <v>89552105.891400009</v>
      </c>
      <c r="E28" s="111">
        <f>+'[4]Dec 2022'!$F118</f>
        <v>92392985.21860002</v>
      </c>
      <c r="F28" s="111">
        <f>+'[4]Jan 2023'!$F118</f>
        <v>96778295.011399999</v>
      </c>
      <c r="G28" s="184">
        <f>+'[4]Feb 2023'!$F125</f>
        <v>91555632.063200012</v>
      </c>
      <c r="H28" s="187">
        <f>+'[4]Mar 2023'!$F125</f>
        <v>87550248.15550001</v>
      </c>
      <c r="I28" s="179">
        <f>+'[4]Apr 2023'!$F125</f>
        <v>80125884.230999991</v>
      </c>
      <c r="J28" s="175">
        <f>+'[1]Billed kWh Sales'!U27</f>
        <v>88038679</v>
      </c>
      <c r="K28" s="139">
        <f>+'[1]Billed kWh Sales'!V27</f>
        <v>95927883</v>
      </c>
      <c r="L28" s="77">
        <f>+'[1]Billed kWh Sales'!W27</f>
        <v>108293106</v>
      </c>
    </row>
    <row r="29" spans="1:14" x14ac:dyDescent="0.35">
      <c r="A29" s="46" t="s">
        <v>109</v>
      </c>
      <c r="C29" s="102">
        <v>-198161661</v>
      </c>
      <c r="D29" s="111">
        <f>+'[4]Nov 2022'!$F119</f>
        <v>65846031.368799999</v>
      </c>
      <c r="E29" s="111">
        <f>+'[4]Dec 2022'!$F119</f>
        <v>68945484.655599996</v>
      </c>
      <c r="F29" s="111">
        <f>+'[4]Jan 2023'!$F119</f>
        <v>60774612.19309999</v>
      </c>
      <c r="G29" s="184">
        <f>+'[4]Feb 2023'!$F126</f>
        <v>37646165.738000005</v>
      </c>
      <c r="H29" s="187">
        <f>+'[4]Mar 2023'!$F126</f>
        <v>62846491.7152</v>
      </c>
      <c r="I29" s="179">
        <f>+'[4]Apr 2023'!$F126</f>
        <v>53313883.725799993</v>
      </c>
      <c r="J29" s="175">
        <f>+'[1]Billed kWh Sales'!U28</f>
        <v>58900554</v>
      </c>
      <c r="K29" s="139">
        <f>+'[1]Billed kWh Sales'!V28</f>
        <v>64178671</v>
      </c>
      <c r="L29" s="77">
        <f>+'[1]Billed kWh Sales'!W28</f>
        <v>72451382</v>
      </c>
    </row>
    <row r="30" spans="1:14" x14ac:dyDescent="0.35">
      <c r="C30" s="99"/>
      <c r="D30" s="31"/>
      <c r="E30" s="31"/>
      <c r="F30" s="31"/>
      <c r="G30" s="28"/>
      <c r="H30" s="31"/>
      <c r="I30" s="11"/>
      <c r="J30" s="17"/>
      <c r="K30" s="17"/>
      <c r="L30" s="11"/>
    </row>
    <row r="31" spans="1:14" x14ac:dyDescent="0.35">
      <c r="A31" s="46" t="s">
        <v>34</v>
      </c>
      <c r="C31" s="99"/>
      <c r="D31" s="18"/>
      <c r="E31" s="18"/>
      <c r="F31" s="18"/>
      <c r="G31" s="91"/>
      <c r="H31" s="18"/>
      <c r="I31" s="11"/>
      <c r="J31" s="57"/>
      <c r="K31" s="57"/>
      <c r="L31" s="58"/>
      <c r="M31" s="63" t="s">
        <v>50</v>
      </c>
      <c r="N31" s="39"/>
    </row>
    <row r="32" spans="1:14" x14ac:dyDescent="0.35">
      <c r="A32" s="46" t="s">
        <v>24</v>
      </c>
      <c r="C32" s="97">
        <v>0</v>
      </c>
      <c r="D32" s="109">
        <f>ROUND('[4]Nov 2022'!$F36+'[4]Nov 2022'!$F44,2)</f>
        <v>0</v>
      </c>
      <c r="E32" s="109">
        <f>ROUND('[4]Dec 2022'!$F36+'[4]Dec 2022'!$F44,2)</f>
        <v>0</v>
      </c>
      <c r="F32" s="111">
        <f>ROUND('[4]Jan 2023'!$F36+'[4]Jan 2023'!$F44,2)</f>
        <v>0</v>
      </c>
      <c r="G32" s="185">
        <f>ROUND('[4]Feb 2023'!$F36+'[4]Feb 2023'!$F44,2)</f>
        <v>0</v>
      </c>
      <c r="H32" s="55">
        <f>ROUND('[4]Mar 2023'!$F36+'[4]Mar 2023'!$F44,2)</f>
        <v>0</v>
      </c>
      <c r="I32" s="177">
        <f>ROUND('[4]Apr 2023'!$F36+'[4]Apr 2023'!$F44,2)</f>
        <v>0</v>
      </c>
      <c r="J32" s="123">
        <f t="shared" ref="J32:L35" si="8">ROUND(J26*$M32,2)</f>
        <v>0</v>
      </c>
      <c r="K32" s="41">
        <f t="shared" si="8"/>
        <v>0</v>
      </c>
      <c r="L32" s="61">
        <f t="shared" si="8"/>
        <v>0</v>
      </c>
      <c r="M32" s="72">
        <v>0</v>
      </c>
    </row>
    <row r="33" spans="1:13" x14ac:dyDescent="0.35">
      <c r="A33" s="46" t="s">
        <v>107</v>
      </c>
      <c r="C33" s="97">
        <v>14028.73</v>
      </c>
      <c r="D33" s="109">
        <f>ROUND('[4]Nov 2022'!$F37+'[4]Nov 2022'!$F45,2)</f>
        <v>-1401.14</v>
      </c>
      <c r="E33" s="109">
        <f>ROUND('[4]Dec 2022'!$F37+'[4]Dec 2022'!$F45,2)</f>
        <v>-5435.65</v>
      </c>
      <c r="F33" s="111">
        <f>ROUND('[4]Jan 2023'!$F37+'[4]Jan 2023'!$F45,2)</f>
        <v>-4311.54</v>
      </c>
      <c r="G33" s="185">
        <f>ROUND('[4]Feb 2023'!$F37+'[4]Feb 2023'!$F45,2)</f>
        <v>-2948.93</v>
      </c>
      <c r="H33" s="55">
        <f>ROUND('[4]Mar 2023'!$F37+'[4]Mar 2023'!$F45,2)</f>
        <v>-3063.27</v>
      </c>
      <c r="I33" s="177">
        <f>ROUND('[4]Apr 2023'!$F37+'[4]Apr 2023'!$F45,2)</f>
        <v>-3152.66</v>
      </c>
      <c r="J33" s="123">
        <f t="shared" si="8"/>
        <v>-2957.76</v>
      </c>
      <c r="K33" s="41">
        <f t="shared" si="8"/>
        <v>-3222.81</v>
      </c>
      <c r="L33" s="61">
        <f t="shared" si="8"/>
        <v>-3638.23</v>
      </c>
      <c r="M33" s="72">
        <v>-3.0000000000000001E-5</v>
      </c>
    </row>
    <row r="34" spans="1:13" x14ac:dyDescent="0.35">
      <c r="A34" s="46" t="s">
        <v>108</v>
      </c>
      <c r="C34" s="97">
        <v>16157.46</v>
      </c>
      <c r="D34" s="109">
        <f>ROUND('[4]Nov 2022'!$F38+'[4]Nov 2022'!$F46,2)</f>
        <v>-2156.34</v>
      </c>
      <c r="E34" s="109">
        <f>ROUND('[4]Dec 2022'!$F38+'[4]Dec 2022'!$F46,2)</f>
        <v>-5516.91</v>
      </c>
      <c r="F34" s="111">
        <f>ROUND('[4]Jan 2023'!$F38+'[4]Jan 2023'!$F46,2)</f>
        <v>-4363.53</v>
      </c>
      <c r="G34" s="185">
        <f>ROUND('[4]Feb 2023'!$F38+'[4]Feb 2023'!$F46,2)</f>
        <v>-2361.64</v>
      </c>
      <c r="H34" s="55">
        <f>ROUND('[4]Mar 2023'!$F38+'[4]Mar 2023'!$F46,2)</f>
        <v>-2601.1999999999998</v>
      </c>
      <c r="I34" s="177">
        <f>ROUND('[4]Apr 2023'!$F38+'[4]Apr 2023'!$F46,2)</f>
        <v>-3270.44</v>
      </c>
      <c r="J34" s="123">
        <f t="shared" si="8"/>
        <v>-2641.16</v>
      </c>
      <c r="K34" s="41">
        <f t="shared" si="8"/>
        <v>-2877.84</v>
      </c>
      <c r="L34" s="61">
        <f t="shared" si="8"/>
        <v>-3248.79</v>
      </c>
      <c r="M34" s="72">
        <v>-3.0000000000000001E-5</v>
      </c>
    </row>
    <row r="35" spans="1:13" x14ac:dyDescent="0.35">
      <c r="A35" s="46" t="s">
        <v>109</v>
      </c>
      <c r="C35" s="97">
        <v>5944.85</v>
      </c>
      <c r="D35" s="109">
        <f>ROUND('[4]Nov 2022'!$F39+'[4]Nov 2022'!$F47,2)</f>
        <v>-1200.4100000000001</v>
      </c>
      <c r="E35" s="109">
        <f>ROUND('[4]Dec 2022'!$F39+'[4]Dec 2022'!$F47,2)</f>
        <v>-2061.92</v>
      </c>
      <c r="F35" s="111">
        <f>ROUND('[4]Jan 2023'!$F39+'[4]Jan 2023'!$F47,2)</f>
        <v>-1526.31</v>
      </c>
      <c r="G35" s="185">
        <f>ROUND('[4]Feb 2023'!$F39+'[4]Feb 2023'!$F47,2)</f>
        <v>-513.84</v>
      </c>
      <c r="H35" s="55">
        <f>ROUND('[4]Mar 2023'!$F39+'[4]Mar 2023'!$F47,2)</f>
        <v>-1303.03</v>
      </c>
      <c r="I35" s="177">
        <f>ROUND('[4]Apr 2023'!$F39+'[4]Apr 2023'!$F47,2)</f>
        <v>-1327.88</v>
      </c>
      <c r="J35" s="123">
        <f t="shared" si="8"/>
        <v>-1178.01</v>
      </c>
      <c r="K35" s="41">
        <f t="shared" si="8"/>
        <v>-1283.57</v>
      </c>
      <c r="L35" s="61">
        <f t="shared" si="8"/>
        <v>-1449.03</v>
      </c>
      <c r="M35" s="72">
        <v>-2.0000000000000002E-5</v>
      </c>
    </row>
    <row r="36" spans="1:13" x14ac:dyDescent="0.35">
      <c r="C36" s="67"/>
      <c r="D36" s="18"/>
      <c r="E36" s="18"/>
      <c r="F36" s="18"/>
      <c r="G36" s="91"/>
      <c r="H36" s="18"/>
      <c r="I36" s="11"/>
      <c r="J36" s="56"/>
      <c r="K36" s="56"/>
      <c r="L36" s="13"/>
      <c r="M36" s="4"/>
    </row>
    <row r="37" spans="1:13" ht="15" thickBot="1" x14ac:dyDescent="0.4">
      <c r="A37" s="46" t="s">
        <v>14</v>
      </c>
      <c r="C37" s="103">
        <v>827.17000000000007</v>
      </c>
      <c r="D37" s="112">
        <v>-494.93</v>
      </c>
      <c r="E37" s="112">
        <v>-491.6</v>
      </c>
      <c r="F37" s="113">
        <v>-452.51</v>
      </c>
      <c r="G37" s="26">
        <v>-425.46</v>
      </c>
      <c r="H37" s="122">
        <v>-408.43</v>
      </c>
      <c r="I37" s="178">
        <v>-384.97</v>
      </c>
      <c r="J37" s="176">
        <v>-349.37</v>
      </c>
      <c r="K37" s="140">
        <v>-314.54000000000002</v>
      </c>
      <c r="L37" s="81"/>
    </row>
    <row r="38" spans="1:13" x14ac:dyDescent="0.35">
      <c r="C38" s="99"/>
      <c r="D38" s="31"/>
      <c r="E38" s="31"/>
      <c r="F38" s="31"/>
      <c r="G38" s="28"/>
      <c r="H38" s="31"/>
      <c r="I38" s="11"/>
      <c r="J38" s="17"/>
      <c r="K38" s="17"/>
      <c r="L38" s="11"/>
    </row>
    <row r="39" spans="1:13" x14ac:dyDescent="0.35">
      <c r="A39" s="46" t="s">
        <v>52</v>
      </c>
      <c r="C39" s="99"/>
      <c r="D39" s="31"/>
      <c r="E39" s="31"/>
      <c r="F39" s="31"/>
      <c r="G39" s="28"/>
      <c r="H39" s="31"/>
      <c r="I39" s="11"/>
      <c r="J39" s="17"/>
      <c r="K39" s="17"/>
      <c r="L39" s="11"/>
    </row>
    <row r="40" spans="1:13" x14ac:dyDescent="0.35">
      <c r="A40" s="46" t="s">
        <v>24</v>
      </c>
      <c r="C40" s="40">
        <f t="shared" ref="C40:L40" si="9">C22-C32</f>
        <v>0</v>
      </c>
      <c r="D40" s="41">
        <f t="shared" si="9"/>
        <v>0</v>
      </c>
      <c r="E40" s="41">
        <f t="shared" si="9"/>
        <v>0</v>
      </c>
      <c r="F40" s="108">
        <f t="shared" si="9"/>
        <v>0</v>
      </c>
      <c r="G40" s="40">
        <f t="shared" si="9"/>
        <v>0</v>
      </c>
      <c r="H40" s="41">
        <f t="shared" si="9"/>
        <v>0</v>
      </c>
      <c r="I40" s="61">
        <f t="shared" si="9"/>
        <v>0</v>
      </c>
      <c r="J40" s="123">
        <f t="shared" si="9"/>
        <v>0</v>
      </c>
      <c r="K40" s="41">
        <f t="shared" si="9"/>
        <v>0</v>
      </c>
      <c r="L40" s="49">
        <f t="shared" si="9"/>
        <v>0</v>
      </c>
    </row>
    <row r="41" spans="1:13" x14ac:dyDescent="0.35">
      <c r="A41" s="46" t="s">
        <v>25</v>
      </c>
      <c r="C41" s="40">
        <f>C23-SUM(C33:C35)</f>
        <v>-36131.040000000001</v>
      </c>
      <c r="D41" s="41">
        <f t="shared" ref="D41:L41" si="10">D23-SUM(D33:D35)</f>
        <v>4757.8900000000003</v>
      </c>
      <c r="E41" s="41">
        <f t="shared" si="10"/>
        <v>13014.48</v>
      </c>
      <c r="F41" s="108">
        <f t="shared" si="10"/>
        <v>10201.379999999999</v>
      </c>
      <c r="G41" s="40">
        <f t="shared" si="10"/>
        <v>5824.41</v>
      </c>
      <c r="H41" s="41">
        <f t="shared" si="10"/>
        <v>6967.4999999999991</v>
      </c>
      <c r="I41" s="61">
        <f t="shared" si="10"/>
        <v>7750.9800000000005</v>
      </c>
      <c r="J41" s="123">
        <f t="shared" si="10"/>
        <v>6776.93</v>
      </c>
      <c r="K41" s="41">
        <f t="shared" si="10"/>
        <v>7384.2199999999993</v>
      </c>
      <c r="L41" s="49">
        <f t="shared" si="10"/>
        <v>8336.0500000000011</v>
      </c>
    </row>
    <row r="42" spans="1:13" x14ac:dyDescent="0.35">
      <c r="C42" s="99"/>
      <c r="D42" s="31"/>
      <c r="E42" s="31"/>
      <c r="F42" s="31"/>
      <c r="G42" s="28"/>
      <c r="H42" s="31"/>
      <c r="I42" s="11"/>
      <c r="J42" s="17"/>
      <c r="K42" s="17"/>
      <c r="L42" s="11"/>
    </row>
    <row r="43" spans="1:13" ht="15" thickBot="1" x14ac:dyDescent="0.4">
      <c r="A43" s="46" t="s">
        <v>53</v>
      </c>
      <c r="C43" s="104"/>
      <c r="D43" s="31"/>
      <c r="E43" s="31"/>
      <c r="F43" s="31"/>
      <c r="G43" s="28"/>
      <c r="H43" s="31"/>
      <c r="I43" s="11"/>
      <c r="J43" s="17"/>
      <c r="K43" s="17"/>
      <c r="L43" s="11"/>
    </row>
    <row r="44" spans="1:13" x14ac:dyDescent="0.35">
      <c r="A44" s="46" t="s">
        <v>24</v>
      </c>
      <c r="B44" s="116">
        <v>-0.23768000013951607</v>
      </c>
      <c r="C44" s="41">
        <f>B44+C40+B49</f>
        <v>-0.23768000013951607</v>
      </c>
      <c r="D44" s="41">
        <f t="shared" ref="D44:L44" si="11">C44+D40+C49</f>
        <v>-0.23768000013951607</v>
      </c>
      <c r="E44" s="41">
        <f t="shared" si="11"/>
        <v>-0.23768000013951607</v>
      </c>
      <c r="F44" s="108">
        <f t="shared" si="11"/>
        <v>-0.23768000013951607</v>
      </c>
      <c r="G44" s="40">
        <f t="shared" si="11"/>
        <v>-0.23768000013951607</v>
      </c>
      <c r="H44" s="41">
        <f t="shared" si="11"/>
        <v>-0.23768000013951607</v>
      </c>
      <c r="I44" s="61">
        <f t="shared" si="11"/>
        <v>-0.23768000013951607</v>
      </c>
      <c r="J44" s="123">
        <f t="shared" si="11"/>
        <v>-0.23768000013951607</v>
      </c>
      <c r="K44" s="41">
        <f t="shared" si="11"/>
        <v>-0.23768000013951607</v>
      </c>
      <c r="L44" s="49">
        <f t="shared" si="11"/>
        <v>-0.23768000013951607</v>
      </c>
    </row>
    <row r="45" spans="1:13" ht="15" thickBot="1" x14ac:dyDescent="0.4">
      <c r="A45" s="46" t="s">
        <v>25</v>
      </c>
      <c r="B45" s="117">
        <v>-81461.748960000099</v>
      </c>
      <c r="C45" s="41">
        <f>B45+C41+B50</f>
        <v>-117592.78896000009</v>
      </c>
      <c r="D45" s="41">
        <f t="shared" ref="D45:L45" si="12">C45+D41+C50</f>
        <v>-112007.72896000009</v>
      </c>
      <c r="E45" s="41">
        <f t="shared" si="12"/>
        <v>-99488.178960000092</v>
      </c>
      <c r="F45" s="108">
        <f t="shared" si="12"/>
        <v>-89778.398960000093</v>
      </c>
      <c r="G45" s="40">
        <f t="shared" si="12"/>
        <v>-84406.508960000094</v>
      </c>
      <c r="H45" s="41">
        <f t="shared" si="12"/>
        <v>-77864.4689600001</v>
      </c>
      <c r="I45" s="61">
        <f t="shared" si="12"/>
        <v>-70521.918960000097</v>
      </c>
      <c r="J45" s="123">
        <f t="shared" si="12"/>
        <v>-64129.958960000098</v>
      </c>
      <c r="K45" s="41">
        <f t="shared" si="12"/>
        <v>-57095.1089600001</v>
      </c>
      <c r="L45" s="49">
        <f t="shared" si="12"/>
        <v>-49073.598960000098</v>
      </c>
    </row>
    <row r="46" spans="1:13" x14ac:dyDescent="0.35">
      <c r="C46" s="99"/>
      <c r="D46" s="31"/>
      <c r="E46" s="31"/>
      <c r="F46" s="31"/>
      <c r="G46" s="28"/>
      <c r="H46" s="31"/>
      <c r="I46" s="11"/>
      <c r="J46" s="17"/>
      <c r="K46" s="17"/>
      <c r="L46" s="11"/>
    </row>
    <row r="47" spans="1:13" x14ac:dyDescent="0.35">
      <c r="A47" s="39" t="s">
        <v>49</v>
      </c>
      <c r="B47" s="39"/>
      <c r="C47" s="104"/>
      <c r="D47" s="83">
        <f>+'[5]Nov 2022'!$E$42</f>
        <v>4.3267999999999996E-3</v>
      </c>
      <c r="E47" s="83">
        <f>+'[5]Dec 2022'!$E$43</f>
        <v>4.6379000000000004E-3</v>
      </c>
      <c r="F47" s="83">
        <f>+'[5]Jan 2023'!$E$43</f>
        <v>4.7694E-3</v>
      </c>
      <c r="G47" s="84">
        <f>+'[5]Feb 2023'!$E$40</f>
        <v>4.8724500000000004E-3</v>
      </c>
      <c r="H47" s="83">
        <f>+'[5]Mar 2023'!$E$43</f>
        <v>5.0207200000000002E-3</v>
      </c>
      <c r="I47" s="92">
        <f>+'[5]Apr 2023'!$E$42</f>
        <v>5.1744800000000004E-3</v>
      </c>
      <c r="J47" s="83">
        <f>+I47</f>
        <v>5.1744800000000004E-3</v>
      </c>
      <c r="K47" s="83">
        <f>+J47</f>
        <v>5.1744800000000004E-3</v>
      </c>
      <c r="L47" s="92"/>
    </row>
    <row r="48" spans="1:13" x14ac:dyDescent="0.35">
      <c r="A48" s="39" t="s">
        <v>37</v>
      </c>
      <c r="B48" s="39"/>
      <c r="C48" s="99"/>
      <c r="D48" s="31"/>
      <c r="E48" s="31"/>
      <c r="F48" s="31"/>
      <c r="G48" s="28"/>
      <c r="H48" s="31"/>
      <c r="I48" s="11"/>
      <c r="J48" s="17"/>
      <c r="K48" s="17"/>
      <c r="L48" s="11"/>
      <c r="M48" s="71"/>
    </row>
    <row r="49" spans="1:12" x14ac:dyDescent="0.35">
      <c r="A49" s="46" t="s">
        <v>24</v>
      </c>
      <c r="C49" s="40">
        <v>0</v>
      </c>
      <c r="D49" s="41">
        <f t="shared" ref="D49" si="13">ROUND((C44+C49+D40/2)*D$47,2)</f>
        <v>0</v>
      </c>
      <c r="E49" s="41">
        <f t="shared" ref="E49:E50" si="14">ROUND((D44+D49+E40/2)*E$47,2)</f>
        <v>0</v>
      </c>
      <c r="F49" s="108">
        <f t="shared" ref="F49:F50" si="15">ROUND((E44+E49+F40/2)*F$47,2)</f>
        <v>0</v>
      </c>
      <c r="G49" s="40">
        <f>ROUND((F44+F49+G40/2)*G$47,2)*0</f>
        <v>0</v>
      </c>
      <c r="H49" s="123">
        <f t="shared" ref="H49:I50" si="16">ROUND((G44+G49+H40/2)*H$47,2)</f>
        <v>0</v>
      </c>
      <c r="I49" s="61">
        <f t="shared" si="16"/>
        <v>0</v>
      </c>
      <c r="J49" s="123">
        <f t="shared" ref="J49:J50" si="17">ROUND((I44+I49+J40/2)*J$47,2)</f>
        <v>0</v>
      </c>
      <c r="K49" s="123">
        <f t="shared" ref="K49:K50" si="18">ROUND((J44+J49+K40/2)*K$47,2)</f>
        <v>0</v>
      </c>
      <c r="L49" s="49"/>
    </row>
    <row r="50" spans="1:12" ht="15" thickBot="1" x14ac:dyDescent="0.4">
      <c r="A50" s="46" t="s">
        <v>25</v>
      </c>
      <c r="C50" s="114">
        <v>827.17000000000007</v>
      </c>
      <c r="D50" s="41">
        <f>ROUND((C45+C50+D41/2)*D$47,2)</f>
        <v>-494.93</v>
      </c>
      <c r="E50" s="41">
        <f t="shared" si="14"/>
        <v>-491.6</v>
      </c>
      <c r="F50" s="108">
        <f t="shared" si="15"/>
        <v>-452.52</v>
      </c>
      <c r="G50" s="40">
        <f t="shared" ref="G50" si="19">ROUND((F45+F50+G41/2)*G$47,2)</f>
        <v>-425.46</v>
      </c>
      <c r="H50" s="123">
        <f t="shared" si="16"/>
        <v>-408.43</v>
      </c>
      <c r="I50" s="61">
        <f>ROUND((H45+H50+I41/2)*I$47,2)</f>
        <v>-384.97</v>
      </c>
      <c r="J50" s="123">
        <f t="shared" si="17"/>
        <v>-349.37</v>
      </c>
      <c r="K50" s="123">
        <f t="shared" si="18"/>
        <v>-314.54000000000002</v>
      </c>
      <c r="L50" s="49"/>
    </row>
    <row r="51" spans="1:12" ht="15.5" thickTop="1" thickBot="1" x14ac:dyDescent="0.4">
      <c r="A51" s="54" t="s">
        <v>22</v>
      </c>
      <c r="B51" s="54"/>
      <c r="C51" s="115">
        <v>0</v>
      </c>
      <c r="D51" s="32">
        <f t="shared" ref="D51:L51" si="20">SUM(D49:D50)+SUM(D44:D45)-D54</f>
        <v>0</v>
      </c>
      <c r="E51" s="32">
        <f t="shared" si="20"/>
        <v>0</v>
      </c>
      <c r="F51" s="50">
        <f t="shared" si="20"/>
        <v>0</v>
      </c>
      <c r="G51" s="124">
        <f t="shared" si="20"/>
        <v>0</v>
      </c>
      <c r="H51" s="32">
        <f t="shared" si="20"/>
        <v>0</v>
      </c>
      <c r="I51" s="62">
        <f t="shared" si="20"/>
        <v>0</v>
      </c>
      <c r="J51" s="163">
        <f t="shared" si="20"/>
        <v>0</v>
      </c>
      <c r="K51" s="32">
        <f t="shared" si="20"/>
        <v>0</v>
      </c>
      <c r="L51" s="96">
        <f t="shared" si="20"/>
        <v>0</v>
      </c>
    </row>
    <row r="52" spans="1:12" ht="15.5" thickTop="1" thickBot="1" x14ac:dyDescent="0.4">
      <c r="A52" s="54" t="s">
        <v>23</v>
      </c>
      <c r="B52" s="54"/>
      <c r="C52" s="107">
        <v>0</v>
      </c>
      <c r="D52" s="32">
        <f t="shared" ref="D52:L52" si="21">SUM(D49:D50)-D37</f>
        <v>0</v>
      </c>
      <c r="E52" s="32">
        <f t="shared" si="21"/>
        <v>0</v>
      </c>
      <c r="F52" s="50">
        <f t="shared" si="21"/>
        <v>-9.9999999999909051E-3</v>
      </c>
      <c r="G52" s="51">
        <f t="shared" si="21"/>
        <v>0</v>
      </c>
      <c r="H52" s="32">
        <f t="shared" si="21"/>
        <v>0</v>
      </c>
      <c r="I52" s="62">
        <f t="shared" si="21"/>
        <v>0</v>
      </c>
      <c r="J52" s="163">
        <f t="shared" si="21"/>
        <v>0</v>
      </c>
      <c r="K52" s="32">
        <f t="shared" si="21"/>
        <v>0</v>
      </c>
      <c r="L52" s="96">
        <f t="shared" si="21"/>
        <v>0</v>
      </c>
    </row>
    <row r="53" spans="1:12" ht="15.5" thickTop="1" thickBot="1" x14ac:dyDescent="0.4">
      <c r="C53" s="99"/>
      <c r="D53" s="17"/>
      <c r="E53" s="17"/>
      <c r="F53" s="17"/>
      <c r="G53" s="10"/>
      <c r="H53" s="17"/>
      <c r="I53" s="11"/>
      <c r="J53" s="17"/>
      <c r="K53" s="17"/>
      <c r="L53" s="11"/>
    </row>
    <row r="54" spans="1:12" ht="15" thickBot="1" x14ac:dyDescent="0.4">
      <c r="A54" s="46" t="s">
        <v>36</v>
      </c>
      <c r="B54" s="119">
        <f>+B44+B45</f>
        <v>-81461.986640000236</v>
      </c>
      <c r="C54" s="40">
        <f t="shared" ref="C54:L54" si="22">(SUM(C15:C19)-SUM(C32:C35))+SUM(C49:C50)+B54</f>
        <v>-116765.85664000025</v>
      </c>
      <c r="D54" s="41">
        <f t="shared" si="22"/>
        <v>-112502.89664000024</v>
      </c>
      <c r="E54" s="41">
        <f t="shared" si="22"/>
        <v>-99980.016640000234</v>
      </c>
      <c r="F54" s="108">
        <f t="shared" si="22"/>
        <v>-90231.156640000234</v>
      </c>
      <c r="G54" s="40">
        <f t="shared" si="22"/>
        <v>-84832.206640000237</v>
      </c>
      <c r="H54" s="41">
        <f t="shared" si="22"/>
        <v>-78273.136640000244</v>
      </c>
      <c r="I54" s="61">
        <f t="shared" si="22"/>
        <v>-70907.12664000025</v>
      </c>
      <c r="J54" s="123">
        <f t="shared" si="22"/>
        <v>-64479.566640000252</v>
      </c>
      <c r="K54" s="41">
        <f t="shared" si="22"/>
        <v>-57409.886640000252</v>
      </c>
      <c r="L54" s="61">
        <f t="shared" si="22"/>
        <v>-49073.836640000249</v>
      </c>
    </row>
    <row r="55" spans="1:12" x14ac:dyDescent="0.35">
      <c r="A55" s="46" t="s">
        <v>12</v>
      </c>
      <c r="C55" s="120"/>
      <c r="D55" s="56"/>
      <c r="E55" s="56"/>
      <c r="F55" s="56"/>
      <c r="G55" s="12"/>
      <c r="H55" s="56"/>
      <c r="I55" s="11"/>
      <c r="J55" s="17"/>
      <c r="K55" s="17"/>
      <c r="L55" s="11"/>
    </row>
    <row r="56" spans="1:12" ht="15" thickBot="1" x14ac:dyDescent="0.4">
      <c r="B56" s="17"/>
      <c r="C56" s="43"/>
      <c r="D56" s="44"/>
      <c r="E56" s="44"/>
      <c r="F56" s="44"/>
      <c r="G56" s="43"/>
      <c r="H56" s="44"/>
      <c r="I56" s="45"/>
      <c r="J56" s="44"/>
      <c r="K56" s="44"/>
      <c r="L56" s="45"/>
    </row>
    <row r="58" spans="1:12" x14ac:dyDescent="0.35">
      <c r="A58" s="69" t="s">
        <v>11</v>
      </c>
      <c r="B58" s="69"/>
      <c r="C58" s="69"/>
    </row>
    <row r="59" spans="1:12" ht="42.75" customHeight="1" x14ac:dyDescent="0.35">
      <c r="A59" s="323" t="s">
        <v>274</v>
      </c>
      <c r="B59" s="323"/>
      <c r="C59" s="323"/>
      <c r="D59" s="323"/>
      <c r="E59" s="323"/>
      <c r="F59" s="323"/>
      <c r="G59" s="323"/>
      <c r="H59" s="323"/>
      <c r="I59" s="323"/>
      <c r="J59" s="144"/>
      <c r="K59" s="144"/>
      <c r="L59" s="144"/>
    </row>
    <row r="60" spans="1:12" ht="56.15" customHeight="1" x14ac:dyDescent="0.35">
      <c r="A60" s="323" t="s">
        <v>275</v>
      </c>
      <c r="B60" s="323"/>
      <c r="C60" s="323"/>
      <c r="D60" s="323"/>
      <c r="E60" s="323"/>
      <c r="F60" s="323"/>
      <c r="G60" s="323"/>
      <c r="H60" s="323"/>
      <c r="I60" s="323"/>
      <c r="J60" s="144"/>
      <c r="K60" s="144"/>
      <c r="L60" s="144"/>
    </row>
    <row r="61" spans="1:12" ht="55" customHeight="1" x14ac:dyDescent="0.35">
      <c r="A61" s="323" t="s">
        <v>276</v>
      </c>
      <c r="B61" s="323"/>
      <c r="C61" s="323"/>
      <c r="D61" s="323"/>
      <c r="E61" s="323"/>
      <c r="F61" s="323"/>
      <c r="G61" s="323"/>
      <c r="H61" s="323"/>
      <c r="I61" s="323"/>
      <c r="J61" s="144"/>
      <c r="K61" s="144"/>
      <c r="L61" s="144"/>
    </row>
    <row r="62" spans="1:12" x14ac:dyDescent="0.35">
      <c r="A62" s="3" t="s">
        <v>31</v>
      </c>
      <c r="B62" s="3"/>
      <c r="C62" s="3"/>
      <c r="I62" s="4"/>
    </row>
    <row r="63" spans="1:12" x14ac:dyDescent="0.35">
      <c r="A63" s="63" t="s">
        <v>191</v>
      </c>
      <c r="B63" s="3"/>
      <c r="C63" s="3"/>
      <c r="I63" s="4"/>
    </row>
    <row r="64" spans="1:12" x14ac:dyDescent="0.35">
      <c r="A64" s="3" t="s">
        <v>51</v>
      </c>
      <c r="B64" s="3"/>
      <c r="C64" s="3"/>
      <c r="I64" s="4"/>
    </row>
    <row r="65" spans="1:13" x14ac:dyDescent="0.35">
      <c r="A65" s="3" t="s">
        <v>192</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74"/>
  <sheetViews>
    <sheetView topLeftCell="A31" workbookViewId="0">
      <selection activeCell="P31" sqref="P1:P104857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Missouri West, Inc. - DSIM Rider Update Filed 06/01/2023</v>
      </c>
      <c r="B1" s="3"/>
      <c r="C1" s="3"/>
      <c r="D1" s="3"/>
    </row>
    <row r="2" spans="1:35" x14ac:dyDescent="0.35">
      <c r="E2" s="3" t="s">
        <v>137</v>
      </c>
    </row>
    <row r="3" spans="1:35" ht="29" x14ac:dyDescent="0.35">
      <c r="E3" s="48" t="s">
        <v>46</v>
      </c>
      <c r="F3" s="48" t="s">
        <v>45</v>
      </c>
      <c r="G3" s="70" t="s">
        <v>2</v>
      </c>
      <c r="H3" s="48" t="s">
        <v>3</v>
      </c>
      <c r="I3" s="70" t="s">
        <v>55</v>
      </c>
      <c r="J3" s="48" t="s">
        <v>10</v>
      </c>
      <c r="K3" s="48" t="s">
        <v>4</v>
      </c>
    </row>
    <row r="4" spans="1:35" x14ac:dyDescent="0.35">
      <c r="A4" s="20" t="s">
        <v>24</v>
      </c>
      <c r="E4" s="22">
        <f>SUM(C26:M26)</f>
        <v>3991702.46</v>
      </c>
      <c r="F4" s="136">
        <f>SUM(C20:M20)</f>
        <v>1712644562.1922002</v>
      </c>
      <c r="G4" s="22">
        <f>SUM(C14:L14)</f>
        <v>3007059.17</v>
      </c>
      <c r="H4" s="22">
        <f>G4-E4</f>
        <v>-984643.29</v>
      </c>
      <c r="I4" s="22">
        <f>+B40</f>
        <v>-185811.55000000075</v>
      </c>
      <c r="J4" s="22">
        <f>SUM(C47:L47)</f>
        <v>-12891.21</v>
      </c>
      <c r="K4" s="25">
        <f>SUM(H4:J4)</f>
        <v>-1183346.0500000007</v>
      </c>
      <c r="L4" s="47">
        <f>+K4-M40</f>
        <v>0</v>
      </c>
    </row>
    <row r="5" spans="1:35" x14ac:dyDescent="0.35">
      <c r="A5" s="20" t="s">
        <v>107</v>
      </c>
      <c r="E5" s="22">
        <f>SUM(C27:M27)</f>
        <v>1277929.2899999998</v>
      </c>
      <c r="F5" s="136">
        <f>SUM(C21:M21)</f>
        <v>683730409.45089984</v>
      </c>
      <c r="G5" s="22">
        <f>SUM(C15:L15)</f>
        <v>1200145.31</v>
      </c>
      <c r="H5" s="22">
        <f>G5-E5</f>
        <v>-77783.979999999749</v>
      </c>
      <c r="I5" s="22">
        <f>+B41</f>
        <v>-704001.07000000018</v>
      </c>
      <c r="J5" s="22">
        <f>SUM(C48:L48)</f>
        <v>-25272.959999999999</v>
      </c>
      <c r="K5" s="25">
        <f>SUM(H5:J5)</f>
        <v>-807058.00999999989</v>
      </c>
      <c r="L5" s="47">
        <f t="shared" ref="L5:L6" si="0">+K5-M41</f>
        <v>0</v>
      </c>
    </row>
    <row r="6" spans="1:35" x14ac:dyDescent="0.35">
      <c r="A6" s="20" t="s">
        <v>108</v>
      </c>
      <c r="E6" s="22">
        <f>SUM(C28:M28)</f>
        <v>1919700.7100000002</v>
      </c>
      <c r="F6" s="136">
        <f>SUM(C22:M22)</f>
        <v>560923938.5711</v>
      </c>
      <c r="G6" s="22">
        <f>SUM(C16:L16)</f>
        <v>1481824.1400000001</v>
      </c>
      <c r="H6" s="22">
        <f>G6-E6</f>
        <v>-437876.57000000007</v>
      </c>
      <c r="I6" s="22">
        <f>+B42</f>
        <v>106017.47999999957</v>
      </c>
      <c r="J6" s="22">
        <f>SUM(C49:L49)</f>
        <v>11409.619999999999</v>
      </c>
      <c r="K6" s="25">
        <f>SUM(H6:J6)</f>
        <v>-320449.4700000005</v>
      </c>
      <c r="L6" s="47">
        <f t="shared" si="0"/>
        <v>0</v>
      </c>
    </row>
    <row r="7" spans="1:35" ht="15" thickBot="1" x14ac:dyDescent="0.4">
      <c r="A7" s="20" t="s">
        <v>109</v>
      </c>
      <c r="E7" s="22">
        <f>SUM(C29:M29)</f>
        <v>537921.36999999988</v>
      </c>
      <c r="F7" s="136">
        <f>SUM(C23:M23)</f>
        <v>346741615.39649999</v>
      </c>
      <c r="G7" s="22">
        <f>SUM(C17:L17)</f>
        <v>462576.39999999991</v>
      </c>
      <c r="H7" s="22">
        <f>G7-E7</f>
        <v>-75344.969999999972</v>
      </c>
      <c r="I7" s="22">
        <f>+B43</f>
        <v>-705238.12999999942</v>
      </c>
      <c r="J7" s="22">
        <f>SUM(C50:L50)</f>
        <v>-28218.589999999997</v>
      </c>
      <c r="K7" s="25">
        <f>SUM(H7:J7)</f>
        <v>-808801.68999999936</v>
      </c>
      <c r="L7" s="47">
        <f>+K7-M43</f>
        <v>0</v>
      </c>
    </row>
    <row r="8" spans="1:35" ht="15.5" thickTop="1" thickBot="1" x14ac:dyDescent="0.4">
      <c r="E8" s="27">
        <f t="shared" ref="E8:K8" si="1">SUM(E4:E7)</f>
        <v>7727253.8300000001</v>
      </c>
      <c r="F8" s="27">
        <f t="shared" si="1"/>
        <v>3304040525.6107001</v>
      </c>
      <c r="G8" s="27">
        <f t="shared" si="1"/>
        <v>6151605.0200000014</v>
      </c>
      <c r="H8" s="27">
        <f t="shared" si="1"/>
        <v>-1575648.8099999998</v>
      </c>
      <c r="I8" s="27">
        <f t="shared" si="1"/>
        <v>-1489033.2700000007</v>
      </c>
      <c r="J8" s="27">
        <f t="shared" si="1"/>
        <v>-54973.14</v>
      </c>
      <c r="K8" s="27">
        <f t="shared" si="1"/>
        <v>-3119655.2200000007</v>
      </c>
    </row>
    <row r="9" spans="1:35" ht="15.5" thickTop="1" thickBot="1" x14ac:dyDescent="0.4"/>
    <row r="10" spans="1:35" ht="87.5" thickBot="1" x14ac:dyDescent="0.4">
      <c r="B10" s="118" t="str">
        <f>+'PCR Cycle 2'!B13</f>
        <v>Cumulative Over/Under Carryover From 12/01/2022 Filing</v>
      </c>
      <c r="C10" s="151" t="str">
        <f>+'PCR Cycle 2'!C13</f>
        <v>Reverse November 2022 - January 2023 Forecast From 12/01/2022 Filing</v>
      </c>
      <c r="D10" s="282"/>
      <c r="E10" s="324" t="s">
        <v>33</v>
      </c>
      <c r="F10" s="324"/>
      <c r="G10" s="325"/>
      <c r="H10" s="326" t="s">
        <v>33</v>
      </c>
      <c r="I10" s="327"/>
      <c r="J10" s="328"/>
      <c r="K10" s="320" t="s">
        <v>8</v>
      </c>
      <c r="L10" s="321"/>
      <c r="M10" s="322"/>
    </row>
    <row r="11" spans="1:35" x14ac:dyDescent="0.35">
      <c r="C11" s="14"/>
      <c r="D11" s="19"/>
      <c r="E11" s="19">
        <f>+'PCR Cycle 2'!D14</f>
        <v>44895</v>
      </c>
      <c r="F11" s="19">
        <f>+'PCR Cycle 2'!E14</f>
        <v>44926</v>
      </c>
      <c r="G11" s="19">
        <f>+'PCR Cycle 2'!F14</f>
        <v>44957</v>
      </c>
      <c r="H11" s="14">
        <f>+'PCR Cycle 2'!G14</f>
        <v>44985</v>
      </c>
      <c r="I11" s="19">
        <f>+'PCR Cycle 2'!H14</f>
        <v>45016</v>
      </c>
      <c r="J11" s="15">
        <f>+'PCR Cycle 2'!I14</f>
        <v>45046</v>
      </c>
      <c r="K11" s="19">
        <f>+'PCR Cycle 2'!J14</f>
        <v>45077</v>
      </c>
      <c r="L11" s="19">
        <f>+'PCR Cycle 2'!K14</f>
        <v>45107</v>
      </c>
      <c r="M11" s="95">
        <f>+'PCR Cycle 2'!L14</f>
        <v>45138</v>
      </c>
      <c r="Z11" s="1"/>
      <c r="AA11" s="1"/>
      <c r="AB11" s="1"/>
      <c r="AC11" s="1"/>
      <c r="AD11" s="1"/>
      <c r="AE11" s="1"/>
      <c r="AF11" s="1"/>
      <c r="AG11" s="1"/>
      <c r="AH11" s="1"/>
      <c r="AI11" s="1"/>
    </row>
    <row r="12" spans="1:35" x14ac:dyDescent="0.35">
      <c r="C12" s="98"/>
      <c r="D12" s="273"/>
      <c r="E12" s="31"/>
      <c r="F12" s="31"/>
      <c r="G12" s="31"/>
      <c r="H12" s="28"/>
      <c r="I12" s="31"/>
      <c r="J12" s="11"/>
      <c r="K12" s="31"/>
      <c r="L12" s="31"/>
      <c r="M12" s="29"/>
    </row>
    <row r="13" spans="1:35" x14ac:dyDescent="0.35">
      <c r="A13" s="46" t="s">
        <v>138</v>
      </c>
      <c r="C13" s="99"/>
      <c r="D13" s="149"/>
      <c r="E13" s="31"/>
      <c r="F13" s="31"/>
      <c r="G13" s="31"/>
      <c r="H13" s="28"/>
      <c r="I13" s="31"/>
      <c r="J13" s="165"/>
      <c r="K13" s="17"/>
      <c r="L13" s="17"/>
      <c r="M13" s="11"/>
    </row>
    <row r="14" spans="1:35" x14ac:dyDescent="0.35">
      <c r="A14" s="46" t="s">
        <v>24</v>
      </c>
      <c r="C14" s="97">
        <v>-2447156.96</v>
      </c>
      <c r="D14" s="274"/>
      <c r="E14" s="109">
        <f>ROUND([6]Pivot!$N$27,2)</f>
        <v>732121.53</v>
      </c>
      <c r="F14" s="109">
        <f>ROUND([7]Pivot!$N$27,2)</f>
        <v>1478247.92</v>
      </c>
      <c r="G14" s="110">
        <f>ROUND([8]Pivot!$N$27,2)</f>
        <v>517413.1</v>
      </c>
      <c r="H14" s="16">
        <f>ROUND([9]Pivot!$N$27,2)</f>
        <v>296561.39</v>
      </c>
      <c r="I14" s="55">
        <f>ROUND([10]Pivot!$N$27,2)</f>
        <v>449577.89</v>
      </c>
      <c r="J14" s="164">
        <f>ROUND([11]Pivot!$N$27,2)</f>
        <v>557711.57999999996</v>
      </c>
      <c r="K14" s="174">
        <f>ROUND('[2]Monthly Program Costs'!AV290+'[2]Monthly Program Costs Ext'!AV290,2)</f>
        <v>605162.92000000004</v>
      </c>
      <c r="L14" s="138">
        <f>ROUND('[2]Monthly Program Costs'!AW290+'[2]Monthly Program Costs Ext'!AW290,2)</f>
        <v>817419.8</v>
      </c>
      <c r="M14" s="76"/>
    </row>
    <row r="15" spans="1:35" x14ac:dyDescent="0.35">
      <c r="A15" s="46" t="s">
        <v>107</v>
      </c>
      <c r="C15" s="97">
        <v>-1002691.81</v>
      </c>
      <c r="D15" s="274"/>
      <c r="E15" s="109">
        <f>ROUND([6]Pivot!$O$27,2)</f>
        <v>190387.19</v>
      </c>
      <c r="F15" s="109">
        <f>ROUND([7]Pivot!$O$27,2)</f>
        <v>400216.09</v>
      </c>
      <c r="G15" s="110">
        <f>ROUND([8]Pivot!$O$27,2)</f>
        <v>666892.17000000004</v>
      </c>
      <c r="H15" s="16">
        <f>ROUND([9]Pivot!$O$27,2)</f>
        <v>72197.62</v>
      </c>
      <c r="I15" s="55">
        <f>ROUND([10]Pivot!$O$27,2)</f>
        <v>117229.98</v>
      </c>
      <c r="J15" s="164">
        <f>ROUND([11]Pivot!$O$27,2)</f>
        <v>206298.8</v>
      </c>
      <c r="K15" s="174">
        <f>ROUND('[2]Monthly Program Costs'!AV291+'[2]Monthly Program Costs Ext'!AV291,2)</f>
        <v>262680.88</v>
      </c>
      <c r="L15" s="138">
        <f>ROUND('[2]Monthly Program Costs'!AW291+'[2]Monthly Program Costs Ext'!AW291,2)</f>
        <v>286934.39</v>
      </c>
      <c r="M15" s="76"/>
    </row>
    <row r="16" spans="1:35" x14ac:dyDescent="0.35">
      <c r="A16" s="46" t="s">
        <v>108</v>
      </c>
      <c r="C16" s="97">
        <v>-1025093.5</v>
      </c>
      <c r="D16" s="274"/>
      <c r="E16" s="109">
        <f>ROUND([6]Pivot!$Q$27,2)</f>
        <v>792471.95</v>
      </c>
      <c r="F16" s="109">
        <f>ROUND([7]Pivot!$Q$27,2)</f>
        <v>256352.64000000001</v>
      </c>
      <c r="G16" s="110">
        <f>ROUND([8]Pivot!$Q$27,2)</f>
        <v>602551.80000000005</v>
      </c>
      <c r="H16" s="16">
        <f>ROUND([9]Pivot!$Q$27,2)</f>
        <v>68689.539999999994</v>
      </c>
      <c r="I16" s="55">
        <f>ROUND([10]Pivot!$Q$27,2)</f>
        <v>113484.16</v>
      </c>
      <c r="J16" s="164">
        <f>ROUND([11]Pivot!$Q$27,2)</f>
        <v>159730.1</v>
      </c>
      <c r="K16" s="174">
        <f>ROUND('[2]Monthly Program Costs'!AV293+'[2]Monthly Program Costs Ext'!AV293,2)</f>
        <v>245179.65</v>
      </c>
      <c r="L16" s="138">
        <f>ROUND('[2]Monthly Program Costs'!AW293+'[2]Monthly Program Costs Ext'!AW293,2)</f>
        <v>268457.8</v>
      </c>
      <c r="M16" s="76"/>
    </row>
    <row r="17" spans="1:15" x14ac:dyDescent="0.35">
      <c r="A17" s="46" t="s">
        <v>109</v>
      </c>
      <c r="C17" s="97">
        <v>-726559.16</v>
      </c>
      <c r="D17" s="274"/>
      <c r="E17" s="109">
        <f>ROUND([6]Pivot!$R$27,2)</f>
        <v>47150.63</v>
      </c>
      <c r="F17" s="109">
        <f>ROUND([7]Pivot!$R$27,2)</f>
        <v>54683.839999999997</v>
      </c>
      <c r="G17" s="110">
        <f>ROUND([8]Pivot!$R$27,2)</f>
        <v>564460.39</v>
      </c>
      <c r="H17" s="16">
        <f>ROUND([9]Pivot!$R$27,2)</f>
        <v>50546.16</v>
      </c>
      <c r="I17" s="55">
        <f>ROUND([10]Pivot!$R$27,2)</f>
        <v>19662.28</v>
      </c>
      <c r="J17" s="164">
        <f>ROUND([11]Pivot!$R$27,2)</f>
        <v>77723.62</v>
      </c>
      <c r="K17" s="174">
        <f>ROUND('[2]Monthly Program Costs'!AV294+'[2]Monthly Program Costs Ext'!AV294,2)</f>
        <v>178889.54</v>
      </c>
      <c r="L17" s="138">
        <f>ROUND('[2]Monthly Program Costs'!AW294+'[2]Monthly Program Costs Ext'!AW294,2)</f>
        <v>196019.1</v>
      </c>
      <c r="M17" s="76"/>
    </row>
    <row r="18" spans="1:15" x14ac:dyDescent="0.35">
      <c r="C18" s="99"/>
      <c r="D18" s="149"/>
      <c r="E18" s="31"/>
      <c r="F18" s="31"/>
      <c r="G18" s="31"/>
      <c r="H18" s="28"/>
      <c r="I18" s="31"/>
      <c r="J18" s="11"/>
      <c r="K18" s="17"/>
      <c r="L18" s="17"/>
      <c r="M18" s="11"/>
    </row>
    <row r="19" spans="1:15" x14ac:dyDescent="0.35">
      <c r="A19" s="39" t="s">
        <v>47</v>
      </c>
      <c r="B19" s="39"/>
      <c r="C19" s="101"/>
      <c r="D19" s="275"/>
      <c r="E19" s="31"/>
      <c r="F19" s="31"/>
      <c r="G19" s="31"/>
      <c r="H19" s="28"/>
      <c r="I19" s="31"/>
      <c r="J19" s="11"/>
      <c r="K19" s="17"/>
      <c r="L19" s="17"/>
      <c r="M19" s="11"/>
    </row>
    <row r="20" spans="1:15" x14ac:dyDescent="0.35">
      <c r="A20" s="46" t="s">
        <v>24</v>
      </c>
      <c r="C20" s="102">
        <v>-939091619.75999999</v>
      </c>
      <c r="D20" s="276"/>
      <c r="E20" s="111">
        <f>+'PCR Cycle 2'!D26</f>
        <v>228590149.70069999</v>
      </c>
      <c r="F20" s="111">
        <f>+'PCR Cycle 2'!E26</f>
        <v>322400333.55010003</v>
      </c>
      <c r="G20" s="111">
        <f>+'PCR Cycle 2'!F26</f>
        <v>390767821.45130002</v>
      </c>
      <c r="H20" s="184">
        <f>+'PCR Cycle 2'!G26</f>
        <v>336960286.61050004</v>
      </c>
      <c r="I20" s="187">
        <f>+'PCR Cycle 2'!H26</f>
        <v>283934281.55830002</v>
      </c>
      <c r="J20" s="179">
        <f>+'PCR Cycle 2'!I26</f>
        <v>237511968.08130002</v>
      </c>
      <c r="K20" s="175">
        <f>+'PCR Cycle 2'!J26</f>
        <v>213455630</v>
      </c>
      <c r="L20" s="139">
        <f>+'PCR Cycle 2'!K26</f>
        <v>266401286</v>
      </c>
      <c r="M20" s="77">
        <f>+'PCR Cycle 2'!L26</f>
        <v>371714425</v>
      </c>
    </row>
    <row r="21" spans="1:15" x14ac:dyDescent="0.35">
      <c r="A21" s="46" t="s">
        <v>107</v>
      </c>
      <c r="C21" s="102">
        <v>-280574488</v>
      </c>
      <c r="D21" s="276"/>
      <c r="E21" s="111">
        <f>+'PCR Cycle 2'!D27</f>
        <v>95893071.72420001</v>
      </c>
      <c r="F21" s="111">
        <f>+'PCR Cycle 2'!E27</f>
        <v>109357852.72739998</v>
      </c>
      <c r="G21" s="111">
        <f>+'PCR Cycle 2'!F27</f>
        <v>123266202.59049997</v>
      </c>
      <c r="H21" s="184">
        <f>+'PCR Cycle 2'!G27</f>
        <v>111682918.58029997</v>
      </c>
      <c r="I21" s="187">
        <f>+'PCR Cycle 2'!H27</f>
        <v>103017418.34429999</v>
      </c>
      <c r="J21" s="179">
        <f>+'PCR Cycle 2'!I27</f>
        <v>93794092.484200001</v>
      </c>
      <c r="K21" s="175">
        <f>+'PCR Cycle 2'!J27</f>
        <v>98592028</v>
      </c>
      <c r="L21" s="139">
        <f>+'PCR Cycle 2'!K27</f>
        <v>107426924</v>
      </c>
      <c r="M21" s="77">
        <f>+'PCR Cycle 2'!L27</f>
        <v>121274389</v>
      </c>
    </row>
    <row r="22" spans="1:15" x14ac:dyDescent="0.35">
      <c r="A22" s="46" t="s">
        <v>108</v>
      </c>
      <c r="C22" s="102">
        <v>-269290880</v>
      </c>
      <c r="D22" s="276"/>
      <c r="E22" s="111">
        <f>+'PCR Cycle 2'!D28</f>
        <v>89552105.891400009</v>
      </c>
      <c r="F22" s="111">
        <f>+'PCR Cycle 2'!E28</f>
        <v>92392985.21860002</v>
      </c>
      <c r="G22" s="111">
        <f>+'PCR Cycle 2'!F28</f>
        <v>96778295.011399999</v>
      </c>
      <c r="H22" s="184">
        <f>+'PCR Cycle 2'!G28</f>
        <v>91555632.063200012</v>
      </c>
      <c r="I22" s="187">
        <f>+'PCR Cycle 2'!H28</f>
        <v>87550248.15550001</v>
      </c>
      <c r="J22" s="179">
        <f>+'PCR Cycle 2'!I28</f>
        <v>80125884.230999991</v>
      </c>
      <c r="K22" s="175">
        <f>+'PCR Cycle 2'!J28</f>
        <v>88038679</v>
      </c>
      <c r="L22" s="139">
        <f>+'PCR Cycle 2'!K28</f>
        <v>95927883</v>
      </c>
      <c r="M22" s="77">
        <f>+'PCR Cycle 2'!L28</f>
        <v>108293106</v>
      </c>
    </row>
    <row r="23" spans="1:15" x14ac:dyDescent="0.35">
      <c r="A23" s="46" t="s">
        <v>109</v>
      </c>
      <c r="C23" s="102">
        <v>-198161661</v>
      </c>
      <c r="D23" s="276"/>
      <c r="E23" s="111">
        <f>+'PCR Cycle 2'!D29</f>
        <v>65846031.368799999</v>
      </c>
      <c r="F23" s="111">
        <f>+'PCR Cycle 2'!E29</f>
        <v>68945484.655599996</v>
      </c>
      <c r="G23" s="111">
        <f>+'PCR Cycle 2'!F29</f>
        <v>60774612.19309999</v>
      </c>
      <c r="H23" s="184">
        <f>+'PCR Cycle 2'!G29</f>
        <v>37646165.738000005</v>
      </c>
      <c r="I23" s="187">
        <f>+'PCR Cycle 2'!H29</f>
        <v>62846491.7152</v>
      </c>
      <c r="J23" s="179">
        <f>+'PCR Cycle 2'!I29</f>
        <v>53313883.725799993</v>
      </c>
      <c r="K23" s="175">
        <f>+'PCR Cycle 2'!J29</f>
        <v>58900554</v>
      </c>
      <c r="L23" s="139">
        <f>+'PCR Cycle 2'!K29</f>
        <v>64178671</v>
      </c>
      <c r="M23" s="77">
        <f>+'PCR Cycle 2'!L29</f>
        <v>72451382</v>
      </c>
    </row>
    <row r="24" spans="1:15" x14ac:dyDescent="0.35">
      <c r="C24" s="99"/>
      <c r="D24" s="149"/>
      <c r="E24" s="31"/>
      <c r="F24" s="31"/>
      <c r="G24" s="31"/>
      <c r="H24" s="28"/>
      <c r="I24" s="31"/>
      <c r="J24" s="11"/>
      <c r="K24" s="17"/>
      <c r="L24" s="17"/>
      <c r="M24" s="11"/>
    </row>
    <row r="25" spans="1:15" x14ac:dyDescent="0.35">
      <c r="A25" s="46" t="s">
        <v>34</v>
      </c>
      <c r="C25" s="99"/>
      <c r="D25" s="149"/>
      <c r="E25" s="18"/>
      <c r="F25" s="18"/>
      <c r="G25" s="18"/>
      <c r="H25" s="91"/>
      <c r="I25" s="18"/>
      <c r="J25" s="11"/>
      <c r="K25" s="57"/>
      <c r="L25" s="57"/>
      <c r="M25" s="58"/>
      <c r="N25" s="63" t="s">
        <v>50</v>
      </c>
      <c r="O25" s="39"/>
    </row>
    <row r="26" spans="1:15" x14ac:dyDescent="0.35">
      <c r="A26" s="46" t="s">
        <v>24</v>
      </c>
      <c r="C26" s="97">
        <v>-2638847.4500000002</v>
      </c>
      <c r="D26" s="274"/>
      <c r="E26" s="109">
        <f>ROUND('[4]Nov 2022'!$F76+'[4]Nov 2022'!$F83,2)</f>
        <v>642318.72</v>
      </c>
      <c r="F26" s="109">
        <f>ROUND('[4]Dec 2022'!$F76+'[4]Dec 2022'!$F83,2)</f>
        <v>905936.23</v>
      </c>
      <c r="G26" s="109">
        <f>ROUND('[4]Jan 2023'!$F76+'[4]Jan 2023'!$F83,2)</f>
        <v>1098057.4099999999</v>
      </c>
      <c r="H26" s="185">
        <f>ROUND('[4]Feb 2023'!$F76+'[4]Feb 2023'!$F83,2)</f>
        <v>785153.54</v>
      </c>
      <c r="I26" s="55">
        <f>ROUND('[4]Mar 2023'!$F76+'[4]Mar 2023'!$F83,2)</f>
        <v>661552.35</v>
      </c>
      <c r="J26" s="177">
        <f>ROUND('[4]Apr 2023'!$F76+'[4]Apr 2023'!$F83,2)</f>
        <v>553370.43000000005</v>
      </c>
      <c r="K26" s="123">
        <f t="shared" ref="K26:M29" si="2">ROUND(K20*$N26,2)</f>
        <v>497351.62</v>
      </c>
      <c r="L26" s="41">
        <f t="shared" si="2"/>
        <v>620715</v>
      </c>
      <c r="M26" s="61">
        <f t="shared" si="2"/>
        <v>866094.61</v>
      </c>
      <c r="N26" s="72">
        <v>2.33E-3</v>
      </c>
    </row>
    <row r="27" spans="1:15" x14ac:dyDescent="0.35">
      <c r="A27" s="46" t="s">
        <v>107</v>
      </c>
      <c r="C27" s="97">
        <v>-1035319.8600000001</v>
      </c>
      <c r="D27" s="274"/>
      <c r="E27" s="109">
        <f>ROUND('[4]Nov 2022'!$F77+'[4]Nov 2022'!$F84,2)</f>
        <v>353806.05</v>
      </c>
      <c r="F27" s="109">
        <f>ROUND('[4]Dec 2022'!$F77+'[4]Dec 2022'!$F84,2)</f>
        <v>403599.41</v>
      </c>
      <c r="G27" s="109">
        <f>ROUND('[4]Jan 2023'!$F77+'[4]Jan 2023'!$F84,2)</f>
        <v>454762.9</v>
      </c>
      <c r="H27" s="185">
        <f>ROUND('[4]Feb 2023'!$F77+'[4]Feb 2023'!$F84,2)</f>
        <v>194589.87</v>
      </c>
      <c r="I27" s="55">
        <f>ROUND('[4]Mar 2023'!$F77+'[4]Mar 2023'!$F84,2)</f>
        <v>178126.26</v>
      </c>
      <c r="J27" s="177">
        <f>ROUND('[4]Apr 2023'!$F77+'[4]Apr 2023'!$F84,2)</f>
        <v>162147.18</v>
      </c>
      <c r="K27" s="123">
        <f t="shared" si="2"/>
        <v>170564.21</v>
      </c>
      <c r="L27" s="41">
        <f t="shared" si="2"/>
        <v>185848.58</v>
      </c>
      <c r="M27" s="61">
        <f t="shared" si="2"/>
        <v>209804.69</v>
      </c>
      <c r="N27" s="72">
        <v>1.7300000000000002E-3</v>
      </c>
    </row>
    <row r="28" spans="1:15" x14ac:dyDescent="0.35">
      <c r="A28" s="46" t="s">
        <v>108</v>
      </c>
      <c r="C28" s="97">
        <v>-1225273.51</v>
      </c>
      <c r="D28" s="274"/>
      <c r="E28" s="109">
        <f>ROUND('[4]Nov 2022'!$F78+'[4]Nov 2022'!$F85,2)</f>
        <v>407462.09</v>
      </c>
      <c r="F28" s="109">
        <f>ROUND('[4]Dec 2022'!$F78+'[4]Dec 2022'!$F85,2)</f>
        <v>420388.07</v>
      </c>
      <c r="G28" s="109">
        <f>ROUND('[4]Jan 2023'!$F78+'[4]Jan 2023'!$F85,2)</f>
        <v>440341.25</v>
      </c>
      <c r="H28" s="185">
        <f>ROUND('[4]Feb 2023'!$F78+'[4]Feb 2023'!$F85,2)</f>
        <v>313666.5</v>
      </c>
      <c r="I28" s="55">
        <f>ROUND('[4]Mar 2023'!$F78+'[4]Mar 2023'!$F85,2)</f>
        <v>297670.84000000003</v>
      </c>
      <c r="J28" s="177">
        <f>ROUND('[4]Apr 2023'!$F78+'[4]Apr 2023'!$F85,2)</f>
        <v>271762.59999999998</v>
      </c>
      <c r="K28" s="123">
        <f t="shared" si="2"/>
        <v>299331.51</v>
      </c>
      <c r="L28" s="41">
        <f t="shared" si="2"/>
        <v>326154.8</v>
      </c>
      <c r="M28" s="61">
        <f t="shared" si="2"/>
        <v>368196.56</v>
      </c>
      <c r="N28" s="72">
        <v>3.3999999999999998E-3</v>
      </c>
    </row>
    <row r="29" spans="1:15" x14ac:dyDescent="0.35">
      <c r="A29" s="46" t="s">
        <v>109</v>
      </c>
      <c r="C29" s="97">
        <v>-612319.54</v>
      </c>
      <c r="D29" s="274"/>
      <c r="E29" s="109">
        <f>ROUND('[4]Nov 2022'!$F79+'[4]Nov 2022'!$F86,2)</f>
        <v>203464.23</v>
      </c>
      <c r="F29" s="109">
        <f>ROUND('[4]Dec 2022'!$F79+'[4]Dec 2022'!$F86,2)</f>
        <v>213041.55</v>
      </c>
      <c r="G29" s="109">
        <f>ROUND('[4]Jan 2023'!$F79+'[4]Jan 2023'!$F86,2)</f>
        <v>187793.55</v>
      </c>
      <c r="H29" s="185">
        <f>ROUND('[4]Feb 2023'!$F79+'[4]Feb 2023'!$F86,2)</f>
        <v>34885.519999999997</v>
      </c>
      <c r="I29" s="55">
        <f>ROUND('[4]Mar 2023'!$F79+'[4]Mar 2023'!$F86,2)</f>
        <v>106990.7</v>
      </c>
      <c r="J29" s="177">
        <f>ROUND('[4]Apr 2023'!$F79+'[4]Apr 2023'!$F86,2)</f>
        <v>85350.48</v>
      </c>
      <c r="K29" s="123">
        <f t="shared" si="2"/>
        <v>96007.9</v>
      </c>
      <c r="L29" s="41">
        <f t="shared" si="2"/>
        <v>104611.23</v>
      </c>
      <c r="M29" s="61">
        <f t="shared" si="2"/>
        <v>118095.75</v>
      </c>
      <c r="N29" s="72">
        <v>1.6299999999999999E-3</v>
      </c>
    </row>
    <row r="30" spans="1:15" x14ac:dyDescent="0.35">
      <c r="C30" s="67"/>
      <c r="D30" s="68"/>
      <c r="E30" s="18"/>
      <c r="F30" s="18"/>
      <c r="G30" s="18"/>
      <c r="H30" s="91"/>
      <c r="I30" s="18"/>
      <c r="J30" s="11"/>
      <c r="K30" s="56"/>
      <c r="L30" s="56"/>
      <c r="M30" s="13"/>
      <c r="N30" s="4"/>
    </row>
    <row r="31" spans="1:15" ht="15" thickBot="1" x14ac:dyDescent="0.4">
      <c r="A31" s="46" t="s">
        <v>14</v>
      </c>
      <c r="C31" s="103">
        <v>852.88000000000011</v>
      </c>
      <c r="D31" s="277">
        <v>0</v>
      </c>
      <c r="E31" s="112">
        <v>-4761.1400000000003</v>
      </c>
      <c r="F31" s="112">
        <v>-4194.22</v>
      </c>
      <c r="G31" s="113">
        <v>-3338.9700000000003</v>
      </c>
      <c r="H31" s="26">
        <v>-5059.49</v>
      </c>
      <c r="I31" s="122">
        <v>-8714.92</v>
      </c>
      <c r="J31" s="178">
        <v>-10619.48</v>
      </c>
      <c r="K31" s="176">
        <v>-10266.970000000001</v>
      </c>
      <c r="L31" s="140">
        <v>-8870.83</v>
      </c>
      <c r="M31" s="81"/>
    </row>
    <row r="32" spans="1:15" x14ac:dyDescent="0.35">
      <c r="C32" s="99"/>
      <c r="D32" s="149"/>
      <c r="E32" s="31"/>
      <c r="F32" s="31"/>
      <c r="G32" s="31"/>
      <c r="H32" s="28"/>
      <c r="I32" s="31"/>
      <c r="J32" s="11"/>
      <c r="K32" s="17"/>
      <c r="L32" s="17"/>
      <c r="M32" s="11"/>
    </row>
    <row r="33" spans="1:14" x14ac:dyDescent="0.35">
      <c r="A33" s="46" t="s">
        <v>52</v>
      </c>
      <c r="C33" s="99"/>
      <c r="D33" s="149"/>
      <c r="E33" s="31"/>
      <c r="F33" s="31"/>
      <c r="G33" s="31"/>
      <c r="H33" s="28"/>
      <c r="I33" s="31"/>
      <c r="J33" s="11"/>
      <c r="K33" s="17"/>
      <c r="L33" s="17"/>
      <c r="M33" s="11"/>
    </row>
    <row r="34" spans="1:14" x14ac:dyDescent="0.35">
      <c r="A34" s="46" t="s">
        <v>24</v>
      </c>
      <c r="C34" s="40">
        <f t="shared" ref="C34:M34" si="3">C14-C26</f>
        <v>191690.49000000022</v>
      </c>
      <c r="D34" s="123">
        <f t="shared" ref="D34" si="4">D14-D26</f>
        <v>0</v>
      </c>
      <c r="E34" s="41">
        <f t="shared" si="3"/>
        <v>89802.810000000056</v>
      </c>
      <c r="F34" s="41">
        <f t="shared" si="3"/>
        <v>572311.68999999994</v>
      </c>
      <c r="G34" s="108">
        <f t="shared" si="3"/>
        <v>-580644.30999999994</v>
      </c>
      <c r="H34" s="40">
        <f t="shared" si="3"/>
        <v>-488592.15</v>
      </c>
      <c r="I34" s="41">
        <f t="shared" si="3"/>
        <v>-211974.45999999996</v>
      </c>
      <c r="J34" s="61">
        <f t="shared" si="3"/>
        <v>4341.1499999999069</v>
      </c>
      <c r="K34" s="123">
        <f t="shared" si="3"/>
        <v>107811.30000000005</v>
      </c>
      <c r="L34" s="41">
        <f t="shared" si="3"/>
        <v>196704.80000000005</v>
      </c>
      <c r="M34" s="49">
        <f t="shared" si="3"/>
        <v>-866094.61</v>
      </c>
    </row>
    <row r="35" spans="1:14" x14ac:dyDescent="0.35">
      <c r="A35" s="46" t="s">
        <v>107</v>
      </c>
      <c r="C35" s="40">
        <f t="shared" ref="C35:M35" si="5">C15-C27</f>
        <v>32628.050000000047</v>
      </c>
      <c r="D35" s="123">
        <f t="shared" ref="D35" si="6">D15-D27</f>
        <v>0</v>
      </c>
      <c r="E35" s="41">
        <f t="shared" si="5"/>
        <v>-163418.85999999999</v>
      </c>
      <c r="F35" s="41">
        <f t="shared" si="5"/>
        <v>-3383.3199999999488</v>
      </c>
      <c r="G35" s="108">
        <f t="shared" si="5"/>
        <v>212129.27000000002</v>
      </c>
      <c r="H35" s="40">
        <f t="shared" si="5"/>
        <v>-122392.25</v>
      </c>
      <c r="I35" s="41">
        <f t="shared" si="5"/>
        <v>-60896.280000000013</v>
      </c>
      <c r="J35" s="61">
        <f t="shared" si="5"/>
        <v>44151.619999999995</v>
      </c>
      <c r="K35" s="123">
        <f t="shared" si="5"/>
        <v>92116.670000000013</v>
      </c>
      <c r="L35" s="41">
        <f t="shared" si="5"/>
        <v>101085.81000000003</v>
      </c>
      <c r="M35" s="49">
        <f t="shared" si="5"/>
        <v>-209804.69</v>
      </c>
    </row>
    <row r="36" spans="1:14" x14ac:dyDescent="0.35">
      <c r="A36" s="46" t="s">
        <v>108</v>
      </c>
      <c r="C36" s="40">
        <f t="shared" ref="C36:M36" si="7">C16-C28</f>
        <v>200180.01</v>
      </c>
      <c r="D36" s="123">
        <f t="shared" ref="D36" si="8">D16-D28</f>
        <v>0</v>
      </c>
      <c r="E36" s="41">
        <f t="shared" si="7"/>
        <v>385009.85999999993</v>
      </c>
      <c r="F36" s="41">
        <f t="shared" si="7"/>
        <v>-164035.43</v>
      </c>
      <c r="G36" s="108">
        <f t="shared" si="7"/>
        <v>162210.55000000005</v>
      </c>
      <c r="H36" s="40">
        <f t="shared" si="7"/>
        <v>-244976.96000000002</v>
      </c>
      <c r="I36" s="41">
        <f t="shared" si="7"/>
        <v>-184186.68000000002</v>
      </c>
      <c r="J36" s="61">
        <f t="shared" si="7"/>
        <v>-112032.49999999997</v>
      </c>
      <c r="K36" s="123">
        <f t="shared" si="7"/>
        <v>-54151.860000000015</v>
      </c>
      <c r="L36" s="41">
        <f t="shared" si="7"/>
        <v>-57697</v>
      </c>
      <c r="M36" s="49">
        <f t="shared" si="7"/>
        <v>-368196.56</v>
      </c>
    </row>
    <row r="37" spans="1:14" x14ac:dyDescent="0.35">
      <c r="A37" s="46" t="s">
        <v>109</v>
      </c>
      <c r="C37" s="40">
        <f t="shared" ref="C37:M37" si="9">C17-C29</f>
        <v>-114239.62</v>
      </c>
      <c r="D37" s="123">
        <f t="shared" ref="D37" si="10">D17-D29</f>
        <v>0</v>
      </c>
      <c r="E37" s="41">
        <f t="shared" si="9"/>
        <v>-156313.60000000001</v>
      </c>
      <c r="F37" s="41">
        <f t="shared" si="9"/>
        <v>-158357.71</v>
      </c>
      <c r="G37" s="108">
        <f t="shared" si="9"/>
        <v>376666.84</v>
      </c>
      <c r="H37" s="40">
        <f t="shared" si="9"/>
        <v>15660.640000000007</v>
      </c>
      <c r="I37" s="41">
        <f t="shared" si="9"/>
        <v>-87328.42</v>
      </c>
      <c r="J37" s="61">
        <f t="shared" si="9"/>
        <v>-7626.8600000000006</v>
      </c>
      <c r="K37" s="123">
        <f t="shared" si="9"/>
        <v>82881.640000000014</v>
      </c>
      <c r="L37" s="41">
        <f t="shared" si="9"/>
        <v>91407.87000000001</v>
      </c>
      <c r="M37" s="49">
        <f t="shared" si="9"/>
        <v>-118095.75</v>
      </c>
    </row>
    <row r="38" spans="1:14" x14ac:dyDescent="0.35">
      <c r="C38" s="99"/>
      <c r="D38" s="149"/>
      <c r="E38" s="31"/>
      <c r="F38" s="31"/>
      <c r="G38" s="31"/>
      <c r="H38" s="28"/>
      <c r="I38" s="31"/>
      <c r="J38" s="11"/>
      <c r="K38" s="17"/>
      <c r="L38" s="17"/>
      <c r="M38" s="11"/>
    </row>
    <row r="39" spans="1:14" ht="15" thickBot="1" x14ac:dyDescent="0.4">
      <c r="A39" s="46" t="s">
        <v>53</v>
      </c>
      <c r="C39" s="104"/>
      <c r="D39" s="278"/>
      <c r="E39" s="31"/>
      <c r="F39" s="31"/>
      <c r="G39" s="31"/>
      <c r="H39" s="28"/>
      <c r="I39" s="31"/>
      <c r="J39" s="11"/>
      <c r="K39" s="17"/>
      <c r="L39" s="17"/>
      <c r="M39" s="11"/>
    </row>
    <row r="40" spans="1:14" x14ac:dyDescent="0.35">
      <c r="A40" s="46" t="s">
        <v>24</v>
      </c>
      <c r="B40" s="116">
        <v>-185811.55000000075</v>
      </c>
      <c r="C40" s="41">
        <f t="shared" ref="C40:M40" si="11">B40+C34+B47</f>
        <v>5878.9399999994785</v>
      </c>
      <c r="D40" s="41">
        <f t="shared" ref="D40:D43" si="12">C40+D34+C47</f>
        <v>821.09999999947831</v>
      </c>
      <c r="E40" s="41">
        <f t="shared" ref="E40:E43" si="13">D40+E34+D47</f>
        <v>90623.909999999538</v>
      </c>
      <c r="F40" s="41">
        <f t="shared" si="11"/>
        <v>663133.42999999947</v>
      </c>
      <c r="G40" s="108">
        <f t="shared" si="11"/>
        <v>84237.499999999534</v>
      </c>
      <c r="H40" s="40">
        <f t="shared" si="11"/>
        <v>-402568.23000000051</v>
      </c>
      <c r="I40" s="41">
        <f t="shared" si="11"/>
        <v>-615313.86000000045</v>
      </c>
      <c r="J40" s="61">
        <f t="shared" si="11"/>
        <v>-613529.90000000049</v>
      </c>
      <c r="K40" s="123">
        <f t="shared" si="11"/>
        <v>-508904.53000000044</v>
      </c>
      <c r="L40" s="41">
        <f t="shared" si="11"/>
        <v>-315111.98000000039</v>
      </c>
      <c r="M40" s="49">
        <f t="shared" si="11"/>
        <v>-1183346.0500000003</v>
      </c>
    </row>
    <row r="41" spans="1:14" x14ac:dyDescent="0.35">
      <c r="A41" s="46" t="s">
        <v>107</v>
      </c>
      <c r="B41" s="244">
        <v>-704001.07000000018</v>
      </c>
      <c r="C41" s="41">
        <f t="shared" ref="C41:M41" si="14">B41+C35+B48</f>
        <v>-671373.02000000014</v>
      </c>
      <c r="D41" s="41">
        <f t="shared" si="12"/>
        <v>-667384.75000000012</v>
      </c>
      <c r="E41" s="41">
        <f t="shared" si="13"/>
        <v>-830803.6100000001</v>
      </c>
      <c r="F41" s="41">
        <f t="shared" si="14"/>
        <v>-837428.1100000001</v>
      </c>
      <c r="G41" s="108">
        <f t="shared" si="14"/>
        <v>-629174.90000000014</v>
      </c>
      <c r="H41" s="40">
        <f t="shared" si="14"/>
        <v>-755073.80000000016</v>
      </c>
      <c r="I41" s="41">
        <f t="shared" si="14"/>
        <v>-819350.9600000002</v>
      </c>
      <c r="J41" s="61">
        <f t="shared" si="14"/>
        <v>-779160.20000000019</v>
      </c>
      <c r="K41" s="123">
        <f t="shared" si="14"/>
        <v>-691189.51000000013</v>
      </c>
      <c r="L41" s="41">
        <f t="shared" si="14"/>
        <v>-593918.57000000007</v>
      </c>
      <c r="M41" s="49">
        <f t="shared" si="14"/>
        <v>-807058.01</v>
      </c>
    </row>
    <row r="42" spans="1:14" x14ac:dyDescent="0.35">
      <c r="A42" s="46" t="s">
        <v>108</v>
      </c>
      <c r="B42" s="244">
        <v>106017.47999999957</v>
      </c>
      <c r="C42" s="41">
        <f t="shared" ref="C42:M42" si="15">B42+C36+B49</f>
        <v>306197.48999999958</v>
      </c>
      <c r="D42" s="41">
        <f t="shared" si="12"/>
        <v>302963.85999999958</v>
      </c>
      <c r="E42" s="41">
        <f t="shared" si="13"/>
        <v>687973.71999999951</v>
      </c>
      <c r="F42" s="41">
        <f t="shared" si="15"/>
        <v>526082.07999999949</v>
      </c>
      <c r="G42" s="108">
        <f t="shared" si="15"/>
        <v>691112.93999999959</v>
      </c>
      <c r="H42" s="40">
        <f t="shared" si="15"/>
        <v>449045.34999999957</v>
      </c>
      <c r="I42" s="41">
        <f t="shared" si="15"/>
        <v>267643.43999999959</v>
      </c>
      <c r="J42" s="61">
        <f t="shared" si="15"/>
        <v>157417.07999999964</v>
      </c>
      <c r="K42" s="123">
        <f t="shared" si="15"/>
        <v>104369.62999999963</v>
      </c>
      <c r="L42" s="41">
        <f t="shared" si="15"/>
        <v>47352.78999999963</v>
      </c>
      <c r="M42" s="49">
        <f t="shared" si="15"/>
        <v>-320449.47000000038</v>
      </c>
    </row>
    <row r="43" spans="1:14" ht="15" thickBot="1" x14ac:dyDescent="0.4">
      <c r="A43" s="46" t="s">
        <v>109</v>
      </c>
      <c r="B43" s="117">
        <v>-705238.12999999942</v>
      </c>
      <c r="C43" s="41">
        <f t="shared" ref="C43:M43" si="16">B43+C37+B50</f>
        <v>-819477.74999999942</v>
      </c>
      <c r="D43" s="41">
        <f t="shared" si="12"/>
        <v>-814321.66999999946</v>
      </c>
      <c r="E43" s="41">
        <f t="shared" si="13"/>
        <v>-970635.26999999944</v>
      </c>
      <c r="F43" s="41">
        <f t="shared" si="16"/>
        <v>-1132854.5599999996</v>
      </c>
      <c r="G43" s="108">
        <f t="shared" si="16"/>
        <v>-761074.55999999947</v>
      </c>
      <c r="H43" s="40">
        <f t="shared" si="16"/>
        <v>-749942.02999999945</v>
      </c>
      <c r="I43" s="41">
        <f t="shared" si="16"/>
        <v>-840962.65999999945</v>
      </c>
      <c r="J43" s="61">
        <f t="shared" si="16"/>
        <v>-852592.52999999945</v>
      </c>
      <c r="K43" s="123">
        <f t="shared" si="16"/>
        <v>-774102.87999999942</v>
      </c>
      <c r="L43" s="41">
        <f t="shared" si="16"/>
        <v>-686915.01999999944</v>
      </c>
      <c r="M43" s="49">
        <f t="shared" si="16"/>
        <v>-808801.68999999948</v>
      </c>
    </row>
    <row r="44" spans="1:14" x14ac:dyDescent="0.35">
      <c r="C44" s="99"/>
      <c r="D44" s="149"/>
      <c r="E44" s="31"/>
      <c r="F44" s="31"/>
      <c r="G44" s="31"/>
      <c r="H44" s="28"/>
      <c r="I44" s="31"/>
      <c r="J44" s="11"/>
      <c r="K44" s="17"/>
      <c r="L44" s="17"/>
      <c r="M44" s="11"/>
    </row>
    <row r="45" spans="1:14" x14ac:dyDescent="0.35">
      <c r="A45" s="39" t="s">
        <v>49</v>
      </c>
      <c r="B45" s="39"/>
      <c r="C45" s="104"/>
      <c r="D45" s="278"/>
      <c r="E45" s="83">
        <f>+'PCR Cycle 2'!D47</f>
        <v>4.3267999999999996E-3</v>
      </c>
      <c r="F45" s="83">
        <f>+'PCR Cycle 2'!E47</f>
        <v>4.6379000000000004E-3</v>
      </c>
      <c r="G45" s="83">
        <f>+'PCR Cycle 2'!F47</f>
        <v>4.7694E-3</v>
      </c>
      <c r="H45" s="84">
        <f>+'PCR Cycle 2'!G47</f>
        <v>4.8724500000000004E-3</v>
      </c>
      <c r="I45" s="83">
        <f>+'PCR Cycle 2'!H47</f>
        <v>5.0207200000000002E-3</v>
      </c>
      <c r="J45" s="92">
        <f>+'PCR Cycle 2'!I47</f>
        <v>5.1744800000000004E-3</v>
      </c>
      <c r="K45" s="83">
        <f>+'PCR Cycle 2'!J47</f>
        <v>5.1744800000000004E-3</v>
      </c>
      <c r="L45" s="83">
        <f>+'PCR Cycle 2'!K47</f>
        <v>5.1744800000000004E-3</v>
      </c>
      <c r="M45" s="92"/>
    </row>
    <row r="46" spans="1:14" x14ac:dyDescent="0.35">
      <c r="A46" s="39" t="s">
        <v>37</v>
      </c>
      <c r="B46" s="39"/>
      <c r="C46" s="99"/>
      <c r="D46" s="149"/>
      <c r="E46" s="31"/>
      <c r="F46" s="31"/>
      <c r="G46" s="31"/>
      <c r="H46" s="28"/>
      <c r="I46" s="31"/>
      <c r="J46" s="11"/>
      <c r="K46" s="17"/>
      <c r="L46" s="17"/>
      <c r="M46" s="11"/>
      <c r="N46" s="71"/>
    </row>
    <row r="47" spans="1:14" x14ac:dyDescent="0.35">
      <c r="A47" s="46" t="s">
        <v>24</v>
      </c>
      <c r="C47" s="40">
        <v>-5057.84</v>
      </c>
      <c r="D47" s="123"/>
      <c r="E47" s="41">
        <f>ROUND((C40+C47+D47+E34/2)*E$45,2)</f>
        <v>197.83</v>
      </c>
      <c r="F47" s="41">
        <f t="shared" ref="F47:L50" si="17">ROUND((E40+E47+F34/2)*F$45,2)</f>
        <v>1748.38</v>
      </c>
      <c r="G47" s="108">
        <f t="shared" si="17"/>
        <v>1786.42</v>
      </c>
      <c r="H47" s="40">
        <f t="shared" si="17"/>
        <v>-771.17</v>
      </c>
      <c r="I47" s="123">
        <f t="shared" si="17"/>
        <v>-2557.19</v>
      </c>
      <c r="J47" s="61">
        <f t="shared" si="17"/>
        <v>-3185.93</v>
      </c>
      <c r="K47" s="123">
        <f t="shared" si="17"/>
        <v>-2912.25</v>
      </c>
      <c r="L47" s="123">
        <f t="shared" si="17"/>
        <v>-2139.46</v>
      </c>
      <c r="M47" s="49"/>
    </row>
    <row r="48" spans="1:14" x14ac:dyDescent="0.35">
      <c r="A48" s="46" t="s">
        <v>107</v>
      </c>
      <c r="C48" s="245">
        <v>3988.2700000000004</v>
      </c>
      <c r="D48" s="279"/>
      <c r="E48" s="41">
        <f t="shared" ref="E48:E50" si="18">ROUND((C41+C48+D48+E35/2)*E$45,2)</f>
        <v>-3241.18</v>
      </c>
      <c r="F48" s="41">
        <f t="shared" si="17"/>
        <v>-3876.06</v>
      </c>
      <c r="G48" s="108">
        <f t="shared" si="17"/>
        <v>-3506.65</v>
      </c>
      <c r="H48" s="40">
        <f t="shared" si="17"/>
        <v>-3380.88</v>
      </c>
      <c r="I48" s="123">
        <f t="shared" si="17"/>
        <v>-3960.86</v>
      </c>
      <c r="J48" s="61">
        <f t="shared" si="17"/>
        <v>-4145.9799999999996</v>
      </c>
      <c r="K48" s="123">
        <f t="shared" si="17"/>
        <v>-3814.87</v>
      </c>
      <c r="L48" s="123">
        <f t="shared" si="17"/>
        <v>-3334.75</v>
      </c>
      <c r="M48" s="49"/>
    </row>
    <row r="49" spans="1:13" x14ac:dyDescent="0.35">
      <c r="A49" s="46" t="s">
        <v>108</v>
      </c>
      <c r="C49" s="245">
        <v>-3233.63</v>
      </c>
      <c r="D49" s="279"/>
      <c r="E49" s="41">
        <f t="shared" si="18"/>
        <v>2143.79</v>
      </c>
      <c r="F49" s="41">
        <f t="shared" si="17"/>
        <v>2820.31</v>
      </c>
      <c r="G49" s="108">
        <f t="shared" si="17"/>
        <v>2909.37</v>
      </c>
      <c r="H49" s="40">
        <f t="shared" si="17"/>
        <v>2784.77</v>
      </c>
      <c r="I49" s="123">
        <f t="shared" si="17"/>
        <v>1806.14</v>
      </c>
      <c r="J49" s="61">
        <f t="shared" si="17"/>
        <v>1104.4100000000001</v>
      </c>
      <c r="K49" s="123">
        <f t="shared" si="17"/>
        <v>680.16</v>
      </c>
      <c r="L49" s="123">
        <f t="shared" si="17"/>
        <v>394.3</v>
      </c>
      <c r="M49" s="49"/>
    </row>
    <row r="50" spans="1:13" ht="15" thickBot="1" x14ac:dyDescent="0.4">
      <c r="A50" s="46" t="s">
        <v>109</v>
      </c>
      <c r="C50" s="114">
        <v>5156.08</v>
      </c>
      <c r="D50" s="279"/>
      <c r="E50" s="41">
        <f t="shared" si="18"/>
        <v>-3861.58</v>
      </c>
      <c r="F50" s="41">
        <f t="shared" si="17"/>
        <v>-4886.84</v>
      </c>
      <c r="G50" s="108">
        <f t="shared" si="17"/>
        <v>-4528.1099999999997</v>
      </c>
      <c r="H50" s="40">
        <f t="shared" si="17"/>
        <v>-3692.21</v>
      </c>
      <c r="I50" s="123">
        <f t="shared" si="17"/>
        <v>-4003.01</v>
      </c>
      <c r="J50" s="61">
        <f t="shared" si="17"/>
        <v>-4391.99</v>
      </c>
      <c r="K50" s="123">
        <f t="shared" si="17"/>
        <v>-4220.01</v>
      </c>
      <c r="L50" s="123">
        <f t="shared" si="17"/>
        <v>-3790.92</v>
      </c>
      <c r="M50" s="49"/>
    </row>
    <row r="51" spans="1:13" ht="15.5" thickTop="1" thickBot="1" x14ac:dyDescent="0.4">
      <c r="A51" s="54" t="s">
        <v>22</v>
      </c>
      <c r="B51" s="54"/>
      <c r="C51" s="115">
        <v>0</v>
      </c>
      <c r="D51" s="280"/>
      <c r="E51" s="32">
        <f t="shared" ref="E51:M51" si="19">SUM(E47:E50)+SUM(E40:E43)-E54</f>
        <v>0</v>
      </c>
      <c r="F51" s="32">
        <f t="shared" si="19"/>
        <v>0</v>
      </c>
      <c r="G51" s="50">
        <f t="shared" si="19"/>
        <v>0</v>
      </c>
      <c r="H51" s="124">
        <f t="shared" si="19"/>
        <v>0</v>
      </c>
      <c r="I51" s="32">
        <f t="shared" si="19"/>
        <v>0</v>
      </c>
      <c r="J51" s="62">
        <f t="shared" si="19"/>
        <v>0</v>
      </c>
      <c r="K51" s="163">
        <f t="shared" si="19"/>
        <v>0</v>
      </c>
      <c r="L51" s="32">
        <f t="shared" si="19"/>
        <v>0</v>
      </c>
      <c r="M51" s="96">
        <f t="shared" si="19"/>
        <v>0</v>
      </c>
    </row>
    <row r="52" spans="1:13" ht="15.5" thickTop="1" thickBot="1" x14ac:dyDescent="0.4">
      <c r="A52" s="54" t="s">
        <v>23</v>
      </c>
      <c r="B52" s="54"/>
      <c r="C52" s="107">
        <v>0</v>
      </c>
      <c r="D52" s="281"/>
      <c r="E52" s="32">
        <f t="shared" ref="E52:M52" si="20">SUM(E47:E50)-E31</f>
        <v>0</v>
      </c>
      <c r="F52" s="32">
        <f t="shared" si="20"/>
        <v>1.0000000000218279E-2</v>
      </c>
      <c r="G52" s="50">
        <f t="shared" si="20"/>
        <v>0</v>
      </c>
      <c r="H52" s="51">
        <f t="shared" si="20"/>
        <v>0</v>
      </c>
      <c r="I52" s="32">
        <f t="shared" si="20"/>
        <v>0</v>
      </c>
      <c r="J52" s="62">
        <f t="shared" si="20"/>
        <v>-1.0000000000218279E-2</v>
      </c>
      <c r="K52" s="163">
        <f t="shared" si="20"/>
        <v>0</v>
      </c>
      <c r="L52" s="32">
        <f t="shared" si="20"/>
        <v>0</v>
      </c>
      <c r="M52" s="96">
        <f t="shared" si="20"/>
        <v>0</v>
      </c>
    </row>
    <row r="53" spans="1:13" ht="15.5" thickTop="1" thickBot="1" x14ac:dyDescent="0.4">
      <c r="C53" s="99"/>
      <c r="D53" s="149"/>
      <c r="E53" s="17"/>
      <c r="F53" s="17"/>
      <c r="G53" s="17"/>
      <c r="H53" s="10"/>
      <c r="I53" s="17"/>
      <c r="J53" s="11"/>
      <c r="K53" s="17"/>
      <c r="L53" s="17"/>
      <c r="M53" s="11"/>
    </row>
    <row r="54" spans="1:13" ht="15" thickBot="1" x14ac:dyDescent="0.4">
      <c r="A54" s="46" t="s">
        <v>36</v>
      </c>
      <c r="B54" s="119">
        <f>SUM(B40:B43)</f>
        <v>-1489033.2700000007</v>
      </c>
      <c r="C54" s="40">
        <f t="shared" ref="C54:M54" si="21">(SUM(C14:C17)-SUM(C26:C29))+SUM(C47:C50)+B54</f>
        <v>-1177921.46</v>
      </c>
      <c r="D54" s="123"/>
      <c r="E54" s="41">
        <f>(SUM(E14:E17)-SUM(E26:E29))+SUM(E47:E50)+C54</f>
        <v>-1027602.3900000002</v>
      </c>
      <c r="F54" s="41">
        <f t="shared" si="21"/>
        <v>-785261.37000000046</v>
      </c>
      <c r="G54" s="108">
        <f t="shared" si="21"/>
        <v>-618237.99000000034</v>
      </c>
      <c r="H54" s="40">
        <f t="shared" si="21"/>
        <v>-1463598.2000000007</v>
      </c>
      <c r="I54" s="41">
        <f t="shared" si="21"/>
        <v>-2016698.9600000004</v>
      </c>
      <c r="J54" s="61">
        <f t="shared" si="21"/>
        <v>-2098485.040000001</v>
      </c>
      <c r="K54" s="123">
        <f t="shared" si="21"/>
        <v>-1880094.2600000009</v>
      </c>
      <c r="L54" s="41">
        <f t="shared" si="21"/>
        <v>-1557463.6100000008</v>
      </c>
      <c r="M54" s="61">
        <f t="shared" si="21"/>
        <v>-3119655.2200000007</v>
      </c>
    </row>
    <row r="55" spans="1:13" x14ac:dyDescent="0.35">
      <c r="A55" s="46" t="s">
        <v>12</v>
      </c>
      <c r="C55" s="120"/>
      <c r="D55" s="17"/>
      <c r="E55" s="56"/>
      <c r="F55" s="56"/>
      <c r="G55" s="56"/>
      <c r="H55" s="12"/>
      <c r="I55" s="56"/>
      <c r="J55" s="11"/>
      <c r="K55" s="17"/>
      <c r="L55" s="17"/>
      <c r="M55" s="11"/>
    </row>
    <row r="56" spans="1:13" ht="15" thickBot="1" x14ac:dyDescent="0.4">
      <c r="B56" s="17"/>
      <c r="C56" s="43"/>
      <c r="D56" s="44"/>
      <c r="E56" s="44"/>
      <c r="F56" s="44"/>
      <c r="G56" s="44"/>
      <c r="H56" s="43"/>
      <c r="I56" s="44"/>
      <c r="J56" s="45"/>
      <c r="K56" s="44"/>
      <c r="L56" s="44"/>
      <c r="M56" s="45"/>
    </row>
    <row r="58" spans="1:13" x14ac:dyDescent="0.35">
      <c r="A58" s="69" t="s">
        <v>11</v>
      </c>
      <c r="B58" s="69"/>
      <c r="C58" s="69"/>
      <c r="D58" s="69"/>
    </row>
    <row r="59" spans="1:13" ht="63" customHeight="1" x14ac:dyDescent="0.35">
      <c r="A59" s="323" t="s">
        <v>277</v>
      </c>
      <c r="B59" s="323"/>
      <c r="C59" s="323"/>
      <c r="D59" s="323"/>
      <c r="E59" s="323"/>
      <c r="F59" s="323"/>
      <c r="G59" s="323"/>
      <c r="H59" s="323"/>
      <c r="I59" s="323"/>
      <c r="J59" s="323"/>
      <c r="K59" s="233"/>
      <c r="L59" s="233"/>
      <c r="M59" s="233"/>
    </row>
    <row r="60" spans="1:13" ht="64.5" customHeight="1" x14ac:dyDescent="0.35">
      <c r="A60" s="330" t="s">
        <v>278</v>
      </c>
      <c r="B60" s="330"/>
      <c r="C60" s="330"/>
      <c r="D60" s="330"/>
      <c r="E60" s="330"/>
      <c r="F60" s="330"/>
      <c r="G60" s="330"/>
      <c r="H60" s="330"/>
      <c r="I60" s="330"/>
      <c r="J60" s="330"/>
      <c r="K60" s="233"/>
      <c r="L60" s="233"/>
      <c r="M60" s="233"/>
    </row>
    <row r="61" spans="1:13" ht="59.5" customHeight="1" x14ac:dyDescent="0.35">
      <c r="A61" s="323" t="s">
        <v>279</v>
      </c>
      <c r="B61" s="323"/>
      <c r="C61" s="323"/>
      <c r="D61" s="323"/>
      <c r="E61" s="323"/>
      <c r="F61" s="323"/>
      <c r="G61" s="323"/>
      <c r="H61" s="323"/>
      <c r="I61" s="323"/>
      <c r="J61" s="323"/>
      <c r="K61" s="233"/>
      <c r="L61" s="233"/>
      <c r="M61" s="233"/>
    </row>
    <row r="62" spans="1:13" x14ac:dyDescent="0.35">
      <c r="A62" s="3" t="s">
        <v>31</v>
      </c>
      <c r="B62" s="3"/>
      <c r="C62" s="3"/>
      <c r="D62" s="3"/>
      <c r="J62" s="4"/>
    </row>
    <row r="63" spans="1:13" x14ac:dyDescent="0.35">
      <c r="A63" s="63" t="s">
        <v>191</v>
      </c>
      <c r="B63" s="3"/>
      <c r="C63" s="3"/>
      <c r="D63" s="3"/>
      <c r="J63" s="4"/>
    </row>
    <row r="64" spans="1:13" x14ac:dyDescent="0.35">
      <c r="A64" s="3" t="s">
        <v>51</v>
      </c>
      <c r="B64" s="3"/>
      <c r="C64" s="3"/>
      <c r="D64" s="3"/>
      <c r="J64" s="4"/>
    </row>
    <row r="65" spans="1:14" x14ac:dyDescent="0.35">
      <c r="A65" s="3"/>
    </row>
    <row r="66" spans="1:14" ht="36" customHeight="1" x14ac:dyDescent="0.35">
      <c r="A66" s="329"/>
      <c r="B66" s="329"/>
      <c r="C66" s="329"/>
      <c r="D66" s="329"/>
      <c r="E66" s="329"/>
      <c r="F66" s="329"/>
      <c r="G66" s="329"/>
    </row>
    <row r="74" spans="1:14" x14ac:dyDescent="0.35">
      <c r="N74" s="8"/>
    </row>
  </sheetData>
  <mergeCells count="7">
    <mergeCell ref="A66:G66"/>
    <mergeCell ref="A61:J61"/>
    <mergeCell ref="E10:G10"/>
    <mergeCell ref="H10:J10"/>
    <mergeCell ref="K10:M10"/>
    <mergeCell ref="A59:J59"/>
    <mergeCell ref="A60:J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A16" sqref="A16:M16"/>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Missouri West, Inc. - DSIM Rider Update Filed 06/01/2023</v>
      </c>
    </row>
    <row r="2" spans="1:23" x14ac:dyDescent="0.35">
      <c r="A2" s="9" t="str">
        <f>+'PPC Cycle 3'!A2</f>
        <v>Projections for Cycle 3 July 2023 - June 2024 DSIM</v>
      </c>
    </row>
    <row r="3" spans="1:23" s="46" customFormat="1" x14ac:dyDescent="0.35">
      <c r="A3" s="9"/>
    </row>
    <row r="4" spans="1:23" ht="40.5" customHeight="1" x14ac:dyDescent="0.35">
      <c r="B4" s="319" t="s">
        <v>64</v>
      </c>
      <c r="C4" s="319"/>
    </row>
    <row r="5" spans="1:23" ht="29" x14ac:dyDescent="0.35">
      <c r="B5" s="150" t="s">
        <v>65</v>
      </c>
      <c r="C5" s="6" t="s">
        <v>29</v>
      </c>
    </row>
    <row r="6" spans="1:23" x14ac:dyDescent="0.35">
      <c r="A6" s="20" t="s">
        <v>24</v>
      </c>
      <c r="B6" s="23">
        <f>SUM(0)</f>
        <v>0</v>
      </c>
      <c r="C6" s="86">
        <f>SUM(0)</f>
        <v>0</v>
      </c>
    </row>
    <row r="7" spans="1:23" x14ac:dyDescent="0.35">
      <c r="A7" s="30" t="s">
        <v>25</v>
      </c>
      <c r="B7" s="23">
        <f>+B13</f>
        <v>0</v>
      </c>
      <c r="C7" s="86">
        <f>+C13</f>
        <v>0</v>
      </c>
    </row>
    <row r="8" spans="1:23" x14ac:dyDescent="0.35">
      <c r="A8" s="20" t="s">
        <v>5</v>
      </c>
      <c r="B8" s="24">
        <f>SUM(B6:B7)</f>
        <v>0</v>
      </c>
      <c r="C8" s="22">
        <f>SUM(C6:C7)</f>
        <v>0</v>
      </c>
    </row>
    <row r="9" spans="1:23" s="46" customFormat="1" x14ac:dyDescent="0.35">
      <c r="A9" s="20"/>
    </row>
    <row r="10" spans="1:23" s="46" customFormat="1" x14ac:dyDescent="0.35">
      <c r="A10" s="20" t="s">
        <v>107</v>
      </c>
      <c r="B10" s="23">
        <f>SUM(0)</f>
        <v>0</v>
      </c>
      <c r="C10" s="86">
        <f>SUM(0)</f>
        <v>0</v>
      </c>
    </row>
    <row r="11" spans="1:23" s="46" customFormat="1" x14ac:dyDescent="0.35">
      <c r="A11" s="20" t="s">
        <v>108</v>
      </c>
      <c r="B11" s="23">
        <f t="shared" ref="B11:C12" si="0">SUM(0)</f>
        <v>0</v>
      </c>
      <c r="C11" s="86">
        <f t="shared" si="0"/>
        <v>0</v>
      </c>
    </row>
    <row r="12" spans="1:23" s="46" customFormat="1" x14ac:dyDescent="0.35">
      <c r="A12" s="20" t="s">
        <v>109</v>
      </c>
      <c r="B12" s="23">
        <f t="shared" si="0"/>
        <v>0</v>
      </c>
      <c r="C12" s="86">
        <f t="shared" si="0"/>
        <v>0</v>
      </c>
    </row>
    <row r="13" spans="1:23" x14ac:dyDescent="0.35">
      <c r="A13" s="30" t="s">
        <v>111</v>
      </c>
      <c r="B13" s="24">
        <f>SUM(B10:B12)</f>
        <v>0</v>
      </c>
      <c r="C13" s="22">
        <f>SUM(C10:C12)</f>
        <v>0</v>
      </c>
    </row>
    <row r="14" spans="1:23" x14ac:dyDescent="0.35">
      <c r="A14" s="46"/>
      <c r="B14" s="46"/>
      <c r="C14" s="46"/>
    </row>
    <row r="15" spans="1:23" x14ac:dyDescent="0.35">
      <c r="A15" s="69" t="s">
        <v>30</v>
      </c>
      <c r="B15" s="20"/>
      <c r="C15" s="21"/>
      <c r="N15" s="1"/>
      <c r="O15" s="1"/>
      <c r="P15" s="1"/>
      <c r="Q15" s="1"/>
      <c r="R15" s="1"/>
      <c r="S15" s="1"/>
      <c r="T15" s="1"/>
      <c r="U15" s="1"/>
      <c r="V15" s="1"/>
      <c r="W15" s="1"/>
    </row>
    <row r="16" spans="1:23" s="39" customFormat="1" ht="14.5" customHeight="1" x14ac:dyDescent="0.35">
      <c r="A16" s="329" t="s">
        <v>280</v>
      </c>
      <c r="B16" s="329"/>
      <c r="C16" s="329"/>
      <c r="D16" s="329"/>
      <c r="E16" s="329"/>
      <c r="F16" s="329"/>
      <c r="G16" s="329"/>
      <c r="H16" s="329"/>
      <c r="I16" s="329"/>
      <c r="J16" s="329"/>
      <c r="K16" s="329"/>
      <c r="L16" s="329"/>
      <c r="M16" s="329"/>
    </row>
    <row r="17" spans="1:13" s="39" customFormat="1" x14ac:dyDescent="0.35">
      <c r="A17" s="331" t="s">
        <v>177</v>
      </c>
      <c r="B17" s="331"/>
      <c r="C17" s="331"/>
      <c r="D17" s="331"/>
      <c r="E17" s="331"/>
      <c r="F17" s="331"/>
      <c r="G17" s="331"/>
      <c r="H17" s="331"/>
      <c r="I17" s="331"/>
      <c r="J17" s="331"/>
      <c r="K17" s="331"/>
      <c r="L17" s="331"/>
      <c r="M17" s="331"/>
    </row>
    <row r="29" spans="1:13" x14ac:dyDescent="0.35">
      <c r="E29" s="270"/>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topLeftCell="A4" workbookViewId="0">
      <selection activeCell="G13" sqref="G13"/>
    </sheetView>
  </sheetViews>
  <sheetFormatPr defaultColWidth="9.1796875" defaultRowHeight="14.5" x14ac:dyDescent="0.35"/>
  <cols>
    <col min="1" max="1" width="24.7265625" style="46" customWidth="1"/>
    <col min="2" max="2" width="16.1796875" style="46" customWidth="1"/>
    <col min="3" max="3" width="15.1796875" style="46" customWidth="1"/>
    <col min="4" max="4" width="11.54296875" style="46" bestFit="1" customWidth="1"/>
    <col min="5" max="5" width="10.54296875" style="46" bestFit="1" customWidth="1"/>
    <col min="6" max="16384" width="9.1796875" style="46"/>
  </cols>
  <sheetData>
    <row r="1" spans="1:23" x14ac:dyDescent="0.35">
      <c r="A1" s="3" t="str">
        <f>+'PPC Cycle 3'!A1</f>
        <v>Evergy Missouri West, Inc. - DSIM Rider Update Filed 06/01/2023</v>
      </c>
    </row>
    <row r="2" spans="1:23" x14ac:dyDescent="0.35">
      <c r="A2" s="9" t="str">
        <f>+'PPC Cycle 3'!A2</f>
        <v>Projections for Cycle 3 July 2023 - June 2024 DSIM</v>
      </c>
    </row>
    <row r="3" spans="1:23" x14ac:dyDescent="0.35">
      <c r="A3" s="9"/>
    </row>
    <row r="4" spans="1:23" ht="40.5" customHeight="1" x14ac:dyDescent="0.35">
      <c r="B4" s="319" t="s">
        <v>113</v>
      </c>
      <c r="C4" s="319"/>
    </row>
    <row r="5" spans="1:23" ht="58" x14ac:dyDescent="0.35">
      <c r="B5" s="150" t="s">
        <v>65</v>
      </c>
      <c r="C5" s="48" t="s">
        <v>29</v>
      </c>
      <c r="D5" s="293" t="str">
        <f>+'PPC Cycle 3'!D4</f>
        <v>3. Cycle 3 Forecast - July 2023 - June 2024</v>
      </c>
      <c r="E5" s="293" t="str">
        <f>+'PPC Cycle 3'!E4</f>
        <v>4. Cycle 3 Extension - July 2023 - June 2024</v>
      </c>
    </row>
    <row r="6" spans="1:23" x14ac:dyDescent="0.35">
      <c r="A6" s="20" t="s">
        <v>24</v>
      </c>
      <c r="B6" s="23">
        <f>SUM('[2]Monthly TD Calc'!AU462:BF462)+SUM('[2]Monthly TD Calc Ext'!AU462:BF462)</f>
        <v>36878498.828860864</v>
      </c>
      <c r="C6" s="86">
        <f>SUM(D6:E6)</f>
        <v>1682904.72</v>
      </c>
      <c r="D6" s="230">
        <f>ROUND(SUM('[2]Monthly TD Calc'!AU564:BF564),2)</f>
        <v>1019148.62</v>
      </c>
      <c r="E6" s="230">
        <f>SUM('[2]Monthly TD Calc Ext'!AU564:BF564)</f>
        <v>663756.1</v>
      </c>
    </row>
    <row r="7" spans="1:23" x14ac:dyDescent="0.35">
      <c r="A7" s="20" t="s">
        <v>107</v>
      </c>
      <c r="B7" s="23">
        <f>SUM('[2]Monthly TD Calc'!AU463:BF463)+SUM('[2]Monthly TD Calc Ext'!AU463:BF463)</f>
        <v>13774263.198242133</v>
      </c>
      <c r="C7" s="86">
        <f t="shared" ref="C7:C9" si="0">SUM(D7:E7)</f>
        <v>534110.43000000005</v>
      </c>
      <c r="D7" s="230">
        <f>ROUND(SUM('[2]Monthly TD Calc'!AU565:BF565),2)</f>
        <v>285828.64</v>
      </c>
      <c r="E7" s="230">
        <f>SUM('[2]Monthly TD Calc Ext'!AU565:BF565)</f>
        <v>248281.79</v>
      </c>
    </row>
    <row r="8" spans="1:23" x14ac:dyDescent="0.35">
      <c r="A8" s="20" t="s">
        <v>108</v>
      </c>
      <c r="B8" s="23">
        <f>SUM('[2]Monthly TD Calc'!AU465:BF465)+SUM('[2]Monthly TD Calc Ext'!AU465:BF465)</f>
        <v>23504479.200703859</v>
      </c>
      <c r="C8" s="86">
        <f t="shared" si="0"/>
        <v>474610.89</v>
      </c>
      <c r="D8" s="230">
        <f>ROUND(SUM('[2]Monthly TD Calc'!AU567:BF567),2)</f>
        <v>344540.38</v>
      </c>
      <c r="E8" s="230">
        <f>SUM('[2]Monthly TD Calc Ext'!AU567:BF567)</f>
        <v>130070.51</v>
      </c>
    </row>
    <row r="9" spans="1:23" x14ac:dyDescent="0.35">
      <c r="A9" s="20" t="s">
        <v>109</v>
      </c>
      <c r="B9" s="23">
        <f>SUM('[2]Monthly TD Calc'!AU466:BF466)+SUM('[2]Monthly TD Calc Ext'!AU466:BF466)</f>
        <v>8448474.0355294961</v>
      </c>
      <c r="C9" s="86">
        <f t="shared" si="0"/>
        <v>42940.789999999994</v>
      </c>
      <c r="D9" s="230">
        <f>ROUND(SUM('[2]Monthly TD Calc'!AU568:BF568),2)</f>
        <v>19661.38</v>
      </c>
      <c r="E9" s="230">
        <f>SUM('[2]Monthly TD Calc Ext'!AU568:BF568)</f>
        <v>23279.409999999996</v>
      </c>
    </row>
    <row r="10" spans="1:23" x14ac:dyDescent="0.35">
      <c r="A10" s="30" t="s">
        <v>5</v>
      </c>
      <c r="B10" s="24">
        <f>SUM(B6:B9)</f>
        <v>82605715.26333636</v>
      </c>
      <c r="C10" s="24">
        <f>SUM(C6:C9)</f>
        <v>2734566.83</v>
      </c>
      <c r="D10" s="24">
        <f t="shared" ref="D10:E10" si="1">SUM(D6:D9)</f>
        <v>1669179.02</v>
      </c>
      <c r="E10" s="24">
        <f t="shared" si="1"/>
        <v>1065387.81</v>
      </c>
    </row>
    <row r="12" spans="1:23" x14ac:dyDescent="0.35">
      <c r="A12" s="69" t="s">
        <v>30</v>
      </c>
      <c r="B12" s="20"/>
      <c r="C12" s="21"/>
      <c r="N12" s="1"/>
      <c r="O12" s="1"/>
      <c r="P12" s="1"/>
      <c r="Q12" s="1"/>
      <c r="R12" s="1"/>
      <c r="S12" s="1"/>
      <c r="T12" s="1"/>
      <c r="U12" s="1"/>
      <c r="V12" s="1"/>
      <c r="W12" s="1"/>
    </row>
    <row r="13" spans="1:23" s="39" customFormat="1" ht="49.5" customHeight="1" x14ac:dyDescent="0.35">
      <c r="A13" s="318" t="s">
        <v>281</v>
      </c>
      <c r="B13" s="318"/>
      <c r="C13" s="318"/>
      <c r="D13" s="318"/>
      <c r="E13" s="318"/>
      <c r="F13" s="297"/>
      <c r="G13" s="297"/>
      <c r="H13" s="297"/>
      <c r="I13" s="297"/>
      <c r="J13" s="297"/>
      <c r="K13" s="297"/>
      <c r="L13" s="297"/>
      <c r="M13" s="297"/>
    </row>
    <row r="14" spans="1:23" s="39" customFormat="1" x14ac:dyDescent="0.35">
      <c r="A14" s="332" t="s">
        <v>169</v>
      </c>
      <c r="B14" s="332"/>
      <c r="C14" s="332"/>
      <c r="D14" s="332"/>
      <c r="E14" s="332"/>
      <c r="F14" s="298"/>
      <c r="G14" s="298"/>
      <c r="H14" s="298"/>
      <c r="I14" s="298"/>
      <c r="J14" s="298"/>
      <c r="K14" s="298"/>
      <c r="L14" s="298"/>
      <c r="M14" s="298"/>
    </row>
    <row r="15" spans="1:23" ht="34.5" customHeight="1" x14ac:dyDescent="0.35">
      <c r="A15" s="329" t="s">
        <v>194</v>
      </c>
      <c r="B15" s="329"/>
      <c r="C15" s="329"/>
      <c r="D15" s="329"/>
      <c r="E15" s="329"/>
      <c r="F15" s="298"/>
      <c r="G15" s="298"/>
      <c r="H15" s="298"/>
      <c r="I15" s="298"/>
      <c r="J15" s="298"/>
      <c r="K15" s="298"/>
      <c r="L15" s="298"/>
      <c r="M15" s="298"/>
    </row>
    <row r="16" spans="1:23" ht="30" customHeight="1" x14ac:dyDescent="0.35">
      <c r="A16" s="329" t="s">
        <v>195</v>
      </c>
      <c r="B16" s="329"/>
      <c r="C16" s="329"/>
      <c r="D16" s="329"/>
      <c r="E16" s="329"/>
      <c r="F16" s="298"/>
      <c r="G16" s="298"/>
      <c r="H16" s="298"/>
      <c r="I16" s="298"/>
      <c r="J16" s="298"/>
      <c r="K16" s="298"/>
      <c r="L16" s="298"/>
      <c r="M16" s="298"/>
    </row>
    <row r="29" spans="5:5" x14ac:dyDescent="0.35">
      <c r="E29" s="270"/>
    </row>
    <row r="34" spans="2:3" x14ac:dyDescent="0.35">
      <c r="B34" s="8"/>
      <c r="C34" s="8"/>
    </row>
    <row r="38" spans="2:3" x14ac:dyDescent="0.35">
      <c r="B38" s="8"/>
      <c r="C38" s="8"/>
    </row>
  </sheetData>
  <mergeCells count="5">
    <mergeCell ref="B4:C4"/>
    <mergeCell ref="A13:E13"/>
    <mergeCell ref="A14:E14"/>
    <mergeCell ref="A15:E15"/>
    <mergeCell ref="A16:E16"/>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B36"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06/01/2023</v>
      </c>
      <c r="B1" s="3"/>
      <c r="C1" s="3"/>
      <c r="D1" s="3"/>
    </row>
    <row r="2" spans="1:35" x14ac:dyDescent="0.35">
      <c r="E2" s="3" t="s">
        <v>61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SUM(C18:M18)</f>
        <v>343061.73589840007</v>
      </c>
      <c r="F4" s="136">
        <f>N24</f>
        <v>3799541.9440570329</v>
      </c>
      <c r="G4" s="22">
        <f>SUM(C30:L30)</f>
        <v>164387.18</v>
      </c>
      <c r="H4" s="22">
        <f>G4-E4</f>
        <v>-178674.55589840008</v>
      </c>
      <c r="I4" s="22">
        <f>+B42</f>
        <v>721605.92589839979</v>
      </c>
      <c r="J4" s="22">
        <f>SUM(C47:L47)</f>
        <v>25238.37</v>
      </c>
      <c r="K4" s="25">
        <f>SUM(H4:J4)</f>
        <v>568169.73999999964</v>
      </c>
      <c r="L4" s="47">
        <f>+K4-M42</f>
        <v>0</v>
      </c>
    </row>
    <row r="5" spans="1:35" ht="15" thickBot="1" x14ac:dyDescent="0.4">
      <c r="A5" s="20" t="s">
        <v>25</v>
      </c>
      <c r="B5" s="20"/>
      <c r="C5" s="20"/>
      <c r="D5" s="20"/>
      <c r="E5" s="22">
        <f>SUM(C19:M21)</f>
        <v>317024.49968000007</v>
      </c>
      <c r="F5" s="136">
        <f>SUM(N25:N27)</f>
        <v>5439338.7885521594</v>
      </c>
      <c r="G5" s="22">
        <f>SUM(C31:L33)</f>
        <v>153575.47</v>
      </c>
      <c r="H5" s="22">
        <f>G5-E5</f>
        <v>-163449.02968000007</v>
      </c>
      <c r="I5" s="22">
        <f>+B43</f>
        <v>571217.26395000028</v>
      </c>
      <c r="J5" s="22">
        <f>SUM(C48:L48)</f>
        <v>19722.440000000002</v>
      </c>
      <c r="K5" s="25">
        <f>SUM(H5:J5)</f>
        <v>427490.67427000025</v>
      </c>
      <c r="L5" s="47">
        <f>+K5-M43</f>
        <v>0</v>
      </c>
    </row>
    <row r="6" spans="1:35" ht="15.5" thickTop="1" thickBot="1" x14ac:dyDescent="0.4">
      <c r="E6" s="27">
        <f t="shared" ref="E6" si="0">SUM(E4:E5)</f>
        <v>660086.23557840008</v>
      </c>
      <c r="F6" s="137">
        <f t="shared" ref="F6:I6" si="1">SUM(F4:F5)</f>
        <v>9238880.7326091919</v>
      </c>
      <c r="G6" s="27">
        <f t="shared" si="1"/>
        <v>317962.65000000002</v>
      </c>
      <c r="H6" s="27">
        <f t="shared" si="1"/>
        <v>-342123.58557840018</v>
      </c>
      <c r="I6" s="27">
        <f t="shared" si="1"/>
        <v>1292823.1898484002</v>
      </c>
      <c r="J6" s="27">
        <f>SUM(J4:J5)</f>
        <v>44960.81</v>
      </c>
      <c r="K6" s="27">
        <f>SUM(K4:K5)</f>
        <v>995660.41426999983</v>
      </c>
      <c r="T6" s="5"/>
    </row>
    <row r="7" spans="1:35" ht="44" thickTop="1" x14ac:dyDescent="0.35">
      <c r="K7" s="227"/>
      <c r="L7" s="226" t="s">
        <v>124</v>
      </c>
    </row>
    <row r="8" spans="1:35" x14ac:dyDescent="0.35">
      <c r="A8" s="20" t="s">
        <v>107</v>
      </c>
      <c r="K8" s="25">
        <f>ROUND($K$5*L8,2)</f>
        <v>167616.04999999999</v>
      </c>
      <c r="L8" s="224">
        <f>+'PCR Cycle 2'!K8</f>
        <v>0.39209287804949344</v>
      </c>
    </row>
    <row r="9" spans="1:35" x14ac:dyDescent="0.35">
      <c r="A9" s="20" t="s">
        <v>108</v>
      </c>
      <c r="K9" s="25">
        <f t="shared" ref="K9:K10" si="2">ROUND($K$5*L9,2)</f>
        <v>194234.27</v>
      </c>
      <c r="L9" s="224">
        <f>+'PCR Cycle 2'!K9</f>
        <v>0.45435908608374953</v>
      </c>
    </row>
    <row r="10" spans="1:35" ht="15" thickBot="1" x14ac:dyDescent="0.4">
      <c r="A10" s="20" t="s">
        <v>109</v>
      </c>
      <c r="J10" s="4"/>
      <c r="K10" s="25">
        <f t="shared" si="2"/>
        <v>65640.350000000006</v>
      </c>
      <c r="L10" s="224">
        <f>+'PCR Cycle 2'!K10</f>
        <v>0.15354803586675725</v>
      </c>
      <c r="V10" s="4"/>
    </row>
    <row r="11" spans="1:35" ht="15.5" thickTop="1" thickBot="1" x14ac:dyDescent="0.4">
      <c r="A11" s="20" t="s">
        <v>111</v>
      </c>
      <c r="K11" s="27">
        <f>SUM(K8:K10)</f>
        <v>427490.66999999993</v>
      </c>
      <c r="L11" s="225">
        <f>SUM(L8:L10)</f>
        <v>1.0000000000000002</v>
      </c>
      <c r="V11" s="4"/>
      <c r="W11" s="5"/>
    </row>
    <row r="12" spans="1:35" ht="15.5" thickTop="1" thickBot="1" x14ac:dyDescent="0.4">
      <c r="V12" s="4"/>
      <c r="W12" s="5"/>
    </row>
    <row r="13" spans="1:35" ht="116.5" thickBot="1" x14ac:dyDescent="0.4">
      <c r="B13" s="118" t="str">
        <f>+'PCR Cycle 2'!B13</f>
        <v>Cumulative Over/Under Carryover From 12/01/2022 Filing</v>
      </c>
      <c r="C13" s="151" t="str">
        <f>+'PCR Cycle 2'!C13:F13</f>
        <v>Reverse November 2022 - January 2023 Forecast From 12/01/2022 Filing</v>
      </c>
      <c r="D13" s="211"/>
      <c r="E13" s="324" t="s">
        <v>33</v>
      </c>
      <c r="F13" s="324"/>
      <c r="G13" s="325"/>
      <c r="H13" s="333" t="s">
        <v>33</v>
      </c>
      <c r="I13" s="334"/>
      <c r="J13" s="335"/>
      <c r="K13" s="320" t="s">
        <v>8</v>
      </c>
      <c r="L13" s="321"/>
      <c r="M13" s="322"/>
    </row>
    <row r="14" spans="1:35" x14ac:dyDescent="0.35">
      <c r="A14" s="46" t="s">
        <v>63</v>
      </c>
      <c r="C14" s="105"/>
      <c r="D14" s="212"/>
      <c r="E14" s="19">
        <f>+'PCR Cycle 2'!D14</f>
        <v>44895</v>
      </c>
      <c r="F14" s="19">
        <f t="shared" ref="F14:M14" si="3">EOMONTH(E14,1)</f>
        <v>44926</v>
      </c>
      <c r="G14" s="19">
        <f t="shared" si="3"/>
        <v>44957</v>
      </c>
      <c r="H14" s="14">
        <f t="shared" si="3"/>
        <v>44985</v>
      </c>
      <c r="I14" s="19">
        <f t="shared" si="3"/>
        <v>45016</v>
      </c>
      <c r="J14" s="15">
        <f t="shared" si="3"/>
        <v>45046</v>
      </c>
      <c r="K14" s="19">
        <f t="shared" si="3"/>
        <v>45077</v>
      </c>
      <c r="L14" s="19">
        <f t="shared" si="3"/>
        <v>45107</v>
      </c>
      <c r="M14" s="15">
        <f t="shared" si="3"/>
        <v>45138</v>
      </c>
      <c r="Z14" s="1"/>
      <c r="AA14" s="1"/>
      <c r="AB14" s="1"/>
      <c r="AC14" s="1"/>
      <c r="AD14" s="1"/>
      <c r="AE14" s="1"/>
      <c r="AF14" s="1"/>
      <c r="AG14" s="1"/>
      <c r="AH14" s="1"/>
      <c r="AI14" s="1"/>
    </row>
    <row r="15" spans="1:35" x14ac:dyDescent="0.35">
      <c r="A15" s="46" t="s">
        <v>5</v>
      </c>
      <c r="C15" s="192">
        <v>-312243.95999999996</v>
      </c>
      <c r="D15" s="195">
        <f>+D30+D33</f>
        <v>0</v>
      </c>
      <c r="E15" s="109">
        <f t="shared" ref="E15:L15" si="4">SUM(E30:E33)</f>
        <v>312243.95999999996</v>
      </c>
      <c r="F15" s="109">
        <f t="shared" si="4"/>
        <v>317962.65000000002</v>
      </c>
      <c r="G15" s="110">
        <f t="shared" si="4"/>
        <v>0</v>
      </c>
      <c r="H15" s="16">
        <f t="shared" si="4"/>
        <v>0</v>
      </c>
      <c r="I15" s="55">
        <f t="shared" si="4"/>
        <v>0</v>
      </c>
      <c r="J15" s="164">
        <f t="shared" si="4"/>
        <v>0</v>
      </c>
      <c r="K15" s="157">
        <f t="shared" si="4"/>
        <v>0</v>
      </c>
      <c r="L15" s="78">
        <f t="shared" si="4"/>
        <v>0</v>
      </c>
      <c r="M15" s="79"/>
    </row>
    <row r="16" spans="1:35" x14ac:dyDescent="0.35">
      <c r="C16" s="99"/>
      <c r="D16" s="196"/>
      <c r="E16" s="17"/>
      <c r="F16" s="17"/>
      <c r="G16" s="17"/>
      <c r="H16" s="10"/>
      <c r="I16" s="17"/>
      <c r="J16" s="11"/>
      <c r="K16" s="31"/>
      <c r="L16" s="31"/>
      <c r="M16" s="29"/>
    </row>
    <row r="17" spans="1:15" x14ac:dyDescent="0.35">
      <c r="A17" s="46" t="s">
        <v>62</v>
      </c>
      <c r="C17" s="99"/>
      <c r="D17" s="196"/>
      <c r="E17" s="18"/>
      <c r="F17" s="18"/>
      <c r="G17" s="18"/>
      <c r="H17" s="91"/>
      <c r="I17" s="18"/>
      <c r="J17" s="165"/>
      <c r="K17" s="31"/>
      <c r="L17" s="31"/>
      <c r="M17" s="29"/>
      <c r="N17" s="3" t="s">
        <v>68</v>
      </c>
      <c r="O17" s="39"/>
    </row>
    <row r="18" spans="1:15" x14ac:dyDescent="0.35">
      <c r="A18" s="46" t="s">
        <v>24</v>
      </c>
      <c r="C18" s="192">
        <v>-385027.56410159997</v>
      </c>
      <c r="D18" s="195">
        <v>0</v>
      </c>
      <c r="E18" s="134">
        <f>ROUND('[4]Nov 2022'!$F52,2)</f>
        <v>93708.83</v>
      </c>
      <c r="F18" s="134">
        <f>ROUND('[4]Dec 2022'!$F52,2)</f>
        <v>132174.97</v>
      </c>
      <c r="G18" s="134">
        <f>ROUND('[4]Jan 2023'!$F52,2)</f>
        <v>160218.35</v>
      </c>
      <c r="H18" s="16">
        <f>ROUND('[4]Feb 2023'!$F52,2)</f>
        <v>67405.240000000005</v>
      </c>
      <c r="I18" s="121">
        <f>ROUND('[4]Mar 2023'!$F52,2)</f>
        <v>56781.62</v>
      </c>
      <c r="J18" s="169">
        <f>ROUND('[4]Apr 2023'!$F52,2)</f>
        <v>47486.01</v>
      </c>
      <c r="K18" s="123">
        <f>ROUND('PCR Cycle 2'!J26*'TDR Cycle 2'!$N18,2)</f>
        <v>42691.13</v>
      </c>
      <c r="L18" s="41">
        <f>ROUND('PCR Cycle 2'!K26*'TDR Cycle 2'!$N18,2)</f>
        <v>53280.26</v>
      </c>
      <c r="M18" s="61">
        <f>ROUND('PCR Cycle 2'!L26*'TDR Cycle 2'!$N18,2)</f>
        <v>74342.89</v>
      </c>
      <c r="N18" s="72">
        <v>2.0000000000000001E-4</v>
      </c>
      <c r="O18" s="4"/>
    </row>
    <row r="19" spans="1:15" x14ac:dyDescent="0.35">
      <c r="A19" s="46" t="s">
        <v>107</v>
      </c>
      <c r="C19" s="192">
        <v>-159927.45815999998</v>
      </c>
      <c r="D19" s="195"/>
      <c r="E19" s="134">
        <f>ROUND('[4]Nov 2022'!$F53,2)</f>
        <v>54675.54</v>
      </c>
      <c r="F19" s="134">
        <f>ROUND('[4]Dec 2022'!$F53,2)</f>
        <v>62322.96</v>
      </c>
      <c r="G19" s="134">
        <f>ROUND('[4]Jan 2023'!$F53,2)</f>
        <v>70289.89</v>
      </c>
      <c r="H19" s="16">
        <f>ROUND('[4]Feb 2023'!$F53,2)</f>
        <v>21343.42</v>
      </c>
      <c r="I19" s="121">
        <f>ROUND('[4]Mar 2023'!$F53,2)</f>
        <v>19539.330000000002</v>
      </c>
      <c r="J19" s="169">
        <f>ROUND('[4]Apr 2023'!$F53,2)</f>
        <v>17701.900000000001</v>
      </c>
      <c r="K19" s="123">
        <f>ROUND('PCR Cycle 2'!J27*'TDR Cycle 2'!$N19,2)</f>
        <v>18732.490000000002</v>
      </c>
      <c r="L19" s="41">
        <f>ROUND('PCR Cycle 2'!K27*'TDR Cycle 2'!$N19,2)</f>
        <v>20411.12</v>
      </c>
      <c r="M19" s="61">
        <f>ROUND('PCR Cycle 2'!L27*'TDR Cycle 2'!$N19,2)</f>
        <v>23042.13</v>
      </c>
      <c r="N19" s="72">
        <v>1.9000000000000001E-4</v>
      </c>
      <c r="O19" s="4"/>
    </row>
    <row r="20" spans="1:15" x14ac:dyDescent="0.35">
      <c r="A20" s="46" t="s">
        <v>108</v>
      </c>
      <c r="C20" s="192">
        <v>-142724.16639999999</v>
      </c>
      <c r="D20" s="195"/>
      <c r="E20" s="134">
        <f>ROUND('[4]Nov 2022'!$F54,2)</f>
        <v>47500.25</v>
      </c>
      <c r="F20" s="134">
        <f>ROUND('[4]Dec 2022'!$F54,2)</f>
        <v>48973.14</v>
      </c>
      <c r="G20" s="134">
        <f>ROUND('[4]Jan 2023'!$F54,2)</f>
        <v>51303.45</v>
      </c>
      <c r="H20" s="16">
        <f>ROUND('[4]Feb 2023'!$F54,2)</f>
        <v>21349.32</v>
      </c>
      <c r="I20" s="121">
        <f>ROUND('[4]Mar 2023'!$F54,2)</f>
        <v>20142.990000000002</v>
      </c>
      <c r="J20" s="169">
        <f>ROUND('[4]Apr 2023'!$F54,2)</f>
        <v>17874.34</v>
      </c>
      <c r="K20" s="123">
        <f>ROUND('PCR Cycle 2'!J28*'TDR Cycle 2'!$N20,2)</f>
        <v>20248.900000000001</v>
      </c>
      <c r="L20" s="41">
        <f>ROUND('PCR Cycle 2'!K28*'TDR Cycle 2'!$N20,2)</f>
        <v>22063.41</v>
      </c>
      <c r="M20" s="61">
        <f>ROUND('PCR Cycle 2'!L28*'TDR Cycle 2'!$N20,2)</f>
        <v>24907.41</v>
      </c>
      <c r="N20" s="72">
        <v>2.3000000000000001E-4</v>
      </c>
      <c r="O20" s="4"/>
    </row>
    <row r="21" spans="1:15" x14ac:dyDescent="0.35">
      <c r="A21" s="46" t="s">
        <v>109</v>
      </c>
      <c r="C21" s="192">
        <v>-31705.865760000004</v>
      </c>
      <c r="D21" s="195">
        <v>0</v>
      </c>
      <c r="E21" s="134">
        <f>ROUND('[4]Nov 2022'!$F55,2)</f>
        <v>10550.65</v>
      </c>
      <c r="F21" s="134">
        <f>ROUND('[4]Dec 2022'!$F55,2)</f>
        <v>11032.43</v>
      </c>
      <c r="G21" s="134">
        <f>ROUND('[4]Jan 2023'!$F55,2)</f>
        <v>9728.68</v>
      </c>
      <c r="H21" s="16">
        <f>ROUND('[4]Feb 2023'!$F55,2)</f>
        <v>3219.71</v>
      </c>
      <c r="I21" s="121">
        <f>ROUND('[4]Mar 2023'!$F55,2)</f>
        <v>7247.49</v>
      </c>
      <c r="J21" s="169">
        <f>ROUND('[4]Apr 2023'!$F55,2)</f>
        <v>5672.68</v>
      </c>
      <c r="K21" s="123">
        <f>ROUND('PCR Cycle 2'!J29*'TDR Cycle 2'!$N21,2)</f>
        <v>6479.06</v>
      </c>
      <c r="L21" s="41">
        <f>ROUND('PCR Cycle 2'!K29*'TDR Cycle 2'!$N21,2)</f>
        <v>7059.65</v>
      </c>
      <c r="M21" s="61">
        <f>ROUND('PCR Cycle 2'!L29*'TDR Cycle 2'!$N21,2)</f>
        <v>7969.65</v>
      </c>
      <c r="N21" s="72">
        <v>1.1E-4</v>
      </c>
      <c r="O21" s="4"/>
    </row>
    <row r="22" spans="1:15" x14ac:dyDescent="0.35">
      <c r="C22" s="67"/>
      <c r="D22" s="197"/>
      <c r="E22" s="68"/>
      <c r="F22" s="68"/>
      <c r="G22" s="68"/>
      <c r="H22" s="67"/>
      <c r="I22" s="68"/>
      <c r="J22" s="167"/>
      <c r="K22" s="56"/>
      <c r="L22" s="56"/>
      <c r="M22" s="13"/>
      <c r="O22" s="4"/>
    </row>
    <row r="23" spans="1:15" x14ac:dyDescent="0.35">
      <c r="A23" s="39" t="s">
        <v>66</v>
      </c>
      <c r="B23" s="39"/>
      <c r="C23" s="67"/>
      <c r="D23" s="197"/>
      <c r="E23" s="56"/>
      <c r="F23" s="56"/>
      <c r="G23" s="56"/>
      <c r="H23" s="12"/>
      <c r="I23" s="56"/>
      <c r="J23" s="168"/>
      <c r="K23" s="56"/>
      <c r="L23" s="56"/>
      <c r="M23" s="13"/>
      <c r="N23" s="7"/>
    </row>
    <row r="24" spans="1:15" x14ac:dyDescent="0.35">
      <c r="A24" s="46" t="s">
        <v>24</v>
      </c>
      <c r="C24" s="193">
        <v>-3200897.113468044</v>
      </c>
      <c r="D24" s="198"/>
      <c r="E24" s="111">
        <f>+'[3]Monthly TD Calc'!CD285</f>
        <v>3200897.113468044</v>
      </c>
      <c r="F24" s="111">
        <f>+'[3]Monthly TD Calc'!CE285</f>
        <v>3799541.9440570329</v>
      </c>
      <c r="G24" s="125">
        <f>+'[3]Monthly TD Calc'!CF285</f>
        <v>0</v>
      </c>
      <c r="H24" s="74">
        <f>+'[3]Monthly TD Calc'!CG285</f>
        <v>0</v>
      </c>
      <c r="I24" s="75">
        <f>+'[3]Monthly TD Calc'!CH285</f>
        <v>0</v>
      </c>
      <c r="J24" s="169">
        <f>+'[3]Monthly TD Calc'!CI285</f>
        <v>0</v>
      </c>
      <c r="K24" s="158">
        <v>0</v>
      </c>
      <c r="L24" s="142">
        <v>0</v>
      </c>
      <c r="M24" s="80"/>
      <c r="N24" s="59">
        <f>SUM(C24:L24)</f>
        <v>3799541.9440570329</v>
      </c>
    </row>
    <row r="25" spans="1:15" x14ac:dyDescent="0.35">
      <c r="A25" s="46" t="s">
        <v>107</v>
      </c>
      <c r="C25" s="193">
        <v>-1783272.6144496959</v>
      </c>
      <c r="D25" s="198"/>
      <c r="E25" s="111">
        <f>+'[3]Monthly TD Calc'!CD286</f>
        <v>1783272.6144496959</v>
      </c>
      <c r="F25" s="111">
        <f>+'[3]Monthly TD Calc'!CE286</f>
        <v>1777961.0361499267</v>
      </c>
      <c r="G25" s="125">
        <f>+'[3]Monthly TD Calc'!CF286</f>
        <v>0</v>
      </c>
      <c r="H25" s="74">
        <f>+'[3]Monthly TD Calc'!CG286</f>
        <v>0</v>
      </c>
      <c r="I25" s="75">
        <f>+'[3]Monthly TD Calc'!CH286</f>
        <v>0</v>
      </c>
      <c r="J25" s="169">
        <f>+'[3]Monthly TD Calc'!CI286</f>
        <v>0</v>
      </c>
      <c r="K25" s="158">
        <v>0</v>
      </c>
      <c r="L25" s="142">
        <v>0</v>
      </c>
      <c r="M25" s="80"/>
      <c r="N25" s="59">
        <f t="shared" ref="N25:N27" si="5">SUM(C25:L25)</f>
        <v>1777961.0361499267</v>
      </c>
    </row>
    <row r="26" spans="1:15" x14ac:dyDescent="0.35">
      <c r="A26" s="46" t="s">
        <v>108</v>
      </c>
      <c r="C26" s="193">
        <v>-2703012.0649789949</v>
      </c>
      <c r="D26" s="198"/>
      <c r="E26" s="111">
        <f>+'[3]Monthly TD Calc'!CD288</f>
        <v>2703012.0649789949</v>
      </c>
      <c r="F26" s="111">
        <f>+'[3]Monthly TD Calc'!CE288</f>
        <v>2698632.3480119267</v>
      </c>
      <c r="G26" s="125">
        <f>+'[3]Monthly TD Calc'!CF288</f>
        <v>0</v>
      </c>
      <c r="H26" s="74">
        <f>+'[3]Monthly TD Calc'!CG288</f>
        <v>0</v>
      </c>
      <c r="I26" s="75">
        <f>+'[3]Monthly TD Calc'!CH288</f>
        <v>0</v>
      </c>
      <c r="J26" s="169">
        <f>+'[3]Monthly TD Calc'!CI288</f>
        <v>0</v>
      </c>
      <c r="K26" s="158">
        <v>0</v>
      </c>
      <c r="L26" s="142">
        <v>0</v>
      </c>
      <c r="M26" s="80"/>
      <c r="N26" s="59">
        <f t="shared" si="5"/>
        <v>2698632.3480119267</v>
      </c>
    </row>
    <row r="27" spans="1:15" x14ac:dyDescent="0.35">
      <c r="A27" s="46" t="s">
        <v>109</v>
      </c>
      <c r="C27" s="193">
        <v>-964706.0990347442</v>
      </c>
      <c r="D27" s="198"/>
      <c r="E27" s="111">
        <f>+'[3]Monthly TD Calc'!CD289</f>
        <v>964706.0990347442</v>
      </c>
      <c r="F27" s="111">
        <f>+'[3]Monthly TD Calc'!CE289</f>
        <v>962745.40439030575</v>
      </c>
      <c r="G27" s="125">
        <f>+'[3]Monthly TD Calc'!CF289</f>
        <v>0</v>
      </c>
      <c r="H27" s="74">
        <f>+'[3]Monthly TD Calc'!CG289</f>
        <v>0</v>
      </c>
      <c r="I27" s="75">
        <f>+'[3]Monthly TD Calc'!CH289</f>
        <v>0</v>
      </c>
      <c r="J27" s="169">
        <f>+'[3]Monthly TD Calc'!CI289</f>
        <v>0</v>
      </c>
      <c r="K27" s="158">
        <v>0</v>
      </c>
      <c r="L27" s="142">
        <v>0</v>
      </c>
      <c r="M27" s="80"/>
      <c r="N27" s="59">
        <f t="shared" si="5"/>
        <v>962745.40439030575</v>
      </c>
    </row>
    <row r="28" spans="1:15" x14ac:dyDescent="0.35">
      <c r="C28" s="67"/>
      <c r="D28" s="197"/>
      <c r="E28" s="68"/>
      <c r="F28" s="68"/>
      <c r="G28" s="68"/>
      <c r="H28" s="67"/>
      <c r="I28" s="68"/>
      <c r="J28" s="167"/>
      <c r="K28" s="56"/>
      <c r="L28" s="56"/>
      <c r="M28" s="13"/>
    </row>
    <row r="29" spans="1:15" x14ac:dyDescent="0.35">
      <c r="A29" s="46" t="s">
        <v>69</v>
      </c>
      <c r="C29" s="36"/>
      <c r="D29" s="199"/>
      <c r="E29" s="37"/>
      <c r="F29" s="37"/>
      <c r="G29" s="37"/>
      <c r="H29" s="36"/>
      <c r="I29" s="37"/>
      <c r="J29" s="170"/>
      <c r="K29" s="52"/>
      <c r="L29" s="52"/>
      <c r="M29" s="38"/>
    </row>
    <row r="30" spans="1:15" x14ac:dyDescent="0.35">
      <c r="A30" s="46" t="s">
        <v>24</v>
      </c>
      <c r="C30" s="192">
        <v>-149696.35999999999</v>
      </c>
      <c r="D30" s="195"/>
      <c r="E30" s="109">
        <f>ROUND('[3]Monthly TD Calc'!CD326,2)</f>
        <v>149696.35999999999</v>
      </c>
      <c r="F30" s="109">
        <f>ROUND('[3]Monthly TD Calc'!CE326,2)</f>
        <v>164387.18</v>
      </c>
      <c r="G30" s="110">
        <f>ROUND('[3]Monthly TD Calc'!CF326,2)</f>
        <v>0</v>
      </c>
      <c r="H30" s="16">
        <f>ROUND('[3]Monthly TD Calc'!CG326,2)</f>
        <v>0</v>
      </c>
      <c r="I30" s="55">
        <f>ROUND('[3]Monthly TD Calc'!CH326,2)</f>
        <v>0</v>
      </c>
      <c r="J30" s="169">
        <f>ROUND('[3]Monthly TD Calc'!CI326,2)</f>
        <v>0</v>
      </c>
      <c r="K30" s="159">
        <v>0</v>
      </c>
      <c r="L30" s="141">
        <v>0</v>
      </c>
      <c r="M30" s="79"/>
    </row>
    <row r="31" spans="1:15" x14ac:dyDescent="0.35">
      <c r="A31" s="46" t="s">
        <v>107</v>
      </c>
      <c r="C31" s="192">
        <v>-74091.149999999994</v>
      </c>
      <c r="D31" s="195"/>
      <c r="E31" s="109">
        <f>ROUND('[3]Monthly TD Calc'!CD327,2)</f>
        <v>74091.149999999994</v>
      </c>
      <c r="F31" s="109">
        <f>ROUND('[3]Monthly TD Calc'!CE327,2)</f>
        <v>67343.210000000006</v>
      </c>
      <c r="G31" s="110">
        <f>ROUND('[3]Monthly TD Calc'!CF327,2)</f>
        <v>0</v>
      </c>
      <c r="H31" s="16">
        <f>ROUND('[3]Monthly TD Calc'!CG327,2)</f>
        <v>0</v>
      </c>
      <c r="I31" s="55">
        <f>ROUND('[3]Monthly TD Calc'!CH327,2)</f>
        <v>0</v>
      </c>
      <c r="J31" s="169">
        <f>ROUND('[3]Monthly TD Calc'!CI327,2)</f>
        <v>0</v>
      </c>
      <c r="K31" s="159">
        <v>0</v>
      </c>
      <c r="L31" s="141">
        <v>0</v>
      </c>
      <c r="M31" s="79"/>
    </row>
    <row r="32" spans="1:15" x14ac:dyDescent="0.35">
      <c r="A32" s="46" t="s">
        <v>108</v>
      </c>
      <c r="C32" s="192">
        <v>-75716.31</v>
      </c>
      <c r="D32" s="195"/>
      <c r="E32" s="109">
        <f>ROUND('[3]Monthly TD Calc'!CD329,2)</f>
        <v>75716.31</v>
      </c>
      <c r="F32" s="109">
        <f>ROUND('[3]Monthly TD Calc'!CE329,2)</f>
        <v>72630.33</v>
      </c>
      <c r="G32" s="110">
        <f>ROUND('[3]Monthly TD Calc'!CF329,2)</f>
        <v>0</v>
      </c>
      <c r="H32" s="16">
        <f>ROUND('[3]Monthly TD Calc'!CG329,2)</f>
        <v>0</v>
      </c>
      <c r="I32" s="55">
        <f>ROUND('[3]Monthly TD Calc'!CH329,2)</f>
        <v>0</v>
      </c>
      <c r="J32" s="169">
        <f>ROUND('[3]Monthly TD Calc'!CI329,2)</f>
        <v>0</v>
      </c>
      <c r="K32" s="159">
        <v>0</v>
      </c>
      <c r="L32" s="141">
        <v>0</v>
      </c>
      <c r="M32" s="79"/>
    </row>
    <row r="33" spans="1:15" x14ac:dyDescent="0.35">
      <c r="A33" s="46" t="s">
        <v>109</v>
      </c>
      <c r="C33" s="192">
        <v>-12740.14</v>
      </c>
      <c r="D33" s="195"/>
      <c r="E33" s="109">
        <f>ROUND('[3]Monthly TD Calc'!CD330,2)</f>
        <v>12740.14</v>
      </c>
      <c r="F33" s="109">
        <f>ROUND('[3]Monthly TD Calc'!CE330,2)</f>
        <v>13601.93</v>
      </c>
      <c r="G33" s="110">
        <f>ROUND('[3]Monthly TD Calc'!CF330,2)</f>
        <v>0</v>
      </c>
      <c r="H33" s="16">
        <f>ROUND('[3]Monthly TD Calc'!CG330,2)</f>
        <v>0</v>
      </c>
      <c r="I33" s="55">
        <f>ROUND('[3]Monthly TD Calc'!CH330,2)</f>
        <v>0</v>
      </c>
      <c r="J33" s="169">
        <f>ROUND('[3]Monthly TD Calc'!CI330,2)</f>
        <v>0</v>
      </c>
      <c r="K33" s="159">
        <v>0</v>
      </c>
      <c r="L33" s="141">
        <v>0</v>
      </c>
      <c r="M33" s="79"/>
      <c r="O33" s="47"/>
    </row>
    <row r="34" spans="1:15" x14ac:dyDescent="0.35">
      <c r="C34" s="99"/>
      <c r="D34" s="196"/>
      <c r="E34" s="18"/>
      <c r="F34" s="18"/>
      <c r="G34" s="18"/>
      <c r="H34" s="91"/>
      <c r="I34" s="18"/>
      <c r="J34" s="165"/>
      <c r="K34" s="56"/>
      <c r="L34" s="56"/>
      <c r="M34" s="13"/>
    </row>
    <row r="35" spans="1:15" ht="15" thickBot="1" x14ac:dyDescent="0.4">
      <c r="A35" s="3" t="s">
        <v>15</v>
      </c>
      <c r="B35" s="3"/>
      <c r="C35" s="194">
        <v>-13463.67</v>
      </c>
      <c r="D35" s="200"/>
      <c r="E35" s="134">
        <v>7526.0499999999993</v>
      </c>
      <c r="F35" s="134">
        <v>8494.61</v>
      </c>
      <c r="G35" s="135">
        <v>8232.08</v>
      </c>
      <c r="H35" s="26">
        <v>7463.73</v>
      </c>
      <c r="I35" s="122">
        <v>7183.5</v>
      </c>
      <c r="J35" s="171">
        <v>6942.76</v>
      </c>
      <c r="K35" s="160">
        <v>6521.04</v>
      </c>
      <c r="L35" s="143">
        <v>6060.71</v>
      </c>
      <c r="M35" s="82"/>
    </row>
    <row r="36" spans="1:15" x14ac:dyDescent="0.35">
      <c r="C36" s="64"/>
      <c r="D36" s="203"/>
      <c r="E36" s="66"/>
      <c r="F36" s="66"/>
      <c r="G36" s="33"/>
      <c r="H36" s="64"/>
      <c r="I36" s="33"/>
      <c r="J36" s="172"/>
      <c r="K36" s="34"/>
      <c r="L36" s="34"/>
      <c r="M36" s="60"/>
    </row>
    <row r="37" spans="1:15" x14ac:dyDescent="0.35">
      <c r="A37" s="46" t="s">
        <v>52</v>
      </c>
      <c r="C37" s="65"/>
      <c r="D37" s="204"/>
      <c r="E37" s="35"/>
      <c r="F37" s="35"/>
      <c r="G37" s="35"/>
      <c r="H37" s="65"/>
      <c r="I37" s="35"/>
      <c r="J37" s="173"/>
      <c r="K37" s="34"/>
      <c r="L37" s="34"/>
      <c r="M37" s="60"/>
    </row>
    <row r="38" spans="1:15" x14ac:dyDescent="0.35">
      <c r="A38" s="46" t="s">
        <v>24</v>
      </c>
      <c r="C38" s="201">
        <f t="shared" ref="C38:M38" si="6">C30-C18</f>
        <v>235331.20410159999</v>
      </c>
      <c r="D38" s="205">
        <f t="shared" si="6"/>
        <v>0</v>
      </c>
      <c r="E38" s="41">
        <f t="shared" si="6"/>
        <v>55987.529999999984</v>
      </c>
      <c r="F38" s="41">
        <f t="shared" si="6"/>
        <v>32212.209999999992</v>
      </c>
      <c r="G38" s="108">
        <f t="shared" si="6"/>
        <v>-160218.35</v>
      </c>
      <c r="H38" s="40">
        <f t="shared" si="6"/>
        <v>-67405.240000000005</v>
      </c>
      <c r="I38" s="41">
        <f t="shared" si="6"/>
        <v>-56781.62</v>
      </c>
      <c r="J38" s="61">
        <f t="shared" si="6"/>
        <v>-47486.01</v>
      </c>
      <c r="K38" s="123">
        <f t="shared" si="6"/>
        <v>-42691.13</v>
      </c>
      <c r="L38" s="41">
        <f t="shared" si="6"/>
        <v>-53280.26</v>
      </c>
      <c r="M38" s="61">
        <f t="shared" si="6"/>
        <v>-74342.89</v>
      </c>
    </row>
    <row r="39" spans="1:15" x14ac:dyDescent="0.35">
      <c r="A39" s="46" t="s">
        <v>25</v>
      </c>
      <c r="C39" s="201">
        <f>SUM(C31:C33)-SUM(C19:C21)</f>
        <v>171809.89032000001</v>
      </c>
      <c r="D39" s="205">
        <f t="shared" ref="D39:M39" si="7">SUM(D31:D33)-SUM(D19:D21)</f>
        <v>0</v>
      </c>
      <c r="E39" s="41">
        <f t="shared" si="7"/>
        <v>49821.159999999974</v>
      </c>
      <c r="F39" s="41">
        <f t="shared" si="7"/>
        <v>31246.940000000002</v>
      </c>
      <c r="G39" s="108">
        <f t="shared" si="7"/>
        <v>-131322.01999999999</v>
      </c>
      <c r="H39" s="40">
        <f t="shared" si="7"/>
        <v>-45912.45</v>
      </c>
      <c r="I39" s="41">
        <f t="shared" si="7"/>
        <v>-46929.810000000005</v>
      </c>
      <c r="J39" s="61">
        <f t="shared" si="7"/>
        <v>-41248.920000000006</v>
      </c>
      <c r="K39" s="123">
        <f t="shared" si="7"/>
        <v>-45460.45</v>
      </c>
      <c r="L39" s="41">
        <f t="shared" si="7"/>
        <v>-49534.18</v>
      </c>
      <c r="M39" s="61">
        <f t="shared" si="7"/>
        <v>-55919.19</v>
      </c>
    </row>
    <row r="40" spans="1:15" x14ac:dyDescent="0.35">
      <c r="C40" s="99"/>
      <c r="D40" s="196"/>
      <c r="E40" s="17"/>
      <c r="F40" s="17"/>
      <c r="G40" s="17"/>
      <c r="H40" s="10"/>
      <c r="I40" s="17"/>
      <c r="J40" s="11"/>
      <c r="K40" s="17"/>
      <c r="L40" s="17"/>
      <c r="M40" s="11"/>
    </row>
    <row r="41" spans="1:15" ht="15" thickBot="1" x14ac:dyDescent="0.4">
      <c r="A41" s="46" t="s">
        <v>53</v>
      </c>
      <c r="C41" s="99"/>
      <c r="D41" s="196"/>
      <c r="E41" s="17"/>
      <c r="F41" s="17"/>
      <c r="G41" s="17"/>
      <c r="H41" s="10"/>
      <c r="I41" s="17"/>
      <c r="J41" s="11"/>
      <c r="K41" s="17"/>
      <c r="L41" s="17"/>
      <c r="M41" s="11"/>
    </row>
    <row r="42" spans="1:15" x14ac:dyDescent="0.35">
      <c r="A42" s="46" t="s">
        <v>24</v>
      </c>
      <c r="B42" s="116">
        <v>721605.92589839979</v>
      </c>
      <c r="C42" s="201">
        <f t="shared" ref="C42:E43" si="8">+B42+C38+B47</f>
        <v>956937.12999999977</v>
      </c>
      <c r="D42" s="205">
        <f t="shared" si="8"/>
        <v>949383.94999999972</v>
      </c>
      <c r="E42" s="41">
        <f t="shared" si="8"/>
        <v>1005371.4799999997</v>
      </c>
      <c r="F42" s="41">
        <f t="shared" ref="F42:M42" si="9">+E42+F38+E47</f>
        <v>1041812.6099999998</v>
      </c>
      <c r="G42" s="108">
        <f t="shared" si="9"/>
        <v>886351.37999999977</v>
      </c>
      <c r="H42" s="40">
        <f t="shared" si="9"/>
        <v>823555.57999999973</v>
      </c>
      <c r="I42" s="41">
        <f t="shared" si="9"/>
        <v>770950.90999999968</v>
      </c>
      <c r="J42" s="61">
        <f t="shared" si="9"/>
        <v>727478.16999999969</v>
      </c>
      <c r="K42" s="123">
        <f t="shared" si="9"/>
        <v>688674.21999999974</v>
      </c>
      <c r="L42" s="41">
        <f t="shared" si="9"/>
        <v>639067.93999999971</v>
      </c>
      <c r="M42" s="61">
        <f t="shared" si="9"/>
        <v>568169.73999999964</v>
      </c>
    </row>
    <row r="43" spans="1:15" ht="15" thickBot="1" x14ac:dyDescent="0.4">
      <c r="A43" s="46" t="s">
        <v>25</v>
      </c>
      <c r="B43" s="117">
        <v>571217.26395000028</v>
      </c>
      <c r="C43" s="201">
        <f t="shared" si="8"/>
        <v>743027.15427000029</v>
      </c>
      <c r="D43" s="205">
        <f t="shared" si="8"/>
        <v>737116.6642700003</v>
      </c>
      <c r="E43" s="41">
        <f t="shared" si="8"/>
        <v>786937.82427000022</v>
      </c>
      <c r="F43" s="41">
        <f t="shared" ref="F43:M43" si="10">+E43+F39+E48</f>
        <v>821481.90427000017</v>
      </c>
      <c r="G43" s="108">
        <f t="shared" si="10"/>
        <v>693897.37427000015</v>
      </c>
      <c r="H43" s="40">
        <f t="shared" si="10"/>
        <v>651607.56427000021</v>
      </c>
      <c r="I43" s="41">
        <f t="shared" si="10"/>
        <v>607964.53427000018</v>
      </c>
      <c r="J43" s="61">
        <f t="shared" si="10"/>
        <v>569885.84427000012</v>
      </c>
      <c r="K43" s="123">
        <f t="shared" si="10"/>
        <v>527480.97427000012</v>
      </c>
      <c r="L43" s="41">
        <f t="shared" si="10"/>
        <v>480793.85427000013</v>
      </c>
      <c r="M43" s="61">
        <f t="shared" si="10"/>
        <v>427490.67427000013</v>
      </c>
    </row>
    <row r="44" spans="1:15" x14ac:dyDescent="0.35">
      <c r="C44" s="99"/>
      <c r="D44" s="196"/>
      <c r="E44" s="17"/>
      <c r="F44" s="17"/>
      <c r="G44" s="17"/>
      <c r="H44" s="10"/>
      <c r="I44" s="17"/>
      <c r="J44" s="11"/>
      <c r="K44" s="17"/>
      <c r="L44" s="17"/>
      <c r="M44" s="11"/>
    </row>
    <row r="45" spans="1:15" x14ac:dyDescent="0.35">
      <c r="A45" s="39" t="s">
        <v>123</v>
      </c>
      <c r="B45" s="39"/>
      <c r="C45" s="104"/>
      <c r="D45" s="206"/>
      <c r="E45" s="83">
        <f>+'PCR Cycle 2'!D47</f>
        <v>4.3267999999999996E-3</v>
      </c>
      <c r="F45" s="83">
        <f>+'PCR Cycle 2'!E47</f>
        <v>4.6379000000000004E-3</v>
      </c>
      <c r="G45" s="83">
        <f>+'PCR Cycle 2'!F47</f>
        <v>4.7694E-3</v>
      </c>
      <c r="H45" s="84">
        <f>+'PCR Cycle 2'!G47</f>
        <v>4.8724500000000004E-3</v>
      </c>
      <c r="I45" s="83">
        <f>+'PCR Cycle 2'!H47</f>
        <v>5.0207200000000002E-3</v>
      </c>
      <c r="J45" s="92">
        <f>+'PCR Cycle 2'!I47</f>
        <v>5.1744800000000004E-3</v>
      </c>
      <c r="K45" s="83">
        <f>+'PCR Cycle 2'!J47</f>
        <v>5.1744800000000004E-3</v>
      </c>
      <c r="L45" s="83">
        <f>+'PCR Cycle 2'!K47</f>
        <v>5.1744800000000004E-3</v>
      </c>
      <c r="M45" s="85"/>
    </row>
    <row r="46" spans="1:15" x14ac:dyDescent="0.35">
      <c r="A46" s="39" t="s">
        <v>37</v>
      </c>
      <c r="B46" s="39"/>
      <c r="C46" s="106"/>
      <c r="D46" s="207"/>
      <c r="E46" s="83"/>
      <c r="F46" s="83"/>
      <c r="G46" s="83"/>
      <c r="H46" s="84"/>
      <c r="I46" s="83"/>
      <c r="J46" s="85"/>
      <c r="K46" s="83"/>
      <c r="L46" s="83"/>
      <c r="M46" s="85"/>
    </row>
    <row r="47" spans="1:15" x14ac:dyDescent="0.35">
      <c r="A47" s="46" t="s">
        <v>24</v>
      </c>
      <c r="C47" s="201">
        <v>-7553.18</v>
      </c>
      <c r="D47" s="205"/>
      <c r="E47" s="41">
        <f>ROUND((D42+D47+E38/2)*E$45,2)</f>
        <v>4228.92</v>
      </c>
      <c r="F47" s="41">
        <f t="shared" ref="F47:F48" si="11">ROUND((E42+E47+F38/2)*F$45,2)</f>
        <v>4757.12</v>
      </c>
      <c r="G47" s="108">
        <f t="shared" ref="G47:G48" si="12">ROUND((F42+F47+G38/2)*G$45,2)</f>
        <v>4609.4399999999996</v>
      </c>
      <c r="H47" s="40">
        <f t="shared" ref="H47:H48" si="13">ROUND((G42+G47+H38/2)*H$45,2)</f>
        <v>4176.95</v>
      </c>
      <c r="I47" s="123">
        <f t="shared" ref="I47:J48" si="14">ROUND((H42+H47+I38/2)*I$45,2)</f>
        <v>4013.27</v>
      </c>
      <c r="J47" s="61">
        <f t="shared" si="14"/>
        <v>3887.18</v>
      </c>
      <c r="K47" s="161">
        <f t="shared" ref="K47:K48" si="15">ROUND((J42+J47+K38/2)*K$45,2)</f>
        <v>3673.98</v>
      </c>
      <c r="L47" s="108">
        <f t="shared" ref="L47:L48" si="16">ROUND((K42+K47+L38/2)*L$45,2)</f>
        <v>3444.69</v>
      </c>
      <c r="M47" s="61">
        <f t="shared" ref="M47:M48" si="17">ROUND((L42+L47+M38/2)*M$45,2)</f>
        <v>0</v>
      </c>
    </row>
    <row r="48" spans="1:15" ht="15" thickBot="1" x14ac:dyDescent="0.4">
      <c r="A48" s="46" t="s">
        <v>25</v>
      </c>
      <c r="C48" s="201">
        <v>-5910.49</v>
      </c>
      <c r="D48" s="205"/>
      <c r="E48" s="41">
        <f>ROUND((D43+D48+E39/2)*E$45,2)</f>
        <v>3297.14</v>
      </c>
      <c r="F48" s="41">
        <f t="shared" si="11"/>
        <v>3737.49</v>
      </c>
      <c r="G48" s="108">
        <f t="shared" si="12"/>
        <v>3622.64</v>
      </c>
      <c r="H48" s="40">
        <f t="shared" si="13"/>
        <v>3286.78</v>
      </c>
      <c r="I48" s="123">
        <f t="shared" si="14"/>
        <v>3170.23</v>
      </c>
      <c r="J48" s="61">
        <f t="shared" si="14"/>
        <v>3055.58</v>
      </c>
      <c r="K48" s="161">
        <f t="shared" si="15"/>
        <v>2847.06</v>
      </c>
      <c r="L48" s="108">
        <f t="shared" si="16"/>
        <v>2616.0100000000002</v>
      </c>
      <c r="M48" s="61">
        <f t="shared" si="17"/>
        <v>0</v>
      </c>
    </row>
    <row r="49" spans="1:13" ht="15.5" thickTop="1" thickBot="1" x14ac:dyDescent="0.4">
      <c r="A49" s="54" t="s">
        <v>22</v>
      </c>
      <c r="B49" s="54"/>
      <c r="C49" s="202">
        <v>0</v>
      </c>
      <c r="D49" s="208"/>
      <c r="E49" s="42">
        <f>SUM(E47:E48)+SUM(E42:E43)-E52</f>
        <v>0</v>
      </c>
      <c r="F49" s="42">
        <f t="shared" ref="F49:M49" si="18">SUM(F47:F48)+SUM(F42:F43)-F52</f>
        <v>0</v>
      </c>
      <c r="G49" s="50">
        <f t="shared" si="18"/>
        <v>0</v>
      </c>
      <c r="H49" s="51">
        <f t="shared" si="18"/>
        <v>0</v>
      </c>
      <c r="I49" s="42">
        <f t="shared" si="18"/>
        <v>0</v>
      </c>
      <c r="J49" s="62">
        <f t="shared" si="18"/>
        <v>0</v>
      </c>
      <c r="K49" s="162">
        <f t="shared" si="18"/>
        <v>0</v>
      </c>
      <c r="L49" s="50">
        <f t="shared" si="18"/>
        <v>0</v>
      </c>
      <c r="M49" s="62">
        <f t="shared" si="18"/>
        <v>0</v>
      </c>
    </row>
    <row r="50" spans="1:13" ht="15.5" thickTop="1" thickBot="1" x14ac:dyDescent="0.4">
      <c r="A50" s="54" t="s">
        <v>23</v>
      </c>
      <c r="B50" s="54"/>
      <c r="C50" s="202">
        <v>0</v>
      </c>
      <c r="D50" s="208"/>
      <c r="E50" s="42">
        <f>SUM(E47:E48)-E35</f>
        <v>1.0000000000218279E-2</v>
      </c>
      <c r="F50" s="42">
        <f t="shared" ref="F50:J50" si="19">SUM(F47:F48)-F35</f>
        <v>0</v>
      </c>
      <c r="G50" s="50">
        <f t="shared" ref="G50:I50" si="20">SUM(G47:G48)-G35</f>
        <v>0</v>
      </c>
      <c r="H50" s="51">
        <f t="shared" si="20"/>
        <v>0</v>
      </c>
      <c r="I50" s="42">
        <f t="shared" si="20"/>
        <v>0</v>
      </c>
      <c r="J50" s="62">
        <f t="shared" si="19"/>
        <v>0</v>
      </c>
      <c r="K50" s="163">
        <f t="shared" ref="K50:M50" si="21">SUM(K47:K48)-K35</f>
        <v>0</v>
      </c>
      <c r="L50" s="42">
        <f t="shared" si="21"/>
        <v>-9.999999999308784E-3</v>
      </c>
      <c r="M50" s="42">
        <f t="shared" si="21"/>
        <v>0</v>
      </c>
    </row>
    <row r="51" spans="1:13" ht="15.5" thickTop="1" thickBot="1" x14ac:dyDescent="0.4">
      <c r="C51" s="99"/>
      <c r="D51" s="196"/>
      <c r="E51" s="17"/>
      <c r="F51" s="17"/>
      <c r="G51" s="17"/>
      <c r="H51" s="10"/>
      <c r="I51" s="17"/>
      <c r="J51" s="11"/>
      <c r="K51" s="17"/>
      <c r="L51" s="17"/>
      <c r="M51" s="11"/>
    </row>
    <row r="52" spans="1:13" ht="15" thickBot="1" x14ac:dyDescent="0.4">
      <c r="A52" s="46" t="s">
        <v>36</v>
      </c>
      <c r="B52" s="119">
        <f>+B42+B43</f>
        <v>1292823.1898484002</v>
      </c>
      <c r="C52" s="201">
        <f t="shared" ref="C52:M52" si="22">(C15-SUM(C18:C21))+SUM(C47:C48)+B52</f>
        <v>1686500.6142700003</v>
      </c>
      <c r="D52" s="205">
        <f t="shared" si="22"/>
        <v>1686500.6142700003</v>
      </c>
      <c r="E52" s="41">
        <f t="shared" si="22"/>
        <v>1799835.3642700003</v>
      </c>
      <c r="F52" s="41">
        <f t="shared" si="22"/>
        <v>1871789.1242700003</v>
      </c>
      <c r="G52" s="108">
        <f t="shared" si="22"/>
        <v>1588480.8342700002</v>
      </c>
      <c r="H52" s="40">
        <f t="shared" si="22"/>
        <v>1482626.8742700003</v>
      </c>
      <c r="I52" s="41">
        <f t="shared" si="22"/>
        <v>1386098.9442700003</v>
      </c>
      <c r="J52" s="61">
        <f t="shared" si="22"/>
        <v>1304306.7742700004</v>
      </c>
      <c r="K52" s="161">
        <f t="shared" si="22"/>
        <v>1222676.2342700004</v>
      </c>
      <c r="L52" s="108">
        <f t="shared" si="22"/>
        <v>1125922.4942700004</v>
      </c>
      <c r="M52" s="61">
        <f t="shared" si="22"/>
        <v>995660.41427000042</v>
      </c>
    </row>
    <row r="53" spans="1:13" x14ac:dyDescent="0.35">
      <c r="A53" s="46" t="s">
        <v>12</v>
      </c>
      <c r="C53" s="120"/>
      <c r="D53" s="209"/>
      <c r="E53" s="17"/>
      <c r="F53" s="17"/>
      <c r="G53" s="17"/>
      <c r="H53" s="10"/>
      <c r="I53" s="17"/>
      <c r="J53" s="11"/>
      <c r="K53" s="17"/>
      <c r="L53" s="17"/>
      <c r="M53" s="11"/>
    </row>
    <row r="54" spans="1:13" ht="15" thickBot="1" x14ac:dyDescent="0.4">
      <c r="A54" s="37"/>
      <c r="B54" s="37"/>
      <c r="C54" s="146"/>
      <c r="D54" s="210"/>
      <c r="E54" s="44"/>
      <c r="F54" s="44"/>
      <c r="G54" s="44"/>
      <c r="H54" s="43"/>
      <c r="I54" s="44"/>
      <c r="J54" s="45"/>
      <c r="K54" s="44"/>
      <c r="L54" s="44"/>
      <c r="M54" s="45"/>
    </row>
    <row r="56" spans="1:13" x14ac:dyDescent="0.35">
      <c r="A56" s="69" t="s">
        <v>11</v>
      </c>
      <c r="B56" s="69"/>
      <c r="C56" s="69"/>
      <c r="D56" s="69"/>
    </row>
    <row r="57" spans="1:13" ht="34.5" customHeight="1" x14ac:dyDescent="0.35">
      <c r="A57" s="323" t="s">
        <v>196</v>
      </c>
      <c r="B57" s="323"/>
      <c r="C57" s="323"/>
      <c r="D57" s="323"/>
      <c r="E57" s="323"/>
      <c r="F57" s="323"/>
      <c r="G57" s="323"/>
      <c r="H57" s="323"/>
      <c r="I57" s="323"/>
      <c r="J57" s="323"/>
      <c r="K57" s="191"/>
      <c r="L57" s="144"/>
      <c r="M57" s="144"/>
    </row>
    <row r="58" spans="1:13" ht="42.75" customHeight="1" x14ac:dyDescent="0.35">
      <c r="A58" s="323" t="s">
        <v>282</v>
      </c>
      <c r="B58" s="323"/>
      <c r="C58" s="323"/>
      <c r="D58" s="323"/>
      <c r="E58" s="323"/>
      <c r="F58" s="323"/>
      <c r="G58" s="323"/>
      <c r="H58" s="323"/>
      <c r="I58" s="323"/>
      <c r="J58" s="323"/>
      <c r="K58" s="323"/>
      <c r="L58" s="144"/>
      <c r="M58" s="144"/>
    </row>
    <row r="59" spans="1:13" ht="33.75" customHeight="1" x14ac:dyDescent="0.35">
      <c r="A59" s="323" t="s">
        <v>197</v>
      </c>
      <c r="B59" s="323"/>
      <c r="C59" s="323"/>
      <c r="D59" s="323"/>
      <c r="E59" s="323"/>
      <c r="F59" s="323"/>
      <c r="G59" s="323"/>
      <c r="H59" s="323"/>
      <c r="I59" s="323"/>
      <c r="J59" s="323"/>
      <c r="K59" s="191"/>
      <c r="L59" s="144"/>
      <c r="M59" s="144"/>
    </row>
    <row r="60" spans="1:13" x14ac:dyDescent="0.35">
      <c r="A60" s="3" t="s">
        <v>67</v>
      </c>
      <c r="B60" s="3"/>
      <c r="C60" s="3"/>
      <c r="D60" s="3"/>
    </row>
    <row r="61" spans="1:13" x14ac:dyDescent="0.35">
      <c r="A61" s="63" t="s">
        <v>193</v>
      </c>
      <c r="B61" s="3"/>
      <c r="C61" s="3"/>
      <c r="D61" s="3"/>
    </row>
    <row r="62" spans="1:13" x14ac:dyDescent="0.35">
      <c r="A62" s="3" t="s">
        <v>70</v>
      </c>
      <c r="B62" s="3"/>
      <c r="C62" s="3"/>
      <c r="D62" s="3"/>
    </row>
    <row r="63" spans="1:13" x14ac:dyDescent="0.35">
      <c r="A63" s="3" t="s">
        <v>198</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Sequence_x0020_Number xmlns="42a0a5c2-94d1-43c3-962b-eaf68dcf55f1"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731bbba90d1839119a2601583754d8cb">
  <xsd:schema xmlns:xsd="http://www.w3.org/2001/XMLSchema" xmlns:xs="http://www.w3.org/2001/XMLSchema" xmlns:p="http://schemas.microsoft.com/office/2006/metadata/properties" xmlns:ns2="c85253b9-0a55-49a1-98ad-b5b6252d7079" xmlns:ns3="42a0a5c2-94d1-43c3-962b-eaf68dcf55f1" xmlns:ns4="b95115da-3ec3-4f45-8f03-fcf4d770a292" targetNamespace="http://schemas.microsoft.com/office/2006/metadata/properties" ma:root="true" ma:fieldsID="0850ed191024ed28ce63e0182e48fad8" ns2:_="" ns3:_="" ns4:_="">
    <xsd:import namespace="c85253b9-0a55-49a1-98ad-b5b6252d7079"/>
    <xsd:import namespace="42a0a5c2-94d1-43c3-962b-eaf68dcf55f1"/>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2a0a5c2-94d1-43c3-962b-eaf68dcf55f1"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http://purl.org/dc/elements/1.1/"/>
    <ds:schemaRef ds:uri="http://purl.org/dc/dcmitype/"/>
    <ds:schemaRef ds:uri="http://www.w3.org/XML/1998/namespace"/>
    <ds:schemaRef ds:uri="37C40F9E-044B-4F26-A90E-5C1316E52537"/>
    <ds:schemaRef ds:uri="http://schemas.microsoft.com/office/2006/documentManagement/types"/>
    <ds:schemaRef ds:uri="http://schemas.openxmlformats.org/package/2006/metadata/core-properties"/>
    <ds:schemaRef ds:uri="http://schemas.microsoft.com/office/2006/metadata/properties"/>
    <ds:schemaRef ds:uri="http://purl.org/dc/terms/"/>
    <ds:schemaRef ds:uri="c85253b9-0a55-49a1-98ad-b5b6252d7079"/>
    <ds:schemaRef ds:uri="42a0a5c2-94d1-43c3-962b-eaf68dcf55f1"/>
  </ds:schemaRefs>
</ds:datastoreItem>
</file>

<file path=customXml/itemProps2.xml><?xml version="1.0" encoding="utf-8"?>
<ds:datastoreItem xmlns:ds="http://schemas.openxmlformats.org/officeDocument/2006/customXml" ds:itemID="{97EEBA20-0A6E-40E5-83A0-4BE10BAD8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2a0a5c2-94d1-43c3-962b-eaf68dcf55f1"/>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 Cycle 3</vt:lpstr>
      <vt:lpstr>OAR Cycle 2</vt:lpstr>
      <vt:lpstr>OAR Cycle 3</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2023-05-26T19:18:44Z</cp:lastPrinted>
  <dcterms:created xsi:type="dcterms:W3CDTF">2013-08-12T19:20:10Z</dcterms:created>
  <dcterms:modified xsi:type="dcterms:W3CDTF">2023-06-02T13:20:23Z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ies>
</file>