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seworks\DavWWWRoot\379\DataRequests\19582\Library\Red lines\"/>
    </mc:Choice>
  </mc:AlternateContent>
  <bookViews>
    <workbookView xWindow="120" yWindow="225" windowWidth="15240" windowHeight="4605"/>
  </bookViews>
  <sheets>
    <sheet name="tariff tables" sheetId="5" r:id="rId1"/>
    <sheet name="PPC" sheetId="4" r:id="rId2"/>
    <sheet name="PCR Cycle 1" sheetId="1" r:id="rId3"/>
    <sheet name="PCR Cycle 2" sheetId="15" r:id="rId4"/>
    <sheet name="PTD" sheetId="12" r:id="rId5"/>
    <sheet name="TDR Cycle 1" sheetId="11" r:id="rId6"/>
    <sheet name="TDR Cycle 2" sheetId="16" r:id="rId7"/>
    <sheet name="EO" sheetId="8" r:id="rId8"/>
    <sheet name="EOR" sheetId="9" r:id="rId9"/>
    <sheet name="OA" sheetId="10" r:id="rId10"/>
    <sheet name="OAR" sheetId="13" r:id="rId11"/>
    <sheet name="Sheet1" sheetId="17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2">'PCR Cycle 1'!$A$1:$N$55</definedName>
    <definedName name="_xlnm.Print_Area" localSheetId="3">'PCR Cycle 2'!$A$1:$N$55</definedName>
    <definedName name="solver_adj" localSheetId="2" hidden="1">'PCR Cycle 1'!$E$38</definedName>
    <definedName name="solver_adj" localSheetId="3" hidden="1">'PCR Cycle 2'!$E$38</definedName>
    <definedName name="solver_adj" localSheetId="5" hidden="1">'TDR Cycle 1'!#REF!</definedName>
    <definedName name="solver_adj" localSheetId="6" hidden="1">'TDR Cycle 2'!#REF!</definedName>
    <definedName name="solver_cvg" localSheetId="2" hidden="1">0.0001</definedName>
    <definedName name="solver_cvg" localSheetId="3" hidden="1">0.0001</definedName>
    <definedName name="solver_cvg" localSheetId="5" hidden="1">0.0001</definedName>
    <definedName name="solver_cvg" localSheetId="6" hidden="1">0.0001</definedName>
    <definedName name="solver_drv" localSheetId="2" hidden="1">1</definedName>
    <definedName name="solver_drv" localSheetId="3" hidden="1">1</definedName>
    <definedName name="solver_drv" localSheetId="5" hidden="1">2</definedName>
    <definedName name="solver_drv" localSheetId="6" hidden="1">2</definedName>
    <definedName name="solver_eng" localSheetId="2" hidden="1">1</definedName>
    <definedName name="solver_eng" localSheetId="3" hidden="1">1</definedName>
    <definedName name="solver_eng" localSheetId="5" hidden="1">1</definedName>
    <definedName name="solver_eng" localSheetId="6" hidden="1">1</definedName>
    <definedName name="solver_est" localSheetId="2" hidden="1">1</definedName>
    <definedName name="solver_est" localSheetId="3" hidden="1">1</definedName>
    <definedName name="solver_est" localSheetId="5" hidden="1">1</definedName>
    <definedName name="solver_est" localSheetId="6" hidden="1">1</definedName>
    <definedName name="solver_itr" localSheetId="2" hidden="1">2147483647</definedName>
    <definedName name="solver_itr" localSheetId="3" hidden="1">2147483647</definedName>
    <definedName name="solver_itr" localSheetId="5" hidden="1">2147483647</definedName>
    <definedName name="solver_itr" localSheetId="6" hidden="1">2147483647</definedName>
    <definedName name="solver_mip" localSheetId="2" hidden="1">2147483647</definedName>
    <definedName name="solver_mip" localSheetId="3" hidden="1">2147483647</definedName>
    <definedName name="solver_mip" localSheetId="5" hidden="1">2147483647</definedName>
    <definedName name="solver_mip" localSheetId="6" hidden="1">2147483647</definedName>
    <definedName name="solver_mni" localSheetId="2" hidden="1">30</definedName>
    <definedName name="solver_mni" localSheetId="3" hidden="1">30</definedName>
    <definedName name="solver_mni" localSheetId="5" hidden="1">30</definedName>
    <definedName name="solver_mni" localSheetId="6" hidden="1">30</definedName>
    <definedName name="solver_mrt" localSheetId="2" hidden="1">0.075</definedName>
    <definedName name="solver_mrt" localSheetId="3" hidden="1">0.075</definedName>
    <definedName name="solver_mrt" localSheetId="5" hidden="1">0.075</definedName>
    <definedName name="solver_mrt" localSheetId="6" hidden="1">0.075</definedName>
    <definedName name="solver_msl" localSheetId="2" hidden="1">2</definedName>
    <definedName name="solver_msl" localSheetId="3" hidden="1">2</definedName>
    <definedName name="solver_msl" localSheetId="5" hidden="1">2</definedName>
    <definedName name="solver_msl" localSheetId="6" hidden="1">2</definedName>
    <definedName name="solver_neg" localSheetId="2" hidden="1">1</definedName>
    <definedName name="solver_neg" localSheetId="3" hidden="1">1</definedName>
    <definedName name="solver_neg" localSheetId="5" hidden="1">1</definedName>
    <definedName name="solver_neg" localSheetId="6" hidden="1">1</definedName>
    <definedName name="solver_nod" localSheetId="2" hidden="1">2147483647</definedName>
    <definedName name="solver_nod" localSheetId="3" hidden="1">2147483647</definedName>
    <definedName name="solver_nod" localSheetId="5" hidden="1">2147483647</definedName>
    <definedName name="solver_nod" localSheetId="6" hidden="1">2147483647</definedName>
    <definedName name="solver_num" localSheetId="2" hidden="1">0</definedName>
    <definedName name="solver_num" localSheetId="3" hidden="1">0</definedName>
    <definedName name="solver_num" localSheetId="5" hidden="1">0</definedName>
    <definedName name="solver_num" localSheetId="6" hidden="1">0</definedName>
    <definedName name="solver_nwt" localSheetId="2" hidden="1">1</definedName>
    <definedName name="solver_nwt" localSheetId="3" hidden="1">1</definedName>
    <definedName name="solver_nwt" localSheetId="5" hidden="1">1</definedName>
    <definedName name="solver_nwt" localSheetId="6" hidden="1">1</definedName>
    <definedName name="solver_opt" localSheetId="2" hidden="1">'PCR Cycle 1'!$E$43</definedName>
    <definedName name="solver_opt" localSheetId="3" hidden="1">'PCR Cycle 2'!$E$43</definedName>
    <definedName name="solver_opt" localSheetId="5" hidden="1">'TDR Cycle 1'!#REF!</definedName>
    <definedName name="solver_opt" localSheetId="6" hidden="1">'TDR Cycle 2'!#REF!</definedName>
    <definedName name="solver_pre" localSheetId="2" hidden="1">0.000001</definedName>
    <definedName name="solver_pre" localSheetId="3" hidden="1">0.000001</definedName>
    <definedName name="solver_pre" localSheetId="5" hidden="1">0.000001</definedName>
    <definedName name="solver_pre" localSheetId="6" hidden="1">0.000001</definedName>
    <definedName name="solver_rbv" localSheetId="2" hidden="1">1</definedName>
    <definedName name="solver_rbv" localSheetId="3" hidden="1">1</definedName>
    <definedName name="solver_rbv" localSheetId="5" hidden="1">2</definedName>
    <definedName name="solver_rbv" localSheetId="6" hidden="1">2</definedName>
    <definedName name="solver_rlx" localSheetId="2" hidden="1">2</definedName>
    <definedName name="solver_rlx" localSheetId="3" hidden="1">2</definedName>
    <definedName name="solver_rlx" localSheetId="5" hidden="1">2</definedName>
    <definedName name="solver_rlx" localSheetId="6" hidden="1">2</definedName>
    <definedName name="solver_rsd" localSheetId="2" hidden="1">0</definedName>
    <definedName name="solver_rsd" localSheetId="3" hidden="1">0</definedName>
    <definedName name="solver_rsd" localSheetId="5" hidden="1">0</definedName>
    <definedName name="solver_rsd" localSheetId="6" hidden="1">0</definedName>
    <definedName name="solver_scl" localSheetId="2" hidden="1">1</definedName>
    <definedName name="solver_scl" localSheetId="3" hidden="1">1</definedName>
    <definedName name="solver_scl" localSheetId="5" hidden="1">2</definedName>
    <definedName name="solver_scl" localSheetId="6" hidden="1">2</definedName>
    <definedName name="solver_sho" localSheetId="2" hidden="1">2</definedName>
    <definedName name="solver_sho" localSheetId="3" hidden="1">2</definedName>
    <definedName name="solver_sho" localSheetId="5" hidden="1">2</definedName>
    <definedName name="solver_sho" localSheetId="6" hidden="1">2</definedName>
    <definedName name="solver_ssz" localSheetId="2" hidden="1">100</definedName>
    <definedName name="solver_ssz" localSheetId="3" hidden="1">100</definedName>
    <definedName name="solver_ssz" localSheetId="5" hidden="1">100</definedName>
    <definedName name="solver_ssz" localSheetId="6" hidden="1">100</definedName>
    <definedName name="solver_tim" localSheetId="2" hidden="1">2147483647</definedName>
    <definedName name="solver_tim" localSheetId="3" hidden="1">2147483647</definedName>
    <definedName name="solver_tim" localSheetId="5" hidden="1">2147483647</definedName>
    <definedName name="solver_tim" localSheetId="6" hidden="1">2147483647</definedName>
    <definedName name="solver_tol" localSheetId="2" hidden="1">0.01</definedName>
    <definedName name="solver_tol" localSheetId="3" hidden="1">0.01</definedName>
    <definedName name="solver_tol" localSheetId="5" hidden="1">0.01</definedName>
    <definedName name="solver_tol" localSheetId="6" hidden="1">0.01</definedName>
    <definedName name="solver_typ" localSheetId="2" hidden="1">3</definedName>
    <definedName name="solver_typ" localSheetId="3" hidden="1">3</definedName>
    <definedName name="solver_typ" localSheetId="5" hidden="1">3</definedName>
    <definedName name="solver_typ" localSheetId="6" hidden="1">3</definedName>
    <definedName name="solver_val" localSheetId="2" hidden="1">0</definedName>
    <definedName name="solver_val" localSheetId="3" hidden="1">0</definedName>
    <definedName name="solver_val" localSheetId="5" hidden="1">23888.44</definedName>
    <definedName name="solver_val" localSheetId="6" hidden="1">23888.44</definedName>
    <definedName name="solver_ver" localSheetId="2" hidden="1">3</definedName>
    <definedName name="solver_ver" localSheetId="3" hidden="1">3</definedName>
    <definedName name="solver_ver" localSheetId="5" hidden="1">3</definedName>
    <definedName name="solver_ver" localSheetId="6" hidden="1">3</definedName>
  </definedNames>
  <calcPr calcId="171027"/>
</workbook>
</file>

<file path=xl/calcChain.xml><?xml version="1.0" encoding="utf-8"?>
<calcChain xmlns="http://schemas.openxmlformats.org/spreadsheetml/2006/main">
  <c r="K13" i="15" l="1"/>
  <c r="J13" i="15"/>
  <c r="L22" i="1" l="1"/>
  <c r="K22" i="1"/>
  <c r="J22" i="1"/>
  <c r="I22" i="15" l="1"/>
  <c r="I21" i="15"/>
  <c r="I22" i="1"/>
  <c r="I21" i="1"/>
  <c r="H22" i="15" l="1"/>
  <c r="H21" i="15"/>
  <c r="H22" i="1"/>
  <c r="H21" i="1"/>
  <c r="G22" i="15" l="1"/>
  <c r="G21" i="15"/>
  <c r="G22" i="1"/>
  <c r="G21" i="1"/>
  <c r="F22" i="15" l="1"/>
  <c r="F21" i="15"/>
  <c r="F22" i="1"/>
  <c r="F21" i="1"/>
  <c r="E22" i="15" l="1"/>
  <c r="E21" i="15"/>
  <c r="D22" i="15"/>
  <c r="D21" i="15"/>
  <c r="E22" i="1"/>
  <c r="E21" i="1"/>
  <c r="D22" i="1"/>
  <c r="D21" i="1"/>
  <c r="D19" i="16" l="1"/>
  <c r="D20" i="16"/>
  <c r="D23" i="16"/>
  <c r="D24" i="16"/>
  <c r="E20" i="16" l="1"/>
  <c r="E19" i="16"/>
  <c r="E23" i="16"/>
  <c r="E24" i="16"/>
  <c r="F19" i="16" l="1"/>
  <c r="F20" i="16"/>
  <c r="F23" i="16"/>
  <c r="F24" i="16"/>
  <c r="G19" i="16" l="1"/>
  <c r="G20" i="16"/>
  <c r="G23" i="16"/>
  <c r="G24" i="16"/>
  <c r="H20" i="16" l="1"/>
  <c r="H19" i="16"/>
  <c r="H23" i="16"/>
  <c r="H24" i="16"/>
  <c r="I19" i="16" l="1"/>
  <c r="I20" i="16"/>
  <c r="I23" i="16"/>
  <c r="I24" i="16"/>
  <c r="I36" i="11" l="1"/>
  <c r="H36" i="11"/>
  <c r="G36" i="11"/>
  <c r="F36" i="11"/>
  <c r="E36" i="11"/>
  <c r="D36" i="11"/>
  <c r="B6" i="4" l="1"/>
  <c r="B5" i="4"/>
  <c r="L21" i="1" l="1"/>
  <c r="K21" i="1"/>
  <c r="J21" i="1"/>
  <c r="I38" i="1" l="1"/>
  <c r="H38" i="1"/>
  <c r="G38" i="1"/>
  <c r="F38" i="1"/>
  <c r="E38" i="1"/>
  <c r="D38" i="1"/>
  <c r="I17" i="9" l="1"/>
  <c r="I16" i="9"/>
  <c r="H17" i="9"/>
  <c r="H16" i="9"/>
  <c r="G17" i="9"/>
  <c r="G16" i="9"/>
  <c r="F17" i="9"/>
  <c r="F16" i="9"/>
  <c r="E17" i="9"/>
  <c r="E16" i="9"/>
  <c r="D17" i="9"/>
  <c r="D16" i="9"/>
  <c r="I16" i="16"/>
  <c r="I15" i="16"/>
  <c r="H16" i="16"/>
  <c r="H15" i="16"/>
  <c r="G16" i="16"/>
  <c r="G15" i="16"/>
  <c r="F16" i="16"/>
  <c r="F15" i="16"/>
  <c r="E16" i="16"/>
  <c r="E15" i="16"/>
  <c r="D16" i="16"/>
  <c r="D15" i="16"/>
  <c r="I16" i="11"/>
  <c r="I15" i="11"/>
  <c r="H16" i="11"/>
  <c r="H15" i="11"/>
  <c r="G16" i="11"/>
  <c r="G15" i="11"/>
  <c r="F16" i="11"/>
  <c r="F15" i="11"/>
  <c r="E16" i="11"/>
  <c r="E15" i="11"/>
  <c r="D16" i="11"/>
  <c r="D15" i="11"/>
  <c r="I26" i="15"/>
  <c r="I25" i="15"/>
  <c r="H26" i="15"/>
  <c r="H25" i="15"/>
  <c r="G26" i="15"/>
  <c r="G25" i="15"/>
  <c r="F26" i="15"/>
  <c r="F25" i="15"/>
  <c r="E26" i="15"/>
  <c r="E25" i="15"/>
  <c r="D26" i="15"/>
  <c r="D25" i="15"/>
  <c r="I26" i="1"/>
  <c r="I25" i="1"/>
  <c r="H26" i="1"/>
  <c r="H25" i="1"/>
  <c r="G26" i="1"/>
  <c r="G25" i="1"/>
  <c r="F26" i="1"/>
  <c r="F25" i="1"/>
  <c r="E26" i="1"/>
  <c r="E25" i="1"/>
  <c r="D26" i="1"/>
  <c r="D25" i="1"/>
  <c r="I13" i="15" l="1"/>
  <c r="H13" i="15"/>
  <c r="G13" i="15"/>
  <c r="F13" i="15"/>
  <c r="E13" i="15"/>
  <c r="I12" i="15"/>
  <c r="H12" i="15"/>
  <c r="G12" i="15"/>
  <c r="F12" i="15"/>
  <c r="E12" i="15"/>
  <c r="I11" i="15"/>
  <c r="H11" i="15"/>
  <c r="G11" i="15"/>
  <c r="F11" i="15"/>
  <c r="E11" i="15"/>
  <c r="I10" i="15"/>
  <c r="H10" i="15"/>
  <c r="G10" i="15"/>
  <c r="F10" i="15"/>
  <c r="E10" i="15"/>
  <c r="D13" i="15"/>
  <c r="D12" i="15"/>
  <c r="D11" i="15"/>
  <c r="D10" i="15"/>
  <c r="C30" i="16" l="1"/>
  <c r="C34" i="16" s="1"/>
  <c r="C29" i="16"/>
  <c r="C33" i="16" s="1"/>
  <c r="B43" i="16" l="1"/>
  <c r="B45" i="15" l="1"/>
  <c r="A2" i="10" l="1"/>
  <c r="E9" i="1"/>
  <c r="F9" i="1" s="1"/>
  <c r="G9" i="1" s="1"/>
  <c r="H9" i="1" s="1"/>
  <c r="I9" i="1" s="1"/>
  <c r="J9" i="1" s="1"/>
  <c r="K9" i="1" s="1"/>
  <c r="L9" i="1" s="1"/>
  <c r="A1" i="10" l="1"/>
  <c r="D9" i="10"/>
  <c r="D10" i="10" s="1"/>
  <c r="D11" i="10" s="1"/>
  <c r="C23" i="9" l="1"/>
  <c r="C22" i="9"/>
  <c r="C8" i="9" l="1"/>
  <c r="B8" i="9"/>
  <c r="D9" i="9" l="1"/>
  <c r="E9" i="9" s="1"/>
  <c r="F9" i="9" s="1"/>
  <c r="G9" i="9" s="1"/>
  <c r="H9" i="9" s="1"/>
  <c r="I9" i="9" s="1"/>
  <c r="J9" i="9" s="1"/>
  <c r="K9" i="9" s="1"/>
  <c r="L9" i="9" s="1"/>
  <c r="I29" i="9" l="1"/>
  <c r="A1" i="8" l="1"/>
  <c r="H29" i="9" l="1"/>
  <c r="G29" i="9"/>
  <c r="F29" i="9"/>
  <c r="E29" i="9"/>
  <c r="D29" i="9" l="1"/>
  <c r="B36" i="9" l="1"/>
  <c r="C36" i="9" s="1"/>
  <c r="L34" i="9"/>
  <c r="H23" i="9"/>
  <c r="H22" i="9"/>
  <c r="G22" i="9"/>
  <c r="D23" i="9"/>
  <c r="F23" i="9"/>
  <c r="E23" i="9"/>
  <c r="D22" i="9"/>
  <c r="G5" i="9"/>
  <c r="G4" i="9"/>
  <c r="A1" i="9"/>
  <c r="G6" i="9" l="1"/>
  <c r="E22" i="9"/>
  <c r="F22" i="9"/>
  <c r="G23" i="9"/>
  <c r="E5" i="9"/>
  <c r="C26" i="9"/>
  <c r="C27" i="9"/>
  <c r="J29" i="9"/>
  <c r="K29" i="9" s="1"/>
  <c r="E4" i="9" l="1"/>
  <c r="E6" i="9" s="1"/>
  <c r="D26" i="9"/>
  <c r="D31" i="9"/>
  <c r="D32" i="9"/>
  <c r="D27" i="9"/>
  <c r="D36" i="9" l="1"/>
  <c r="D34" i="9"/>
  <c r="E31" i="9"/>
  <c r="E26" i="9"/>
  <c r="E32" i="9"/>
  <c r="E27" i="9"/>
  <c r="A2" i="8"/>
  <c r="E36" i="9" l="1"/>
  <c r="E34" i="9"/>
  <c r="F27" i="9"/>
  <c r="F32" i="9"/>
  <c r="D33" i="9"/>
  <c r="F31" i="9"/>
  <c r="F26" i="9"/>
  <c r="E9" i="8"/>
  <c r="E8" i="8"/>
  <c r="B9" i="8"/>
  <c r="B8" i="8"/>
  <c r="D5" i="8"/>
  <c r="F36" i="9" l="1"/>
  <c r="F34" i="9"/>
  <c r="G26" i="9"/>
  <c r="G31" i="9"/>
  <c r="E33" i="9"/>
  <c r="G32" i="9"/>
  <c r="G27" i="9"/>
  <c r="E10" i="8"/>
  <c r="G36" i="9" l="1"/>
  <c r="H32" i="9"/>
  <c r="H27" i="9"/>
  <c r="G34" i="9"/>
  <c r="F33" i="9"/>
  <c r="H31" i="9"/>
  <c r="H26" i="9"/>
  <c r="H36" i="9" l="1"/>
  <c r="H34" i="9"/>
  <c r="G33" i="9"/>
  <c r="H33" i="9" l="1"/>
  <c r="L17" i="9" l="1"/>
  <c r="L23" i="9" s="1"/>
  <c r="L16" i="9"/>
  <c r="L22" i="9" s="1"/>
  <c r="B10" i="8" l="1"/>
  <c r="C8" i="8" s="1"/>
  <c r="D8" i="8" s="1"/>
  <c r="F8" i="8" s="1"/>
  <c r="G8" i="8" s="1"/>
  <c r="C9" i="8" l="1"/>
  <c r="E10" i="5" l="1"/>
  <c r="D9" i="8"/>
  <c r="F9" i="8" s="1"/>
  <c r="G9" i="8" s="1"/>
  <c r="C10" i="8"/>
  <c r="F10" i="8" l="1"/>
  <c r="D10" i="8"/>
  <c r="D11" i="8" s="1"/>
  <c r="E11" i="5" l="1"/>
  <c r="G10" i="8"/>
  <c r="K17" i="9" l="1"/>
  <c r="K23" i="9" s="1"/>
  <c r="J17" i="9"/>
  <c r="K16" i="9"/>
  <c r="J16" i="9"/>
  <c r="J23" i="9" l="1"/>
  <c r="K22" i="9"/>
  <c r="J22" i="9"/>
  <c r="D4" i="9"/>
  <c r="I22" i="9"/>
  <c r="I23" i="9"/>
  <c r="D5" i="9"/>
  <c r="F5" i="9" s="1"/>
  <c r="C10" i="16"/>
  <c r="B10" i="16"/>
  <c r="H12" i="11"/>
  <c r="G12" i="11"/>
  <c r="F12" i="11"/>
  <c r="E12" i="11"/>
  <c r="D12" i="11"/>
  <c r="H38" i="15"/>
  <c r="H36" i="16" s="1"/>
  <c r="G38" i="15"/>
  <c r="G36" i="16" s="1"/>
  <c r="F38" i="15"/>
  <c r="F36" i="16" s="1"/>
  <c r="E38" i="15"/>
  <c r="E36" i="16" s="1"/>
  <c r="D38" i="15"/>
  <c r="D36" i="16" s="1"/>
  <c r="C17" i="15"/>
  <c r="C18" i="15"/>
  <c r="C8" i="15"/>
  <c r="B8" i="15"/>
  <c r="I32" i="9" l="1"/>
  <c r="I27" i="9"/>
  <c r="I31" i="9"/>
  <c r="I26" i="9"/>
  <c r="D6" i="9"/>
  <c r="F4" i="9"/>
  <c r="C18" i="1"/>
  <c r="C17" i="1"/>
  <c r="H18" i="1"/>
  <c r="G18" i="1"/>
  <c r="F18" i="1"/>
  <c r="E18" i="1"/>
  <c r="D18" i="1"/>
  <c r="H17" i="1"/>
  <c r="G17" i="1"/>
  <c r="F17" i="1"/>
  <c r="E17" i="1"/>
  <c r="D17" i="1"/>
  <c r="I36" i="9" l="1"/>
  <c r="I33" i="9" s="1"/>
  <c r="J26" i="9"/>
  <c r="J31" i="9"/>
  <c r="F6" i="9"/>
  <c r="J32" i="9"/>
  <c r="J27" i="9"/>
  <c r="I34" i="9"/>
  <c r="J36" i="9" l="1"/>
  <c r="J33" i="9" s="1"/>
  <c r="K27" i="9"/>
  <c r="K32" i="9"/>
  <c r="H5" i="9" s="1"/>
  <c r="I5" i="9" s="1"/>
  <c r="E17" i="5" s="1"/>
  <c r="J34" i="9"/>
  <c r="K31" i="9"/>
  <c r="K26" i="9"/>
  <c r="H5" i="11"/>
  <c r="H4" i="11"/>
  <c r="K36" i="9" l="1"/>
  <c r="L36" i="9" s="1"/>
  <c r="K34" i="9"/>
  <c r="H4" i="9"/>
  <c r="L27" i="9"/>
  <c r="J5" i="9" s="1"/>
  <c r="L26" i="9"/>
  <c r="I38" i="15"/>
  <c r="L33" i="9" l="1"/>
  <c r="K33" i="9"/>
  <c r="H6" i="9"/>
  <c r="I4" i="9"/>
  <c r="E16" i="5" s="1"/>
  <c r="M20" i="11"/>
  <c r="E5" i="5" l="1"/>
  <c r="J4" i="9"/>
  <c r="I6" i="9"/>
  <c r="H18" i="15"/>
  <c r="G18" i="15"/>
  <c r="F18" i="15"/>
  <c r="E18" i="15"/>
  <c r="D18" i="15"/>
  <c r="H17" i="15"/>
  <c r="G17" i="15"/>
  <c r="F17" i="15"/>
  <c r="E17" i="15"/>
  <c r="D17" i="15"/>
  <c r="I18" i="15"/>
  <c r="I17" i="15"/>
  <c r="B43" i="11" l="1"/>
  <c r="E4" i="5" l="1"/>
  <c r="B45" i="1"/>
  <c r="C45" i="1" s="1"/>
  <c r="I36" i="16" l="1"/>
  <c r="L22" i="15" l="1"/>
  <c r="K22" i="15"/>
  <c r="J22" i="15"/>
  <c r="L21" i="15"/>
  <c r="K21" i="15"/>
  <c r="J21" i="15"/>
  <c r="J25" i="15" s="1"/>
  <c r="J38" i="15"/>
  <c r="D9" i="15"/>
  <c r="E9" i="15" s="1"/>
  <c r="F9" i="15" s="1"/>
  <c r="G9" i="15" s="1"/>
  <c r="H9" i="15" s="1"/>
  <c r="I9" i="15" s="1"/>
  <c r="J9" i="15" s="1"/>
  <c r="K9" i="15" s="1"/>
  <c r="L9" i="15" s="1"/>
  <c r="J36" i="16" l="1"/>
  <c r="M19" i="11"/>
  <c r="C10" i="11" l="1"/>
  <c r="B10" i="11"/>
  <c r="J38" i="1" l="1"/>
  <c r="C43" i="16" l="1"/>
  <c r="L16" i="16"/>
  <c r="L30" i="16" s="1"/>
  <c r="K16" i="16"/>
  <c r="J16" i="16"/>
  <c r="L15" i="16"/>
  <c r="L29" i="16" s="1"/>
  <c r="K15" i="16"/>
  <c r="J15" i="16"/>
  <c r="D11" i="16"/>
  <c r="E11" i="16" s="1"/>
  <c r="F11" i="16" s="1"/>
  <c r="G11" i="16" s="1"/>
  <c r="H11" i="16" s="1"/>
  <c r="I11" i="16" s="1"/>
  <c r="J11" i="16" s="1"/>
  <c r="K11" i="16" s="1"/>
  <c r="L11" i="16" s="1"/>
  <c r="H5" i="16"/>
  <c r="H4" i="16"/>
  <c r="A1" i="16"/>
  <c r="C45" i="15"/>
  <c r="L43" i="15"/>
  <c r="K38" i="15"/>
  <c r="C32" i="15"/>
  <c r="C36" i="15" s="1"/>
  <c r="C31" i="15"/>
  <c r="C35" i="15" s="1"/>
  <c r="L26" i="15"/>
  <c r="K26" i="15"/>
  <c r="J26" i="15"/>
  <c r="A26" i="15"/>
  <c r="L25" i="15"/>
  <c r="K25" i="15"/>
  <c r="L18" i="15"/>
  <c r="I32" i="15"/>
  <c r="H32" i="15"/>
  <c r="F32" i="15"/>
  <c r="E32" i="15"/>
  <c r="D32" i="15"/>
  <c r="L17" i="15"/>
  <c r="I31" i="15"/>
  <c r="H31" i="15"/>
  <c r="G31" i="15"/>
  <c r="F31" i="15"/>
  <c r="E31" i="15"/>
  <c r="D31" i="15"/>
  <c r="H5" i="15"/>
  <c r="E5" i="15"/>
  <c r="H4" i="15"/>
  <c r="E4" i="15"/>
  <c r="A1" i="15"/>
  <c r="H6" i="15" l="1"/>
  <c r="D36" i="15"/>
  <c r="D41" i="15"/>
  <c r="D35" i="15"/>
  <c r="D40" i="15"/>
  <c r="D5" i="15"/>
  <c r="K36" i="16"/>
  <c r="H6" i="16"/>
  <c r="E6" i="15"/>
  <c r="D4" i="15"/>
  <c r="L32" i="15"/>
  <c r="L31" i="15"/>
  <c r="D5" i="16"/>
  <c r="D4" i="16"/>
  <c r="G32" i="15"/>
  <c r="E35" i="15" l="1"/>
  <c r="E36" i="15"/>
  <c r="E40" i="15"/>
  <c r="E41" i="15"/>
  <c r="D6" i="15"/>
  <c r="D6" i="16"/>
  <c r="D43" i="15"/>
  <c r="D45" i="15"/>
  <c r="D42" i="15" s="1"/>
  <c r="F36" i="15" l="1"/>
  <c r="F35" i="15"/>
  <c r="F40" i="15"/>
  <c r="F41" i="15"/>
  <c r="E43" i="15"/>
  <c r="E45" i="15"/>
  <c r="E42" i="15" s="1"/>
  <c r="K16" i="11"/>
  <c r="J16" i="11"/>
  <c r="K15" i="11"/>
  <c r="J15" i="11"/>
  <c r="G41" i="15" l="1"/>
  <c r="G40" i="15"/>
  <c r="G36" i="15"/>
  <c r="G35" i="15"/>
  <c r="F45" i="15"/>
  <c r="F42" i="15" s="1"/>
  <c r="F43" i="15"/>
  <c r="F5" i="11"/>
  <c r="F4" i="11"/>
  <c r="H41" i="15" l="1"/>
  <c r="H40" i="15"/>
  <c r="H35" i="15"/>
  <c r="G43" i="15"/>
  <c r="H36" i="15"/>
  <c r="K38" i="1"/>
  <c r="G45" i="15"/>
  <c r="G42" i="15" s="1"/>
  <c r="J29" i="11"/>
  <c r="K29" i="11"/>
  <c r="J30" i="11"/>
  <c r="K30" i="11"/>
  <c r="J12" i="11"/>
  <c r="K12" i="11"/>
  <c r="K26" i="1"/>
  <c r="J26" i="1"/>
  <c r="K25" i="1"/>
  <c r="J25" i="1"/>
  <c r="J17" i="1"/>
  <c r="K17" i="1"/>
  <c r="L17" i="1"/>
  <c r="J18" i="1"/>
  <c r="K18" i="1"/>
  <c r="L18" i="1"/>
  <c r="I36" i="15" l="1"/>
  <c r="I41" i="15"/>
  <c r="I35" i="15"/>
  <c r="I40" i="15"/>
  <c r="H45" i="15"/>
  <c r="H42" i="15" s="1"/>
  <c r="H43" i="15"/>
  <c r="K31" i="1"/>
  <c r="J32" i="1"/>
  <c r="K32" i="1"/>
  <c r="J31" i="1"/>
  <c r="I45" i="15" l="1"/>
  <c r="I42" i="15" l="1"/>
  <c r="I43" i="15"/>
  <c r="H5" i="1" l="1"/>
  <c r="H4" i="1"/>
  <c r="H6" i="11" l="1"/>
  <c r="H6" i="1"/>
  <c r="C30" i="11"/>
  <c r="C34" i="11" s="1"/>
  <c r="C29" i="11"/>
  <c r="C33" i="11" s="1"/>
  <c r="C43" i="11" l="1"/>
  <c r="C32" i="1"/>
  <c r="C36" i="1" s="1"/>
  <c r="C31" i="1"/>
  <c r="C35" i="1" s="1"/>
  <c r="I12" i="11" l="1"/>
  <c r="E5" i="1" l="1"/>
  <c r="E4" i="1"/>
  <c r="H30" i="11" l="1"/>
  <c r="H29" i="11"/>
  <c r="G30" i="11"/>
  <c r="G29" i="11"/>
  <c r="F30" i="11"/>
  <c r="F29" i="11"/>
  <c r="H32" i="1"/>
  <c r="H31" i="1"/>
  <c r="F32" i="1"/>
  <c r="F31" i="1"/>
  <c r="G31" i="1" l="1"/>
  <c r="G32" i="1"/>
  <c r="L16" i="11" l="1"/>
  <c r="L15" i="11"/>
  <c r="L29" i="11" l="1"/>
  <c r="L30" i="11"/>
  <c r="L43" i="1"/>
  <c r="L26" i="1"/>
  <c r="L25" i="1"/>
  <c r="L32" i="1" l="1"/>
  <c r="L31" i="1"/>
  <c r="A1" i="5"/>
  <c r="A1" i="11"/>
  <c r="A1" i="12"/>
  <c r="A1" i="1"/>
  <c r="I18" i="1" l="1"/>
  <c r="F5" i="1" s="1"/>
  <c r="I17" i="1" l="1"/>
  <c r="F4" i="1" s="1"/>
  <c r="A2" i="12" l="1"/>
  <c r="D11" i="11" l="1"/>
  <c r="E11" i="11" s="1"/>
  <c r="F11" i="11" s="1"/>
  <c r="G11" i="11" s="1"/>
  <c r="H11" i="11" s="1"/>
  <c r="I11" i="11" s="1"/>
  <c r="J11" i="11" s="1"/>
  <c r="K11" i="11" s="1"/>
  <c r="L11" i="11" s="1"/>
  <c r="G6" i="4" l="1"/>
  <c r="F5" i="5" l="1"/>
  <c r="F4" i="5"/>
  <c r="E6" i="1" l="1"/>
  <c r="E31" i="1" l="1"/>
  <c r="E32" i="1"/>
  <c r="D31" i="1" l="1"/>
  <c r="D40" i="1" s="1"/>
  <c r="D32" i="1"/>
  <c r="D41" i="1" s="1"/>
  <c r="D43" i="1" l="1"/>
  <c r="D45" i="1"/>
  <c r="D35" i="1"/>
  <c r="D36" i="1"/>
  <c r="E41" i="1" l="1"/>
  <c r="E35" i="1"/>
  <c r="E40" i="1"/>
  <c r="D42" i="1" l="1"/>
  <c r="F40" i="1"/>
  <c r="E43" i="1"/>
  <c r="F35" i="1"/>
  <c r="E30" i="11"/>
  <c r="E29" i="11"/>
  <c r="G40" i="1" l="1"/>
  <c r="G35" i="1"/>
  <c r="D30" i="11"/>
  <c r="D39" i="11" s="1"/>
  <c r="D29" i="11"/>
  <c r="D38" i="11" s="1"/>
  <c r="E4" i="11"/>
  <c r="D33" i="11" l="1"/>
  <c r="E38" i="11" s="1"/>
  <c r="D34" i="11"/>
  <c r="E39" i="11" s="1"/>
  <c r="H40" i="1"/>
  <c r="H35" i="1"/>
  <c r="E5" i="11"/>
  <c r="D43" i="11" l="1"/>
  <c r="D40" i="11" s="1"/>
  <c r="E34" i="11"/>
  <c r="F39" i="11" s="1"/>
  <c r="E33" i="11"/>
  <c r="F38" i="11" s="1"/>
  <c r="F34" i="11" l="1"/>
  <c r="G39" i="11" s="1"/>
  <c r="F33" i="11"/>
  <c r="G38" i="11" s="1"/>
  <c r="D41" i="11"/>
  <c r="G34" i="11" l="1"/>
  <c r="H39" i="11" s="1"/>
  <c r="G33" i="11"/>
  <c r="H38" i="11" s="1"/>
  <c r="F41" i="11"/>
  <c r="E43" i="11"/>
  <c r="E40" i="11" s="1"/>
  <c r="E41" i="11"/>
  <c r="D5" i="11"/>
  <c r="H34" i="11" l="1"/>
  <c r="H33" i="11"/>
  <c r="D4" i="11"/>
  <c r="F43" i="11"/>
  <c r="F40" i="11" s="1"/>
  <c r="G41" i="11"/>
  <c r="G43" i="11" l="1"/>
  <c r="G40" i="11" s="1"/>
  <c r="H41" i="11"/>
  <c r="D6" i="11"/>
  <c r="F6" i="1"/>
  <c r="B7" i="4"/>
  <c r="F7" i="4"/>
  <c r="D4" i="1" l="1"/>
  <c r="D5" i="1"/>
  <c r="H43" i="11"/>
  <c r="H40" i="11" s="1"/>
  <c r="I32" i="1"/>
  <c r="I31" i="1"/>
  <c r="I35" i="1" l="1"/>
  <c r="I40" i="1"/>
  <c r="D6" i="1"/>
  <c r="G4" i="1"/>
  <c r="G5" i="5" l="1"/>
  <c r="L5" i="5" s="1"/>
  <c r="G4" i="5"/>
  <c r="A26" i="1"/>
  <c r="L4" i="5" l="1"/>
  <c r="H7" i="4" l="1"/>
  <c r="G7" i="4"/>
  <c r="I7" i="4" l="1"/>
  <c r="G5" i="1"/>
  <c r="G6" i="1" l="1"/>
  <c r="E36" i="1" l="1"/>
  <c r="F36" i="1" l="1"/>
  <c r="F41" i="1"/>
  <c r="F43" i="1" s="1"/>
  <c r="E45" i="1"/>
  <c r="J40" i="1" l="1"/>
  <c r="J35" i="1"/>
  <c r="E42" i="1"/>
  <c r="F45" i="1"/>
  <c r="G41" i="1"/>
  <c r="G43" i="1" s="1"/>
  <c r="G36" i="1"/>
  <c r="K40" i="1" l="1"/>
  <c r="F42" i="1"/>
  <c r="G45" i="1"/>
  <c r="H36" i="1"/>
  <c r="H41" i="1"/>
  <c r="H43" i="1" s="1"/>
  <c r="I41" i="1" l="1"/>
  <c r="I36" i="1"/>
  <c r="G42" i="1"/>
  <c r="H45" i="1"/>
  <c r="I45" i="1" l="1"/>
  <c r="I42" i="1" s="1"/>
  <c r="H42" i="1"/>
  <c r="J41" i="1" l="1"/>
  <c r="J36" i="1"/>
  <c r="K41" i="1" l="1"/>
  <c r="J45" i="1"/>
  <c r="I43" i="1"/>
  <c r="K35" i="1" l="1"/>
  <c r="L35" i="1" l="1"/>
  <c r="I4" i="1"/>
  <c r="J4" i="1" s="1"/>
  <c r="K4" i="1" l="1"/>
  <c r="J43" i="1" l="1"/>
  <c r="K36" i="1" l="1"/>
  <c r="J42" i="1" l="1"/>
  <c r="K45" i="1"/>
  <c r="I5" i="1"/>
  <c r="K43" i="1"/>
  <c r="L36" i="1"/>
  <c r="I30" i="11"/>
  <c r="I29" i="11"/>
  <c r="I38" i="11" l="1"/>
  <c r="I33" i="11"/>
  <c r="I39" i="11"/>
  <c r="I34" i="11"/>
  <c r="J5" i="1"/>
  <c r="I6" i="1"/>
  <c r="K42" i="1"/>
  <c r="L45" i="1"/>
  <c r="L42" i="1" s="1"/>
  <c r="F6" i="11"/>
  <c r="E6" i="11"/>
  <c r="G5" i="11"/>
  <c r="G4" i="11"/>
  <c r="I43" i="11" l="1"/>
  <c r="J36" i="11"/>
  <c r="J38" i="11" s="1"/>
  <c r="J33" i="11"/>
  <c r="J34" i="11"/>
  <c r="K5" i="1"/>
  <c r="J6" i="1"/>
  <c r="G6" i="11"/>
  <c r="I41" i="11" l="1"/>
  <c r="I40" i="11"/>
  <c r="K36" i="11"/>
  <c r="K39" i="11" s="1"/>
  <c r="J39" i="11"/>
  <c r="K34" i="11"/>
  <c r="L39" i="11" s="1"/>
  <c r="K33" i="11"/>
  <c r="L38" i="11" s="1"/>
  <c r="J43" i="11" l="1"/>
  <c r="J40" i="11" s="1"/>
  <c r="K38" i="11"/>
  <c r="M39" i="11"/>
  <c r="L33" i="11"/>
  <c r="L34" i="11"/>
  <c r="M38" i="11" l="1"/>
  <c r="J41" i="11"/>
  <c r="I5" i="11" l="1"/>
  <c r="J5" i="11" s="1"/>
  <c r="I4" i="11"/>
  <c r="J4" i="11" s="1"/>
  <c r="K43" i="11"/>
  <c r="K40" i="11" s="1"/>
  <c r="K41" i="11"/>
  <c r="K4" i="11" l="1"/>
  <c r="K5" i="11"/>
  <c r="I6" i="11"/>
  <c r="J6" i="11"/>
  <c r="L41" i="11"/>
  <c r="L43" i="11"/>
  <c r="L40" i="11" s="1"/>
  <c r="D30" i="16" l="1"/>
  <c r="D39" i="16" s="1"/>
  <c r="D29" i="16"/>
  <c r="E30" i="16" l="1"/>
  <c r="E29" i="16"/>
  <c r="D12" i="16"/>
  <c r="D34" i="16"/>
  <c r="D38" i="16"/>
  <c r="D33" i="16"/>
  <c r="E12" i="16" l="1"/>
  <c r="F29" i="16"/>
  <c r="G30" i="16"/>
  <c r="G29" i="16"/>
  <c r="D41" i="16"/>
  <c r="D43" i="16"/>
  <c r="D40" i="16" s="1"/>
  <c r="E39" i="16"/>
  <c r="E34" i="16"/>
  <c r="E38" i="16"/>
  <c r="E33" i="16"/>
  <c r="G12" i="16" l="1"/>
  <c r="H29" i="16"/>
  <c r="H30" i="16"/>
  <c r="E41" i="16"/>
  <c r="F38" i="16"/>
  <c r="F33" i="16"/>
  <c r="E43" i="16"/>
  <c r="E40" i="16" s="1"/>
  <c r="H12" i="16" l="1"/>
  <c r="G33" i="16"/>
  <c r="G38" i="16"/>
  <c r="I30" i="16" l="1"/>
  <c r="I29" i="16"/>
  <c r="H33" i="16"/>
  <c r="H38" i="16"/>
  <c r="I33" i="16" l="1"/>
  <c r="I38" i="16"/>
  <c r="I12" i="16"/>
  <c r="F30" i="16" l="1"/>
  <c r="F12" i="16" l="1"/>
  <c r="F39" i="16"/>
  <c r="F34" i="16"/>
  <c r="F41" i="16" l="1"/>
  <c r="G34" i="16"/>
  <c r="G39" i="16"/>
  <c r="G41" i="16" s="1"/>
  <c r="F43" i="16"/>
  <c r="F40" i="16" l="1"/>
  <c r="G43" i="16"/>
  <c r="H39" i="16"/>
  <c r="H41" i="16" s="1"/>
  <c r="H34" i="16"/>
  <c r="I39" i="16" l="1"/>
  <c r="I34" i="16"/>
  <c r="G40" i="16"/>
  <c r="H43" i="16"/>
  <c r="I43" i="16" l="1"/>
  <c r="I41" i="16"/>
  <c r="H40" i="16"/>
  <c r="I40" i="16" l="1"/>
  <c r="I8" i="4" l="1"/>
  <c r="I9" i="4" l="1"/>
  <c r="I10" i="4"/>
  <c r="J12" i="15" l="1"/>
  <c r="K12" i="15" l="1"/>
  <c r="H8" i="4" l="1"/>
  <c r="H10" i="4" l="1"/>
  <c r="H9" i="4"/>
  <c r="J11" i="15" l="1"/>
  <c r="K10" i="15"/>
  <c r="J10" i="15"/>
  <c r="K17" i="15" l="1"/>
  <c r="K31" i="15" s="1"/>
  <c r="J18" i="15"/>
  <c r="J17" i="15"/>
  <c r="K11" i="15"/>
  <c r="K18" i="15" s="1"/>
  <c r="K32" i="15" s="1"/>
  <c r="F5" i="15" l="1"/>
  <c r="G5" i="15" s="1"/>
  <c r="J32" i="15"/>
  <c r="J31" i="15"/>
  <c r="F4" i="15"/>
  <c r="F6" i="15" l="1"/>
  <c r="G4" i="15"/>
  <c r="J36" i="15"/>
  <c r="J41" i="15"/>
  <c r="J40" i="15"/>
  <c r="J35" i="15"/>
  <c r="K40" i="15" l="1"/>
  <c r="I4" i="15" s="1"/>
  <c r="J4" i="15" s="1"/>
  <c r="K35" i="15"/>
  <c r="J43" i="15"/>
  <c r="J45" i="15"/>
  <c r="J42" i="15" s="1"/>
  <c r="K41" i="15"/>
  <c r="I5" i="15" s="1"/>
  <c r="J5" i="15" s="1"/>
  <c r="K36" i="15"/>
  <c r="G6" i="15"/>
  <c r="L35" i="15" l="1"/>
  <c r="K4" i="15" s="1"/>
  <c r="I6" i="15"/>
  <c r="L36" i="15"/>
  <c r="K5" i="15" s="1"/>
  <c r="C17" i="5"/>
  <c r="J6" i="15"/>
  <c r="C16" i="5"/>
  <c r="K43" i="15"/>
  <c r="K45" i="15"/>
  <c r="L45" i="15" s="1"/>
  <c r="L42" i="15" l="1"/>
  <c r="K42" i="15"/>
  <c r="G8" i="4" l="1"/>
  <c r="G10" i="4" l="1"/>
  <c r="G9" i="4"/>
  <c r="J23" i="16" l="1"/>
  <c r="J19" i="16"/>
  <c r="J29" i="16" l="1"/>
  <c r="J20" i="16"/>
  <c r="K19" i="16"/>
  <c r="M19" i="16" s="1"/>
  <c r="E4" i="16" s="1"/>
  <c r="K23" i="16"/>
  <c r="K29" i="16" l="1"/>
  <c r="F4" i="16"/>
  <c r="G4" i="16" s="1"/>
  <c r="J38" i="16"/>
  <c r="J33" i="16"/>
  <c r="J24" i="16"/>
  <c r="K20" i="16"/>
  <c r="M20" i="16" s="1"/>
  <c r="E5" i="16" s="1"/>
  <c r="E6" i="16" s="1"/>
  <c r="J30" i="16" l="1"/>
  <c r="J12" i="16"/>
  <c r="K33" i="16"/>
  <c r="K38" i="16"/>
  <c r="K24" i="16"/>
  <c r="F5" i="16" s="1"/>
  <c r="G5" i="16" l="1"/>
  <c r="F6" i="16"/>
  <c r="K30" i="16"/>
  <c r="K12" i="16"/>
  <c r="J34" i="16"/>
  <c r="J39" i="16"/>
  <c r="J43" i="16" s="1"/>
  <c r="I4" i="16"/>
  <c r="L38" i="16"/>
  <c r="L33" i="16"/>
  <c r="K34" i="16" l="1"/>
  <c r="K39" i="16"/>
  <c r="I5" i="16" s="1"/>
  <c r="J5" i="16" s="1"/>
  <c r="J40" i="16"/>
  <c r="J41" i="16"/>
  <c r="G6" i="16"/>
  <c r="J4" i="16"/>
  <c r="I6" i="16" l="1"/>
  <c r="D17" i="5"/>
  <c r="K43" i="16"/>
  <c r="K40" i="16" s="1"/>
  <c r="K41" i="16"/>
  <c r="L39" i="16"/>
  <c r="L34" i="16"/>
  <c r="K5" i="16" s="1"/>
  <c r="D16" i="5"/>
  <c r="J6" i="16"/>
  <c r="K4" i="16"/>
  <c r="L41" i="16" l="1"/>
  <c r="L43" i="16"/>
  <c r="L40" i="16" s="1"/>
  <c r="B6" i="12"/>
  <c r="C6" i="12"/>
  <c r="D10" i="5" l="1"/>
  <c r="K4" i="5" l="1"/>
  <c r="D4" i="5"/>
  <c r="B7" i="12"/>
  <c r="B8" i="12" s="1"/>
  <c r="C7" i="12" l="1"/>
  <c r="D11" i="5" l="1"/>
  <c r="C8" i="12"/>
  <c r="K5" i="5" l="1"/>
  <c r="D5" i="5"/>
  <c r="F8" i="4" l="1"/>
  <c r="F10" i="4" l="1"/>
  <c r="C6" i="4" s="1"/>
  <c r="F9" i="4"/>
  <c r="C5" i="4" s="1"/>
  <c r="C10" i="5" l="1"/>
  <c r="C7" i="4"/>
  <c r="C8" i="4" s="1"/>
  <c r="C11" i="5"/>
  <c r="J4" i="5" l="1"/>
  <c r="C4" i="5"/>
  <c r="J5" i="5"/>
  <c r="C5" i="5"/>
  <c r="H4" i="5" l="1"/>
  <c r="H5" i="5"/>
</calcChain>
</file>

<file path=xl/sharedStrings.xml><?xml version="1.0" encoding="utf-8"?>
<sst xmlns="http://schemas.openxmlformats.org/spreadsheetml/2006/main" count="335" uniqueCount="147">
  <si>
    <t>Low Income</t>
  </si>
  <si>
    <t>Common/General</t>
  </si>
  <si>
    <t>Allocated Program Costs</t>
  </si>
  <si>
    <t>Over/(Under)</t>
  </si>
  <si>
    <t>PCR</t>
  </si>
  <si>
    <t>Allocations</t>
  </si>
  <si>
    <t>Total</t>
  </si>
  <si>
    <t>PPC</t>
  </si>
  <si>
    <t>Service Class</t>
  </si>
  <si>
    <t>FORECASTED</t>
  </si>
  <si>
    <t>TDR</t>
  </si>
  <si>
    <t>Interest</t>
  </si>
  <si>
    <t>CHECK</t>
  </si>
  <si>
    <t>INPUTS</t>
  </si>
  <si>
    <t>Starting Balance</t>
  </si>
  <si>
    <t>Program Cost Rate</t>
  </si>
  <si>
    <t>4. Total Interest</t>
  </si>
  <si>
    <t>2. Actual Revenues - TD-NSB Only</t>
  </si>
  <si>
    <t>5. Total Interest</t>
  </si>
  <si>
    <t>PTD</t>
  </si>
  <si>
    <t>OA</t>
  </si>
  <si>
    <t>OAR</t>
  </si>
  <si>
    <t>NPC</t>
  </si>
  <si>
    <t>NTD</t>
  </si>
  <si>
    <t>NOA</t>
  </si>
  <si>
    <t>cumulative check</t>
  </si>
  <si>
    <t>monthly GL interest check</t>
  </si>
  <si>
    <t>Programmable Thermostat</t>
  </si>
  <si>
    <t>Non-Residential %</t>
  </si>
  <si>
    <t>Residential</t>
  </si>
  <si>
    <t>Non-Residential</t>
  </si>
  <si>
    <t>2. PPC</t>
  </si>
  <si>
    <t>Residential/Non-Residential %</t>
  </si>
  <si>
    <t>DSIM($/kWh)</t>
  </si>
  <si>
    <t>2. PTD</t>
  </si>
  <si>
    <t xml:space="preserve">INPUTS </t>
  </si>
  <si>
    <t>3. Energy Savings (kWh)</t>
  </si>
  <si>
    <t>4. Total monthly interest - Source: calculated</t>
  </si>
  <si>
    <t>1. Actual/Forecasted Program Costs</t>
  </si>
  <si>
    <t>ACTUAL</t>
  </si>
  <si>
    <t>3. Actual/Forecasted Revenues - Program Costs Only</t>
  </si>
  <si>
    <t>Allocated Actual Program Costs (calculated)</t>
  </si>
  <si>
    <t>Regulatory Asset/(Liability) (calculated)</t>
  </si>
  <si>
    <t>1. Actual/Forecasted TD-NSB</t>
  </si>
  <si>
    <t>Interest Carrying Cost (calculated)</t>
  </si>
  <si>
    <t>Cumulative kWh Savings</t>
  </si>
  <si>
    <t>TD-NSB</t>
  </si>
  <si>
    <t>PE (kWh)</t>
  </si>
  <si>
    <t>Defined Terms</t>
  </si>
  <si>
    <t>EP = Effective Period (six months beginning July 2014) and each six month period thereafter</t>
  </si>
  <si>
    <t>PPC = Projected Program Costs in the upcoming EP</t>
  </si>
  <si>
    <t>PCR = Program Costs Reconciliation for the current EP</t>
  </si>
  <si>
    <t>NPC = Net Program Costs for the upcoming EP (PPC + PCR)</t>
  </si>
  <si>
    <t>PTD = Projected Throughput Disincentive in the upcoming EP</t>
  </si>
  <si>
    <t>NTD = Net Throughput Disincentive for the upcoming EP (PTD + TDR)</t>
  </si>
  <si>
    <t>OA = Ordered Adjustment</t>
  </si>
  <si>
    <t>OAR = Ordered Adjustment Reconciliation</t>
  </si>
  <si>
    <t>NOA = Net Order Adjustment (OA + OAR)</t>
  </si>
  <si>
    <t>PE = Projected Energy, in kWh to be delivered during the upcoming RP</t>
  </si>
  <si>
    <t>RP = Recovery Period (six months beginning August 2014) and each six month period thereafter</t>
  </si>
  <si>
    <t>1. PE - Recovery Period Forecasted Billed kWh Sales</t>
  </si>
  <si>
    <t>Billed kWh Sales</t>
  </si>
  <si>
    <t>Billed Revenues</t>
  </si>
  <si>
    <t>2. Actual/Forecasted Billed KWh Sales - Reduced for Opt-Out</t>
  </si>
  <si>
    <t>TDR = Throughput Disincentive Reconciliation in the current EP</t>
  </si>
  <si>
    <t>5. Short-Term Interest Rate</t>
  </si>
  <si>
    <t>6. Current Tariff Rate</t>
  </si>
  <si>
    <t>6. Actual program cost rate component of the tariff rate</t>
  </si>
  <si>
    <t>(Over)/Under (calculated)</t>
  </si>
  <si>
    <t>Cumulative (Over)/Under (calculated)</t>
  </si>
  <si>
    <t>Beginning Over/(Under)</t>
  </si>
  <si>
    <t>EO = Earnings Opportunity</t>
  </si>
  <si>
    <t>NEO = Net Earnings Opportunity (EO + EOR)</t>
  </si>
  <si>
    <t>EOR = Earnings Opportunity Reconciliation</t>
  </si>
  <si>
    <t>TD Rate</t>
  </si>
  <si>
    <t>NEO</t>
  </si>
  <si>
    <t>EO</t>
  </si>
  <si>
    <t>EOR</t>
  </si>
  <si>
    <t>Cycle 1 Program Costs Reconciliation (PCR) Calculation</t>
  </si>
  <si>
    <t>Income-Eligible</t>
  </si>
  <si>
    <t>Cycle 2 Program Costs Reconciliation (PCR) Calculation</t>
  </si>
  <si>
    <t>Cycle 2 Throughput Disincentive TD Reconciliation (TDR) Calculation</t>
  </si>
  <si>
    <t>2. Actual Revenues - TD Only</t>
  </si>
  <si>
    <t>1. Actual/Forecasted TD</t>
  </si>
  <si>
    <t>Cycle 2 Projected Throughput Disincentive (PTD) TD Calculation</t>
  </si>
  <si>
    <t>Cycle 2 Projected Program Costs (PPC) Calculation</t>
  </si>
  <si>
    <t>Cycle 1 Throughput Disincentive TD-NSB Reconciliation (TDR) Calculation</t>
  </si>
  <si>
    <t>Amortization Over 24 Month Recovery Period</t>
  </si>
  <si>
    <t>1. Forecasted kWh Sales Impact</t>
  </si>
  <si>
    <t>4. Actual/Forecasted TD-NSB</t>
  </si>
  <si>
    <t>5. Total monthly interest - Source: calculated</t>
  </si>
  <si>
    <t>6. AFUDC Rate</t>
  </si>
  <si>
    <t>7. Actual TD-NSB rate component of the tariff rate</t>
  </si>
  <si>
    <t>7. Current Tariff Rate</t>
  </si>
  <si>
    <t>4. Actual/Forecasted TD</t>
  </si>
  <si>
    <t>7. Actual TD rate component of the tariff rate</t>
  </si>
  <si>
    <t>6. Short-Term Interest Rate</t>
  </si>
  <si>
    <t>3. kWh sales impact</t>
  </si>
  <si>
    <t>Cumulative kWh Sales Impact</t>
  </si>
  <si>
    <t>TD</t>
  </si>
  <si>
    <t>Cycle 1 Earnings Opportunity (EO) Calculation</t>
  </si>
  <si>
    <t>EO Rate</t>
  </si>
  <si>
    <t>1. Total Performance Incentive</t>
  </si>
  <si>
    <t>2. Verified kWh Savings</t>
  </si>
  <si>
    <t>3. Allocation %</t>
  </si>
  <si>
    <t>4. Carrying Costs @ Short-Term Borrowing Rate</t>
  </si>
  <si>
    <t>5. Total Performance Incentive plus Carrying Costs</t>
  </si>
  <si>
    <t>1. Verified kWh Savings - Source: GMO Cycle 1 Performance Incentive with Carrying Costs.xlsx</t>
  </si>
  <si>
    <t>2. Total Performance Incentive - Source: GMO Cycle 1 Performance Incentive with Carrying Costs.xlsx</t>
  </si>
  <si>
    <t>3. Allocation % - Calculated % of Residential and Non-Residential kWh Savings to Total Savings.</t>
  </si>
  <si>
    <t>4. Carrying Costs @ Short-Term Borrowing Rate - Source: GMO Cycle 1 Performance Incentive with Carrying Costs.xlsx</t>
  </si>
  <si>
    <t>5. Total Performance Incentive plus Carrying Costs - Sum</t>
  </si>
  <si>
    <t>Cycle 1 Earnings Opportunity Reconciliation (EOR) Calculation</t>
  </si>
  <si>
    <t>Carrying Cost</t>
  </si>
  <si>
    <t>1. &amp; 4. Actual monthly TD-NSB - Source: None</t>
  </si>
  <si>
    <t>1. Allocated Actual Earnings Opportunity</t>
  </si>
  <si>
    <t>1. Actual monthly earnings opportunity - Source: None</t>
  </si>
  <si>
    <t>2. Actual/Forecasted Revenues - Earnings Opportunity Only</t>
  </si>
  <si>
    <t>3. Total Interest</t>
  </si>
  <si>
    <t>4. Short-Term Interest Rate</t>
  </si>
  <si>
    <t>3. Total monthly interest - Source: calculated</t>
  </si>
  <si>
    <t>5. Actual EO rate component of the tariff rate</t>
  </si>
  <si>
    <t>Cycle 1 Ordered Adjustment (OA) Calculation</t>
  </si>
  <si>
    <t>1. Ordered Adjustment</t>
  </si>
  <si>
    <t>2. Carrying Costs on OA</t>
  </si>
  <si>
    <t>1. Ordered Adjustment - Source: None</t>
  </si>
  <si>
    <t>2. Carrying Costs on OA - Source: None</t>
  </si>
  <si>
    <t>1. Actual monthly program costs by allocation bucket Residential, Non-Residential, Low Income, Common/General, Programmable Thermostat) - Source: None</t>
  </si>
  <si>
    <t>1. Forecasted kWh by Residential/Non-Residential (Reduced for Opt-Out) - Source: Billed kWh Budget GMO 2018-2019.xlsx</t>
  </si>
  <si>
    <t>Projections for Cycle 2 January - June 2019 DSIM</t>
  </si>
  <si>
    <t>Cumulative Over/Under Carryover From 06/01/2018 Filing</t>
  </si>
  <si>
    <t>Reverse May-18 - Jun-18  Forecast From 06/01/2018 Filing</t>
  </si>
  <si>
    <t>2. Actual monthly kWh billed sales by Residential/Non-Residential (reduced for opt-out) - Source: GMO MEEIA 2018 Revenue Analysis.xlsx
    Forecasted monthly kWh billed sales by Residential/Non-Residential (reduced for opt-out) - Source: Billed kWh Budget GMO 2018-2019.xlsx</t>
  </si>
  <si>
    <t>3. Actual monthly billed revenues by Residential/Non-Residential (program cost revenues only) - GMO MEEIA 2018 Revenue Analysis.xlsx
Forecasted monthly billed revenues by Residential/Non-Residential (program cost revenues only) - Source: calculated = Forecasted billed kWh sales X tariff rate</t>
  </si>
  <si>
    <t>5. Monthly Short-Term Borrowing Rate - Source: GMO Short-Term Borrowing Rate May 2018 - October 2018.xlsx</t>
  </si>
  <si>
    <t>3. Actual monthly billed revenues by Residential/Non-Residential (program cost revenues only) - GMO MEEIA 2018 Revenue Analysis.xlsx
    Forecasted monthly billed revenues by Residential/Non-Residential (program cost revenues only) - Source: calculated = Forecasted billed kWh sales X tariff rate</t>
  </si>
  <si>
    <t>2. Actual monthly kWh billed sales by Residential/Non-Residential (reduced for opt-out) - Source: GMO MEEIA 2018 Revenue Analysis.xlsx 
    Forecasted monthly kWh billed sales by Residential/Non-Residential (reduced for opt-out) - Source: Billed kWh Budget GMO 2018-2019.xlsx</t>
  </si>
  <si>
    <t>3. Actual monthly billed revenues by Residential/Non-Residential (TD-NSB only) - GMO MEEIA 2018 Revenue Analysis.xlsx
Forecasted monthly billed revenues by Residential/Non-Residential (TD-NSB revenues only) - Source: calculated = Forecasted billed kWh sales X tariff rate</t>
  </si>
  <si>
    <t>6. Monthly AFUDC Rate - Source: GMO AFUDC Rate Computation May thru October 2018.xlsx</t>
  </si>
  <si>
    <t>2. Actual monthly billed revenues by Residential/Non-Residential (program cost revenues only) - GMO MEEIA 2018 Revenue Analysis.xlsx 
Forecasted monthly billed revenues by Residential/Non-Residential (program cost revenues only) - Source: calculated = Forecasted billed kWh sales X tariff rate</t>
  </si>
  <si>
    <t>2. Forecasted program costs by allocation bucket (Residential, Non-Residential, Income-Eligible, Common/General) - Source: GMO MEEIA Cycle 2 Forecast 2017-2019 102018 actuals 11072018.xlsx</t>
  </si>
  <si>
    <t>1. Actual monthly program costs by allocation bucket Residential, Non-Residential, Income-Eligible, Common/General) - Source: SI Projects 052018-102018 GMO.xls
    Forecasted monthly program costs by allocation bucket - Source: GMO MEEIA Cycle 2 Forecast 2017-2019 102018 actuals 11072018.xlsx</t>
  </si>
  <si>
    <t>1. Forecasted Residential/Non-Residential kWh Sales Impact  - Source: GMO MEEIA Cycle 2 Forecast 2017-2019 102018 actuals 11072018.xlsx</t>
  </si>
  <si>
    <t>2. Forecasted Throughput Disincentive  - Source: GMO MEEIA Cycle 2 Forecast 2017-2019 102018 actuals 11072018.xlsx</t>
  </si>
  <si>
    <t>1. &amp; 4. Actual monthly TD - Source: TD Model GMO 102018 final 11072018.xlsx
    Forecasted monthly TD - Source: GMO MEEIA Cycle 2 Forecast 2017-2019 102018 actuals 11072018.xlsx</t>
  </si>
  <si>
    <t>3. Actual monthly kWh Sales Impact - Source: TD Model GMO 042018 final 0508018.xlsx
    Forecasted monthly kWh Sales Impact - Source: GMO MEEIA Cycle 2 Forecast 2017-2019 102018 actuals 11072018.xlsx</t>
  </si>
  <si>
    <t>KCP&amp;L Greater Missouri Operations Company - DSIM Rider Update Filed 11/30/2018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</si>
</sst>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0.0000%"/>
    <numFmt numFmtId="169" formatCode="_(&quot;$&quot;* #,##0.00000_);_(&quot;$&quot;* \(#,##0.00000\);_(&quot;$&quot;* &quot;-&quot;?????_);_(@_)"/>
    <numFmt numFmtId="170" formatCode="0.00000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0"/>
      <color rgb="FF000000"/>
      <name val="Courier New"/>
      <family val="3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0"/>
      <name val="Arial"/>
      <family val="2"/>
    </font>
    <font>
      <u/>
      <sz val="6"/>
      <color indexed="12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ourier New"/>
      <family val="3"/>
    </font>
    <font>
      <b/>
      <u/>
      <sz val="10"/>
      <color theme="1"/>
      <name val="Courier New"/>
      <family val="3"/>
    </font>
    <font>
      <b/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33CC"/>
      <name val="Courier New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6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7F7F7F"/>
      </bottom>
      <diagonal/>
    </border>
    <border>
      <left/>
      <right style="medium">
        <color indexed="64"/>
      </right>
      <top/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double">
        <color rgb="FF3F3F3F"/>
      </left>
      <right style="medium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 style="medium">
        <color auto="1"/>
      </left>
      <right style="thin">
        <color rgb="FF7F7F7F"/>
      </right>
      <top style="thin">
        <color rgb="FF7F7F7F"/>
      </top>
      <bottom style="double">
        <color rgb="FF3F3F3F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rgb="FF7F7F7F"/>
      </bottom>
      <diagonal/>
    </border>
    <border>
      <left style="medium">
        <color auto="1"/>
      </left>
      <right style="medium">
        <color indexed="64"/>
      </right>
      <top style="thin">
        <color rgb="FF7F7F7F"/>
      </top>
      <bottom style="medium">
        <color auto="1"/>
      </bottom>
      <diagonal/>
    </border>
    <border>
      <left style="medium">
        <color auto="1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/>
      <bottom style="double">
        <color rgb="FF3F3F3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 style="thin">
        <color rgb="FF7F7F7F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double">
        <color rgb="FF3F3F3F"/>
      </top>
      <bottom style="double">
        <color rgb="FF3F3F3F"/>
      </bottom>
      <diagonal/>
    </border>
    <border>
      <left/>
      <right/>
      <top style="thin">
        <color rgb="FF7F7F7F"/>
      </top>
      <bottom style="medium">
        <color indexed="64"/>
      </bottom>
      <diagonal/>
    </border>
    <border>
      <left style="thin">
        <color theme="0" tint="-0.24994659260841701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</borders>
  <cellStyleXfs count="30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7" borderId="17" applyNumberFormat="0" applyAlignment="0" applyProtection="0"/>
    <xf numFmtId="0" fontId="14" fillId="7" borderId="1" applyNumberFormat="0" applyAlignment="0" applyProtection="0"/>
    <xf numFmtId="0" fontId="1" fillId="8" borderId="18" applyNumberFormat="0" applyFont="0" applyAlignment="0" applyProtection="0"/>
    <xf numFmtId="0" fontId="15" fillId="0" borderId="2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29" applyNumberFormat="0" applyFill="0" applyAlignment="0" applyProtection="0"/>
    <xf numFmtId="0" fontId="18" fillId="0" borderId="30" applyNumberFormat="0" applyFill="0" applyAlignment="0" applyProtection="0"/>
    <xf numFmtId="0" fontId="19" fillId="0" borderId="31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32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3" borderId="0" applyNumberFormat="0" applyAlignment="0">
      <alignment horizontal="right"/>
    </xf>
    <xf numFmtId="0" fontId="12" fillId="34" borderId="0" applyNumberFormat="0" applyAlignment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3" borderId="0" applyNumberFormat="0" applyAlignment="0">
      <alignment horizontal="right"/>
    </xf>
    <xf numFmtId="0" fontId="12" fillId="34" borderId="0" applyNumberFormat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</cellStyleXfs>
  <cellXfs count="251">
    <xf numFmtId="0" fontId="0" fillId="0" borderId="0" xfId="0"/>
    <xf numFmtId="164" fontId="0" fillId="0" borderId="0" xfId="0" applyNumberFormat="1"/>
    <xf numFmtId="0" fontId="7" fillId="0" borderId="0" xfId="8"/>
    <xf numFmtId="0" fontId="8" fillId="0" borderId="0" xfId="0" applyFont="1"/>
    <xf numFmtId="44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44" fontId="8" fillId="0" borderId="0" xfId="0" applyNumberFormat="1" applyFont="1"/>
    <xf numFmtId="166" fontId="0" fillId="0" borderId="0" xfId="0" applyNumberFormat="1"/>
    <xf numFmtId="0" fontId="9" fillId="0" borderId="0" xfId="0" applyFont="1" applyAlignment="1">
      <alignment horizontal="left"/>
    </xf>
    <xf numFmtId="0" fontId="0" fillId="0" borderId="9" xfId="0" applyBorder="1"/>
    <xf numFmtId="0" fontId="0" fillId="0" borderId="10" xfId="0" applyBorder="1"/>
    <xf numFmtId="44" fontId="0" fillId="0" borderId="9" xfId="0" applyNumberFormat="1" applyBorder="1"/>
    <xf numFmtId="44" fontId="0" fillId="0" borderId="10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5" fontId="5" fillId="5" borderId="13" xfId="6" applyNumberFormat="1" applyBorder="1"/>
    <xf numFmtId="0" fontId="0" fillId="0" borderId="0" xfId="0" applyBorder="1"/>
    <xf numFmtId="0" fontId="7" fillId="0" borderId="0" xfId="8" applyBorder="1"/>
    <xf numFmtId="44" fontId="0" fillId="0" borderId="0" xfId="0" applyNumberFormat="1" applyBorder="1"/>
    <xf numFmtId="164" fontId="0" fillId="0" borderId="12" xfId="0" applyNumberFormat="1" applyBorder="1"/>
    <xf numFmtId="43" fontId="6" fillId="6" borderId="2" xfId="1" applyFont="1" applyFill="1" applyBorder="1"/>
    <xf numFmtId="0" fontId="8" fillId="0" borderId="0" xfId="0" applyFont="1" applyAlignment="1">
      <alignment horizontal="right"/>
    </xf>
    <xf numFmtId="10" fontId="0" fillId="0" borderId="0" xfId="0" applyNumberFormat="1"/>
    <xf numFmtId="165" fontId="14" fillId="7" borderId="1" xfId="13" applyNumberFormat="1"/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7" borderId="1" xfId="13" applyNumberFormat="1" applyBorder="1" applyAlignment="1">
      <alignment horizontal="center"/>
    </xf>
    <xf numFmtId="10" fontId="14" fillId="7" borderId="14" xfId="13" applyNumberFormat="1" applyBorder="1" applyAlignment="1">
      <alignment horizontal="center"/>
    </xf>
    <xf numFmtId="165" fontId="14" fillId="7" borderId="16" xfId="13" applyNumberFormat="1" applyBorder="1" applyAlignment="1">
      <alignment horizontal="center"/>
    </xf>
    <xf numFmtId="165" fontId="14" fillId="7" borderId="21" xfId="13" applyNumberFormat="1" applyBorder="1" applyAlignment="1">
      <alignment horizontal="center"/>
    </xf>
    <xf numFmtId="0" fontId="7" fillId="0" borderId="9" xfId="8" applyBorder="1" applyAlignment="1">
      <alignment horizontal="right"/>
    </xf>
    <xf numFmtId="0" fontId="8" fillId="0" borderId="25" xfId="0" applyFont="1" applyBorder="1" applyAlignment="1">
      <alignment horizontal="right"/>
    </xf>
    <xf numFmtId="0" fontId="7" fillId="0" borderId="0" xfId="8" applyAlignment="1">
      <alignment horizontal="right"/>
    </xf>
    <xf numFmtId="167" fontId="5" fillId="5" borderId="1" xfId="6" applyNumberFormat="1"/>
    <xf numFmtId="167" fontId="14" fillId="7" borderId="1" xfId="13" applyNumberFormat="1"/>
    <xf numFmtId="165" fontId="13" fillId="7" borderId="17" xfId="12" applyNumberFormat="1"/>
    <xf numFmtId="165" fontId="5" fillId="5" borderId="16" xfId="6" applyNumberFormat="1" applyBorder="1" applyAlignment="1">
      <alignment horizontal="center"/>
    </xf>
    <xf numFmtId="165" fontId="5" fillId="5" borderId="21" xfId="6" applyNumberFormat="1" applyBorder="1" applyAlignment="1">
      <alignment horizontal="center"/>
    </xf>
    <xf numFmtId="165" fontId="5" fillId="5" borderId="15" xfId="11" applyNumberFormat="1" applyFont="1" applyFill="1" applyBorder="1"/>
    <xf numFmtId="165" fontId="6" fillId="6" borderId="2" xfId="7" applyNumberFormat="1"/>
    <xf numFmtId="165" fontId="0" fillId="0" borderId="9" xfId="0" applyNumberFormat="1" applyBorder="1"/>
    <xf numFmtId="165" fontId="0" fillId="0" borderId="10" xfId="0" applyNumberFormat="1" applyBorder="1"/>
    <xf numFmtId="0" fontId="8" fillId="0" borderId="0" xfId="0" applyFont="1" applyFill="1" applyBorder="1" applyAlignment="1">
      <alignment horizontal="right"/>
    </xf>
    <xf numFmtId="165" fontId="0" fillId="0" borderId="0" xfId="0" applyNumberFormat="1" applyBorder="1"/>
    <xf numFmtId="44" fontId="6" fillId="6" borderId="2" xfId="7" applyNumberFormat="1"/>
    <xf numFmtId="165" fontId="5" fillId="0" borderId="0" xfId="11" applyNumberFormat="1" applyFont="1" applyFill="1" applyBorder="1"/>
    <xf numFmtId="165" fontId="4" fillId="0" borderId="0" xfId="11" applyNumberFormat="1" applyFont="1" applyFill="1" applyBorder="1"/>
    <xf numFmtId="10" fontId="5" fillId="0" borderId="0" xfId="2" applyNumberFormat="1" applyFont="1" applyFill="1" applyBorder="1"/>
    <xf numFmtId="165" fontId="5" fillId="0" borderId="9" xfId="6" applyNumberFormat="1" applyFill="1" applyBorder="1"/>
    <xf numFmtId="165" fontId="5" fillId="0" borderId="0" xfId="6" applyNumberFormat="1" applyFill="1" applyBorder="1"/>
    <xf numFmtId="37" fontId="4" fillId="0" borderId="10" xfId="5" applyNumberFormat="1" applyFill="1" applyBorder="1"/>
    <xf numFmtId="0" fontId="0" fillId="0" borderId="0" xfId="0" applyFill="1"/>
    <xf numFmtId="165" fontId="14" fillId="7" borderId="13" xfId="13" applyNumberFormat="1" applyBorder="1"/>
    <xf numFmtId="165" fontId="14" fillId="7" borderId="1" xfId="13" applyNumberFormat="1" applyBorder="1"/>
    <xf numFmtId="44" fontId="6" fillId="6" borderId="2" xfId="7" applyNumberFormat="1" applyBorder="1"/>
    <xf numFmtId="0" fontId="0" fillId="0" borderId="11" xfId="0" applyBorder="1"/>
    <xf numFmtId="0" fontId="0" fillId="0" borderId="28" xfId="0" applyBorder="1"/>
    <xf numFmtId="0" fontId="0" fillId="0" borderId="6" xfId="0" applyBorder="1"/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8" fillId="0" borderId="0" xfId="0" applyFont="1" applyAlignment="1">
      <alignment horizontal="center"/>
    </xf>
    <xf numFmtId="165" fontId="14" fillId="7" borderId="33" xfId="13" applyNumberFormat="1" applyBorder="1"/>
    <xf numFmtId="44" fontId="6" fillId="6" borderId="34" xfId="7" applyNumberFormat="1" applyBorder="1"/>
    <xf numFmtId="44" fontId="6" fillId="6" borderId="35" xfId="7" applyNumberFormat="1" applyBorder="1"/>
    <xf numFmtId="37" fontId="4" fillId="0" borderId="0" xfId="5" applyNumberFormat="1" applyFill="1" applyBorder="1"/>
    <xf numFmtId="0" fontId="8" fillId="35" borderId="0" xfId="0" applyFont="1" applyFill="1"/>
    <xf numFmtId="0" fontId="7" fillId="0" borderId="0" xfId="8" applyBorder="1" applyAlignment="1">
      <alignment horizontal="right"/>
    </xf>
    <xf numFmtId="165" fontId="5" fillId="5" borderId="1" xfId="6" applyNumberFormat="1" applyBorder="1"/>
    <xf numFmtId="44" fontId="0" fillId="0" borderId="0" xfId="0" applyNumberFormat="1" applyBorder="1"/>
    <xf numFmtId="165" fontId="5" fillId="5" borderId="22" xfId="6" applyNumberFormat="1" applyBorder="1"/>
    <xf numFmtId="44" fontId="0" fillId="0" borderId="36" xfId="0" applyNumberFormat="1" applyBorder="1"/>
    <xf numFmtId="44" fontId="0" fillId="0" borderId="37" xfId="0" applyNumberFormat="1" applyBorder="1"/>
    <xf numFmtId="3" fontId="14" fillId="7" borderId="23" xfId="13" applyNumberFormat="1" applyBorder="1" applyAlignment="1">
      <alignment horizontal="right"/>
    </xf>
    <xf numFmtId="165" fontId="4" fillId="0" borderId="10" xfId="11" applyNumberFormat="1" applyFont="1" applyFill="1" applyBorder="1"/>
    <xf numFmtId="165" fontId="14" fillId="7" borderId="14" xfId="13" applyNumberFormat="1" applyBorder="1"/>
    <xf numFmtId="44" fontId="6" fillId="6" borderId="24" xfId="7" applyNumberFormat="1" applyBorder="1"/>
    <xf numFmtId="0" fontId="8" fillId="0" borderId="0" xfId="0" applyFont="1" applyFill="1"/>
    <xf numFmtId="165" fontId="5" fillId="0" borderId="9" xfId="11" applyNumberFormat="1" applyFont="1" applyFill="1" applyBorder="1"/>
    <xf numFmtId="10" fontId="5" fillId="0" borderId="9" xfId="2" applyNumberFormat="1" applyFont="1" applyFill="1" applyBorder="1"/>
    <xf numFmtId="165" fontId="5" fillId="0" borderId="12" xfId="11" applyNumberFormat="1" applyFont="1" applyFill="1" applyBorder="1"/>
    <xf numFmtId="44" fontId="0" fillId="0" borderId="9" xfId="0" applyNumberFormat="1" applyFill="1" applyBorder="1"/>
    <xf numFmtId="44" fontId="0" fillId="0" borderId="0" xfId="0" applyNumberFormat="1" applyFill="1" applyBorder="1"/>
    <xf numFmtId="0" fontId="8" fillId="36" borderId="0" xfId="0" applyFont="1" applyFill="1"/>
    <xf numFmtId="0" fontId="8" fillId="0" borderId="0" xfId="0" applyFont="1" applyAlignment="1">
      <alignment horizontal="center" wrapText="1"/>
    </xf>
    <xf numFmtId="168" fontId="0" fillId="0" borderId="9" xfId="0" applyNumberFormat="1" applyBorder="1"/>
    <xf numFmtId="169" fontId="5" fillId="5" borderId="23" xfId="6" applyNumberFormat="1" applyBorder="1"/>
    <xf numFmtId="10" fontId="5" fillId="5" borderId="23" xfId="6" applyNumberFormat="1" applyBorder="1"/>
    <xf numFmtId="0" fontId="8" fillId="0" borderId="0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41" fontId="5" fillId="5" borderId="13" xfId="6" applyNumberFormat="1" applyBorder="1"/>
    <xf numFmtId="41" fontId="5" fillId="5" borderId="1" xfId="6" applyNumberFormat="1" applyBorder="1"/>
    <xf numFmtId="165" fontId="6" fillId="6" borderId="2" xfId="1" applyNumberFormat="1" applyFont="1" applyFill="1" applyBorder="1"/>
    <xf numFmtId="165" fontId="4" fillId="4" borderId="39" xfId="11" applyNumberFormat="1" applyFont="1" applyFill="1" applyBorder="1"/>
    <xf numFmtId="3" fontId="4" fillId="4" borderId="39" xfId="5" applyNumberFormat="1" applyBorder="1"/>
    <xf numFmtId="165" fontId="4" fillId="4" borderId="38" xfId="5" applyNumberFormat="1" applyBorder="1"/>
    <xf numFmtId="165" fontId="4" fillId="4" borderId="39" xfId="5" applyNumberFormat="1" applyBorder="1"/>
    <xf numFmtId="41" fontId="4" fillId="4" borderId="39" xfId="5" applyNumberFormat="1" applyBorder="1"/>
    <xf numFmtId="165" fontId="4" fillId="4" borderId="40" xfId="5" applyNumberFormat="1" applyBorder="1"/>
    <xf numFmtId="165" fontId="4" fillId="4" borderId="40" xfId="11" applyNumberFormat="1" applyFont="1" applyFill="1" applyBorder="1"/>
    <xf numFmtId="42" fontId="14" fillId="7" borderId="33" xfId="13" applyNumberFormat="1" applyBorder="1"/>
    <xf numFmtId="170" fontId="0" fillId="0" borderId="0" xfId="2" applyNumberFormat="1" applyFont="1" applyBorder="1"/>
    <xf numFmtId="170" fontId="0" fillId="0" borderId="0" xfId="0" applyNumberFormat="1" applyBorder="1"/>
    <xf numFmtId="170" fontId="0" fillId="0" borderId="9" xfId="2" applyNumberFormat="1" applyFont="1" applyBorder="1"/>
    <xf numFmtId="170" fontId="0" fillId="0" borderId="10" xfId="2" applyNumberFormat="1" applyFont="1" applyBorder="1"/>
    <xf numFmtId="42" fontId="5" fillId="5" borderId="1" xfId="6" applyNumberFormat="1"/>
    <xf numFmtId="0" fontId="8" fillId="0" borderId="7" xfId="0" applyFont="1" applyBorder="1" applyAlignment="1">
      <alignment horizontal="right"/>
    </xf>
    <xf numFmtId="165" fontId="14" fillId="7" borderId="26" xfId="13" applyNumberFormat="1" applyBorder="1" applyAlignment="1">
      <alignment horizontal="center"/>
    </xf>
    <xf numFmtId="165" fontId="14" fillId="7" borderId="41" xfId="13" applyNumberFormat="1" applyBorder="1" applyAlignment="1">
      <alignment horizontal="center"/>
    </xf>
    <xf numFmtId="44" fontId="7" fillId="0" borderId="0" xfId="8" applyNumberFormat="1" applyFill="1" applyBorder="1"/>
    <xf numFmtId="0" fontId="30" fillId="0" borderId="3" xfId="0" applyFont="1" applyBorder="1" applyAlignment="1">
      <alignment vertical="center" wrapText="1"/>
    </xf>
    <xf numFmtId="0" fontId="30" fillId="0" borderId="4" xfId="0" applyFont="1" applyFill="1" applyBorder="1" applyAlignment="1">
      <alignment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9" xfId="8" applyBorder="1"/>
    <xf numFmtId="170" fontId="0" fillId="0" borderId="10" xfId="0" applyNumberFormat="1" applyBorder="1"/>
    <xf numFmtId="0" fontId="31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164" fontId="0" fillId="0" borderId="42" xfId="0" applyNumberFormat="1" applyBorder="1"/>
    <xf numFmtId="44" fontId="6" fillId="6" borderId="43" xfId="7" applyNumberFormat="1" applyBorder="1"/>
    <xf numFmtId="165" fontId="5" fillId="0" borderId="13" xfId="6" applyNumberFormat="1" applyFill="1" applyBorder="1"/>
    <xf numFmtId="165" fontId="0" fillId="0" borderId="9" xfId="0" applyNumberFormat="1" applyFill="1" applyBorder="1"/>
    <xf numFmtId="0" fontId="0" fillId="0" borderId="9" xfId="0" applyFill="1" applyBorder="1"/>
    <xf numFmtId="165" fontId="14" fillId="0" borderId="13" xfId="13" applyNumberFormat="1" applyFill="1" applyBorder="1"/>
    <xf numFmtId="0" fontId="7" fillId="0" borderId="9" xfId="8" applyFill="1" applyBorder="1"/>
    <xf numFmtId="41" fontId="5" fillId="0" borderId="13" xfId="6" applyNumberFormat="1" applyFill="1" applyBorder="1"/>
    <xf numFmtId="165" fontId="5" fillId="0" borderId="15" xfId="11" applyNumberFormat="1" applyFont="1" applyFill="1" applyBorder="1"/>
    <xf numFmtId="170" fontId="0" fillId="0" borderId="9" xfId="0" applyNumberFormat="1" applyFill="1" applyBorder="1"/>
    <xf numFmtId="164" fontId="0" fillId="0" borderId="7" xfId="0" applyNumberFormat="1" applyFill="1" applyBorder="1"/>
    <xf numFmtId="170" fontId="0" fillId="0" borderId="9" xfId="2" applyNumberFormat="1" applyFont="1" applyFill="1" applyBorder="1"/>
    <xf numFmtId="44" fontId="6" fillId="0" borderId="35" xfId="7" applyNumberFormat="1" applyFill="1" applyBorder="1"/>
    <xf numFmtId="165" fontId="14" fillId="7" borderId="22" xfId="13" applyNumberFormat="1" applyBorder="1"/>
    <xf numFmtId="165" fontId="5" fillId="37" borderId="1" xfId="6" applyNumberFormat="1" applyFill="1" applyBorder="1"/>
    <xf numFmtId="165" fontId="5" fillId="37" borderId="22" xfId="6" applyNumberFormat="1" applyFill="1" applyBorder="1"/>
    <xf numFmtId="41" fontId="5" fillId="37" borderId="1" xfId="6" applyNumberFormat="1" applyFill="1" applyBorder="1"/>
    <xf numFmtId="165" fontId="5" fillId="37" borderId="16" xfId="11" applyNumberFormat="1" applyFont="1" applyFill="1" applyBorder="1"/>
    <xf numFmtId="165" fontId="5" fillId="37" borderId="44" xfId="11" applyNumberFormat="1" applyFont="1" applyFill="1" applyBorder="1"/>
    <xf numFmtId="165" fontId="14" fillId="7" borderId="45" xfId="13" applyNumberFormat="1" applyBorder="1"/>
    <xf numFmtId="167" fontId="6" fillId="0" borderId="35" xfId="1" applyNumberFormat="1" applyFont="1" applyFill="1" applyBorder="1"/>
    <xf numFmtId="165" fontId="14" fillId="7" borderId="46" xfId="13" applyNumberFormat="1" applyBorder="1"/>
    <xf numFmtId="165" fontId="14" fillId="7" borderId="47" xfId="13" applyNumberFormat="1" applyBorder="1"/>
    <xf numFmtId="0" fontId="0" fillId="0" borderId="3" xfId="0" applyBorder="1" applyAlignment="1">
      <alignment horizontal="center" wrapText="1"/>
    </xf>
    <xf numFmtId="165" fontId="14" fillId="7" borderId="19" xfId="13" applyNumberFormat="1" applyBorder="1"/>
    <xf numFmtId="0" fontId="0" fillId="0" borderId="48" xfId="0" applyBorder="1"/>
    <xf numFmtId="165" fontId="5" fillId="5" borderId="23" xfId="6" applyNumberFormat="1" applyBorder="1"/>
    <xf numFmtId="165" fontId="5" fillId="5" borderId="49" xfId="11" applyNumberFormat="1" applyFont="1" applyFill="1" applyBorder="1"/>
    <xf numFmtId="165" fontId="14" fillId="7" borderId="23" xfId="13" applyNumberFormat="1" applyBorder="1"/>
    <xf numFmtId="44" fontId="6" fillId="6" borderId="50" xfId="7" applyNumberFormat="1" applyBorder="1"/>
    <xf numFmtId="41" fontId="5" fillId="37" borderId="22" xfId="6" applyNumberFormat="1" applyFill="1" applyBorder="1"/>
    <xf numFmtId="42" fontId="0" fillId="0" borderId="0" xfId="0" applyNumberFormat="1"/>
    <xf numFmtId="42" fontId="0" fillId="0" borderId="0" xfId="0" applyNumberFormat="1" applyAlignment="1">
      <alignment horizontal="right"/>
    </xf>
    <xf numFmtId="42" fontId="11" fillId="0" borderId="6" xfId="0" applyNumberFormat="1" applyFont="1" applyBorder="1" applyAlignment="1">
      <alignment horizontal="right" wrapText="1"/>
    </xf>
    <xf numFmtId="42" fontId="10" fillId="0" borderId="6" xfId="0" applyNumberFormat="1" applyFont="1" applyBorder="1" applyAlignment="1">
      <alignment horizontal="right" wrapText="1"/>
    </xf>
    <xf numFmtId="42" fontId="10" fillId="0" borderId="6" xfId="0" applyNumberFormat="1" applyFont="1" applyBorder="1" applyAlignment="1">
      <alignment horizontal="right"/>
    </xf>
    <xf numFmtId="42" fontId="11" fillId="0" borderId="6" xfId="0" applyNumberFormat="1" applyFont="1" applyBorder="1" applyAlignment="1">
      <alignment horizontal="right"/>
    </xf>
    <xf numFmtId="0" fontId="30" fillId="0" borderId="4" xfId="0" applyFont="1" applyBorder="1" applyAlignment="1">
      <alignment horizontal="center" vertical="center" wrapText="1"/>
    </xf>
    <xf numFmtId="42" fontId="30" fillId="0" borderId="4" xfId="0" applyNumberFormat="1" applyFont="1" applyBorder="1" applyAlignment="1">
      <alignment horizontal="center"/>
    </xf>
    <xf numFmtId="42" fontId="30" fillId="0" borderId="4" xfId="0" applyNumberFormat="1" applyFont="1" applyBorder="1" applyAlignment="1">
      <alignment horizontal="center" wrapText="1"/>
    </xf>
    <xf numFmtId="41" fontId="10" fillId="0" borderId="6" xfId="0" applyNumberFormat="1" applyFont="1" applyBorder="1" applyAlignment="1">
      <alignment vertical="center"/>
    </xf>
    <xf numFmtId="169" fontId="10" fillId="0" borderId="6" xfId="0" applyNumberFormat="1" applyFont="1" applyFill="1" applyBorder="1" applyAlignment="1">
      <alignment vertical="center"/>
    </xf>
    <xf numFmtId="169" fontId="0" fillId="0" borderId="0" xfId="0" applyNumberFormat="1" applyFill="1" applyAlignment="1"/>
    <xf numFmtId="169" fontId="10" fillId="0" borderId="4" xfId="0" applyNumberFormat="1" applyFont="1" applyFill="1" applyBorder="1" applyAlignment="1">
      <alignment vertical="center"/>
    </xf>
    <xf numFmtId="42" fontId="5" fillId="37" borderId="1" xfId="6" applyNumberFormat="1" applyFill="1" applyBorder="1"/>
    <xf numFmtId="42" fontId="5" fillId="37" borderId="44" xfId="6" applyNumberFormat="1" applyFill="1" applyBorder="1"/>
    <xf numFmtId="41" fontId="14" fillId="7" borderId="1" xfId="13" applyNumberFormat="1"/>
    <xf numFmtId="41" fontId="6" fillId="6" borderId="2" xfId="7" applyNumberFormat="1"/>
    <xf numFmtId="0" fontId="8" fillId="0" borderId="0" xfId="0" applyFont="1" applyAlignment="1">
      <alignment horizontal="left" vertical="center" wrapText="1"/>
    </xf>
    <xf numFmtId="165" fontId="4" fillId="4" borderId="51" xfId="11" applyNumberFormat="1" applyFont="1" applyFill="1" applyBorder="1"/>
    <xf numFmtId="3" fontId="4" fillId="4" borderId="51" xfId="5" applyNumberFormat="1" applyBorder="1"/>
    <xf numFmtId="165" fontId="4" fillId="4" borderId="53" xfId="5" applyNumberFormat="1" applyBorder="1"/>
    <xf numFmtId="165" fontId="4" fillId="4" borderId="51" xfId="5" applyNumberFormat="1" applyBorder="1"/>
    <xf numFmtId="42" fontId="14" fillId="7" borderId="52" xfId="13" applyNumberFormat="1" applyBorder="1"/>
    <xf numFmtId="41" fontId="4" fillId="4" borderId="51" xfId="5" applyNumberFormat="1" applyBorder="1"/>
    <xf numFmtId="165" fontId="4" fillId="4" borderId="53" xfId="11" applyNumberFormat="1" applyFont="1" applyFill="1" applyBorder="1"/>
    <xf numFmtId="42" fontId="5" fillId="5" borderId="1" xfId="6" applyNumberFormat="1" applyBorder="1"/>
    <xf numFmtId="42" fontId="5" fillId="5" borderId="22" xfId="6" applyNumberFormat="1" applyBorder="1"/>
    <xf numFmtId="165" fontId="4" fillId="4" borderId="54" xfId="11" applyNumberFormat="1" applyFont="1" applyFill="1" applyBorder="1"/>
    <xf numFmtId="3" fontId="4" fillId="4" borderId="54" xfId="5" applyNumberFormat="1" applyBorder="1"/>
    <xf numFmtId="44" fontId="0" fillId="0" borderId="55" xfId="0" applyNumberFormat="1" applyBorder="1"/>
    <xf numFmtId="165" fontId="14" fillId="7" borderId="56" xfId="13" applyNumberFormat="1" applyBorder="1"/>
    <xf numFmtId="165" fontId="4" fillId="4" borderId="57" xfId="5" applyNumberFormat="1" applyBorder="1"/>
    <xf numFmtId="44" fontId="6" fillId="6" borderId="58" xfId="7" applyNumberFormat="1" applyBorder="1"/>
    <xf numFmtId="165" fontId="4" fillId="4" borderId="59" xfId="5" applyNumberFormat="1" applyBorder="1"/>
    <xf numFmtId="42" fontId="14" fillId="7" borderId="56" xfId="13" applyNumberFormat="1" applyBorder="1"/>
    <xf numFmtId="41" fontId="4" fillId="4" borderId="54" xfId="5" applyNumberFormat="1" applyBorder="1"/>
    <xf numFmtId="37" fontId="4" fillId="0" borderId="9" xfId="5" applyNumberFormat="1" applyFill="1" applyBorder="1"/>
    <xf numFmtId="165" fontId="4" fillId="4" borderId="54" xfId="5" applyNumberFormat="1" applyBorder="1"/>
    <xf numFmtId="165" fontId="4" fillId="4" borderId="57" xfId="11" applyNumberFormat="1" applyFont="1" applyFill="1" applyBorder="1"/>
    <xf numFmtId="165" fontId="4" fillId="0" borderId="9" xfId="11" applyNumberFormat="1" applyFont="1" applyFill="1" applyBorder="1"/>
    <xf numFmtId="44" fontId="6" fillId="6" borderId="60" xfId="7" applyNumberFormat="1" applyBorder="1"/>
    <xf numFmtId="165" fontId="5" fillId="0" borderId="11" xfId="6" applyNumberFormat="1" applyFill="1" applyBorder="1"/>
    <xf numFmtId="42" fontId="14" fillId="7" borderId="23" xfId="13" applyNumberFormat="1" applyBorder="1" applyAlignment="1">
      <alignment horizontal="right"/>
    </xf>
    <xf numFmtId="167" fontId="14" fillId="7" borderId="46" xfId="1" applyNumberFormat="1" applyFont="1" applyFill="1" applyBorder="1"/>
    <xf numFmtId="167" fontId="14" fillId="7" borderId="47" xfId="1" applyNumberFormat="1" applyFont="1" applyFill="1" applyBorder="1"/>
    <xf numFmtId="42" fontId="8" fillId="0" borderId="0" xfId="1" applyNumberFormat="1" applyFont="1" applyAlignment="1">
      <alignment horizontal="center"/>
    </xf>
    <xf numFmtId="43" fontId="8" fillId="0" borderId="0" xfId="1" applyNumberFormat="1" applyFont="1" applyAlignment="1">
      <alignment horizontal="center"/>
    </xf>
    <xf numFmtId="10" fontId="14" fillId="7" borderId="1" xfId="2" applyNumberFormat="1" applyFont="1" applyFill="1" applyBorder="1"/>
    <xf numFmtId="170" fontId="0" fillId="0" borderId="0" xfId="2" quotePrefix="1" applyNumberFormat="1" applyFont="1" applyFill="1" applyBorder="1" applyAlignment="1">
      <alignment horizontal="center" wrapText="1"/>
    </xf>
    <xf numFmtId="170" fontId="0" fillId="0" borderId="9" xfId="2" quotePrefix="1" applyNumberFormat="1" applyFont="1" applyBorder="1" applyAlignment="1">
      <alignment horizontal="center" wrapText="1"/>
    </xf>
    <xf numFmtId="42" fontId="14" fillId="7" borderId="1" xfId="13" applyNumberFormat="1"/>
    <xf numFmtId="43" fontId="5" fillId="0" borderId="0" xfId="1" applyFont="1" applyFill="1" applyBorder="1"/>
    <xf numFmtId="43" fontId="5" fillId="0" borderId="9" xfId="1" applyFont="1" applyFill="1" applyBorder="1"/>
    <xf numFmtId="0" fontId="8" fillId="0" borderId="0" xfId="0" applyFont="1" applyAlignment="1">
      <alignment horizontal="left" vertical="center" wrapText="1"/>
    </xf>
    <xf numFmtId="41" fontId="5" fillId="5" borderId="22" xfId="6" applyNumberFormat="1" applyBorder="1"/>
    <xf numFmtId="165" fontId="5" fillId="5" borderId="44" xfId="11" applyNumberFormat="1" applyFont="1" applyFill="1" applyBorder="1"/>
    <xf numFmtId="165" fontId="14" fillId="7" borderId="52" xfId="13" applyNumberFormat="1" applyBorder="1"/>
    <xf numFmtId="165" fontId="5" fillId="5" borderId="52" xfId="6" applyNumberFormat="1" applyBorder="1"/>
    <xf numFmtId="165" fontId="5" fillId="5" borderId="61" xfId="11" applyNumberFormat="1" applyFont="1" applyFill="1" applyBorder="1"/>
    <xf numFmtId="41" fontId="5" fillId="5" borderId="56" xfId="6" applyNumberFormat="1" applyBorder="1"/>
    <xf numFmtId="43" fontId="0" fillId="0" borderId="0" xfId="0" applyNumberFormat="1"/>
    <xf numFmtId="44" fontId="7" fillId="0" borderId="0" xfId="8" applyNumberFormat="1" applyBorder="1"/>
    <xf numFmtId="44" fontId="14" fillId="7" borderId="1" xfId="13" applyNumberFormat="1" applyBorder="1"/>
    <xf numFmtId="43" fontId="0" fillId="0" borderId="0" xfId="1" applyFont="1"/>
    <xf numFmtId="8" fontId="0" fillId="0" borderId="0" xfId="0" applyNumberFormat="1"/>
    <xf numFmtId="44" fontId="14" fillId="7" borderId="22" xfId="13" applyNumberFormat="1" applyBorder="1"/>
    <xf numFmtId="169" fontId="0" fillId="0" borderId="0" xfId="0" applyNumberFormat="1"/>
    <xf numFmtId="0" fontId="0" fillId="39" borderId="19" xfId="0" applyFill="1" applyBorder="1" applyAlignment="1">
      <alignment horizontal="center" wrapText="1"/>
    </xf>
    <xf numFmtId="42" fontId="5" fillId="5" borderId="13" xfId="6" applyNumberFormat="1" applyBorder="1"/>
    <xf numFmtId="41" fontId="5" fillId="5" borderId="62" xfId="6" applyNumberFormat="1" applyBorder="1"/>
    <xf numFmtId="42" fontId="5" fillId="37" borderId="22" xfId="6" applyNumberFormat="1" applyFill="1" applyBorder="1"/>
    <xf numFmtId="44" fontId="8" fillId="0" borderId="0" xfId="1" applyNumberFormat="1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43" fontId="0" fillId="0" borderId="0" xfId="0" applyNumberFormat="1" applyBorder="1"/>
    <xf numFmtId="169" fontId="10" fillId="0" borderId="3" xfId="0" applyNumberFormat="1" applyFont="1" applyFill="1" applyBorder="1" applyAlignment="1">
      <alignment vertical="center"/>
    </xf>
    <xf numFmtId="169" fontId="10" fillId="0" borderId="5" xfId="0" applyNumberFormat="1" applyFont="1" applyFill="1" applyBorder="1" applyAlignment="1">
      <alignment vertical="center"/>
    </xf>
    <xf numFmtId="3" fontId="4" fillId="4" borderId="63" xfId="5" applyNumberFormat="1" applyBorder="1"/>
    <xf numFmtId="0" fontId="8" fillId="0" borderId="0" xfId="0" applyFont="1" applyFill="1" applyBorder="1" applyAlignment="1">
      <alignment horizontal="center" wrapText="1"/>
    </xf>
    <xf numFmtId="0" fontId="0" fillId="0" borderId="0" xfId="0" applyFill="1" applyBorder="1"/>
    <xf numFmtId="165" fontId="13" fillId="0" borderId="0" xfId="12" applyNumberFormat="1" applyFill="1" applyBorder="1"/>
    <xf numFmtId="169" fontId="34" fillId="0" borderId="6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wrapText="1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38" borderId="20" xfId="0" applyFont="1" applyFill="1" applyBorder="1" applyAlignment="1">
      <alignment horizontal="center"/>
    </xf>
    <xf numFmtId="0" fontId="8" fillId="38" borderId="4" xfId="0" applyFont="1" applyFill="1" applyBorder="1" applyAlignment="1">
      <alignment horizontal="center"/>
    </xf>
    <xf numFmtId="0" fontId="32" fillId="3" borderId="19" xfId="4" applyFont="1" applyBorder="1" applyAlignment="1">
      <alignment horizontal="center"/>
    </xf>
    <xf numFmtId="0" fontId="32" fillId="3" borderId="20" xfId="4" applyFont="1" applyBorder="1" applyAlignment="1">
      <alignment horizontal="center"/>
    </xf>
    <xf numFmtId="0" fontId="32" fillId="3" borderId="4" xfId="4" applyFont="1" applyBorder="1" applyAlignment="1">
      <alignment horizontal="center"/>
    </xf>
    <xf numFmtId="0" fontId="33" fillId="0" borderId="19" xfId="8" applyFont="1" applyBorder="1" applyAlignment="1">
      <alignment horizontal="center"/>
    </xf>
    <xf numFmtId="0" fontId="33" fillId="0" borderId="20" xfId="8" applyFont="1" applyBorder="1" applyAlignment="1">
      <alignment horizontal="center"/>
    </xf>
    <xf numFmtId="0" fontId="33" fillId="0" borderId="4" xfId="8" applyFont="1" applyBorder="1" applyAlignment="1">
      <alignment horizontal="center"/>
    </xf>
  </cellXfs>
  <cellStyles count="302">
    <cellStyle name="20% - Accent1" xfId="24" builtinId="30" customBuiltin="1"/>
    <cellStyle name="20% - Accent1 2" xfId="54"/>
    <cellStyle name="20% - Accent2" xfId="28" builtinId="34" customBuiltin="1"/>
    <cellStyle name="20% - Accent2 2" xfId="56"/>
    <cellStyle name="20% - Accent3" xfId="32" builtinId="38" customBuiltin="1"/>
    <cellStyle name="20% - Accent3 2" xfId="58"/>
    <cellStyle name="20% - Accent4" xfId="36" builtinId="42" customBuiltin="1"/>
    <cellStyle name="20% - Accent4 2" xfId="60"/>
    <cellStyle name="20% - Accent5" xfId="40" builtinId="46" customBuiltin="1"/>
    <cellStyle name="20% - Accent5 2" xfId="62"/>
    <cellStyle name="20% - Accent6" xfId="44" builtinId="50" customBuiltin="1"/>
    <cellStyle name="20% - Accent6 2" xfId="64"/>
    <cellStyle name="40% - Accent1" xfId="25" builtinId="31" customBuiltin="1"/>
    <cellStyle name="40% - Accent1 2" xfId="55"/>
    <cellStyle name="40% - Accent2" xfId="29" builtinId="35" customBuiltin="1"/>
    <cellStyle name="40% - Accent2 2" xfId="57"/>
    <cellStyle name="40% - Accent3" xfId="33" builtinId="39" customBuiltin="1"/>
    <cellStyle name="40% - Accent3 2" xfId="59"/>
    <cellStyle name="40% - Accent4" xfId="37" builtinId="43" customBuiltin="1"/>
    <cellStyle name="40% - Accent4 2" xfId="61"/>
    <cellStyle name="40% - Accent5" xfId="41" builtinId="47" customBuiltin="1"/>
    <cellStyle name="40% - Accent5 2" xfId="63"/>
    <cellStyle name="40% - Accent6" xfId="45" builtinId="51" customBuiltin="1"/>
    <cellStyle name="40% - Accent6 2" xfId="65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4" builtinId="27" customBuiltin="1"/>
    <cellStyle name="Calculation" xfId="13" builtinId="22" customBuiltin="1"/>
    <cellStyle name="Check Cell" xfId="7" builtinId="23" customBuiltin="1"/>
    <cellStyle name="Comma" xfId="1" builtinId="3"/>
    <cellStyle name="Comma 2" xfId="68"/>
    <cellStyle name="Comma 2 2" xfId="282"/>
    <cellStyle name="Comma 3" xfId="66"/>
    <cellStyle name="Comma 3 2" xfId="9"/>
    <cellStyle name="Comma 4" xfId="192"/>
    <cellStyle name="Comma 5" xfId="52"/>
    <cellStyle name="Currency" xfId="11" builtinId="4"/>
    <cellStyle name="Currency [0] 2" xfId="114"/>
    <cellStyle name="Currency [0] 2 2" xfId="203"/>
    <cellStyle name="Currency 10" xfId="193"/>
    <cellStyle name="Currency 11" xfId="112"/>
    <cellStyle name="Currency 12" xfId="197"/>
    <cellStyle name="Currency 13" xfId="50"/>
    <cellStyle name="Currency 13 2" xfId="288"/>
    <cellStyle name="Currency 14" xfId="285"/>
    <cellStyle name="Currency 15" xfId="289"/>
    <cellStyle name="Currency 16" xfId="291"/>
    <cellStyle name="Currency 17" xfId="292"/>
    <cellStyle name="Currency 18" xfId="293"/>
    <cellStyle name="Currency 19" xfId="294"/>
    <cellStyle name="Currency 2" xfId="69"/>
    <cellStyle name="Currency 2 2" xfId="111"/>
    <cellStyle name="Currency 2 2 2" xfId="202"/>
    <cellStyle name="Currency 2 3" xfId="280"/>
    <cellStyle name="Currency 20" xfId="295"/>
    <cellStyle name="Currency 21" xfId="296"/>
    <cellStyle name="Currency 22" xfId="297"/>
    <cellStyle name="Currency 3" xfId="67"/>
    <cellStyle name="Currency 3 2" xfId="279"/>
    <cellStyle name="Currency 4" xfId="115"/>
    <cellStyle name="Currency 4 2" xfId="204"/>
    <cellStyle name="Currency 4 3" xfId="281"/>
    <cellStyle name="Currency 5" xfId="116"/>
    <cellStyle name="Currency 5 2" xfId="205"/>
    <cellStyle name="Currency 6" xfId="117"/>
    <cellStyle name="Currency 6 2" xfId="206"/>
    <cellStyle name="Currency 7" xfId="118"/>
    <cellStyle name="Currency 7 2" xfId="207"/>
    <cellStyle name="Currency 8" xfId="194"/>
    <cellStyle name="Currency 9" xfId="195"/>
    <cellStyle name="Data Field" xfId="119"/>
    <cellStyle name="Data Field 2" xfId="208"/>
    <cellStyle name="Data Name" xfId="120"/>
    <cellStyle name="Data Name 2" xfId="209"/>
    <cellStyle name="Explanatory Text" xfId="8" builtinId="53" customBuiltin="1"/>
    <cellStyle name="Followed Hyperlink" xfId="287" builtinId="9" customBuiltin="1"/>
    <cellStyle name="Good" xfId="3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" xfId="286" builtinId="8" customBuiltin="1"/>
    <cellStyle name="Hyperlink 2" xfId="121"/>
    <cellStyle name="Hyperlink 3" xfId="122"/>
    <cellStyle name="Hyperlink 4" xfId="300"/>
    <cellStyle name="Hyperlink 5" xfId="298"/>
    <cellStyle name="Input" xfId="6" builtinId="20" customBuiltin="1"/>
    <cellStyle name="Linked Cell" xfId="15" builtinId="24" customBuiltin="1"/>
    <cellStyle name="Neutral" xfId="5" builtinId="28" customBuiltin="1"/>
    <cellStyle name="Normal" xfId="0" builtinId="0"/>
    <cellStyle name="Normal 10" xfId="123"/>
    <cellStyle name="Normal 10 2" xfId="124"/>
    <cellStyle name="Normal 10 2 2" xfId="211"/>
    <cellStyle name="Normal 10 3" xfId="210"/>
    <cellStyle name="Normal 11" xfId="125"/>
    <cellStyle name="Normal 11 2" xfId="212"/>
    <cellStyle name="Normal 12" xfId="126"/>
    <cellStyle name="Normal 12 2" xfId="213"/>
    <cellStyle name="Normal 13" xfId="127"/>
    <cellStyle name="Normal 13 2" xfId="214"/>
    <cellStyle name="Normal 14" xfId="128"/>
    <cellStyle name="Normal 14 2" xfId="215"/>
    <cellStyle name="Normal 15" xfId="129"/>
    <cellStyle name="Normal 16" xfId="130"/>
    <cellStyle name="Normal 16 2" xfId="216"/>
    <cellStyle name="Normal 17" xfId="48"/>
    <cellStyle name="Normal 18" xfId="131"/>
    <cellStyle name="Normal 18 2" xfId="217"/>
    <cellStyle name="Normal 19" xfId="132"/>
    <cellStyle name="Normal 19 2" xfId="218"/>
    <cellStyle name="Normal 2" xfId="51"/>
    <cellStyle name="Normal 2 2" xfId="71"/>
    <cellStyle name="Normal 2 2 2" xfId="72"/>
    <cellStyle name="Normal 2 2 3" xfId="73"/>
    <cellStyle name="Normal 2 2 4" xfId="74"/>
    <cellStyle name="Normal 2 2 5" xfId="75"/>
    <cellStyle name="Normal 2 2 6" xfId="76"/>
    <cellStyle name="Normal 2 2 7" xfId="77"/>
    <cellStyle name="Normal 2 2 8" xfId="78"/>
    <cellStyle name="Normal 2 2 9" xfId="79"/>
    <cellStyle name="Normal 2 3" xfId="80"/>
    <cellStyle name="Normal 2 4" xfId="81"/>
    <cellStyle name="Normal 2 4 2" xfId="82"/>
    <cellStyle name="Normal 2 5" xfId="110"/>
    <cellStyle name="Normal 2 5 2" xfId="201"/>
    <cellStyle name="Normal 2 6" xfId="47"/>
    <cellStyle name="Normal 2 6 2" xfId="70"/>
    <cellStyle name="Normal 2 7" xfId="299"/>
    <cellStyle name="Normal 26" xfId="106"/>
    <cellStyle name="Normal 26 2" xfId="199"/>
    <cellStyle name="Normal 27" xfId="107"/>
    <cellStyle name="Normal 27 2" xfId="200"/>
    <cellStyle name="Normal 28" xfId="133"/>
    <cellStyle name="Normal 28 2" xfId="219"/>
    <cellStyle name="Normal 3" xfId="83"/>
    <cellStyle name="Normal 3 2" xfId="84"/>
    <cellStyle name="Normal 3 2 2" xfId="85"/>
    <cellStyle name="Normal 3 2 3" xfId="86"/>
    <cellStyle name="Normal 3 2 4" xfId="87"/>
    <cellStyle name="Normal 3 2 5" xfId="88"/>
    <cellStyle name="Normal 3 2 6" xfId="89"/>
    <cellStyle name="Normal 3 2 7" xfId="90"/>
    <cellStyle name="Normal 3 2 8" xfId="91"/>
    <cellStyle name="Normal 3 2 9" xfId="92"/>
    <cellStyle name="Normal 3 3" xfId="108"/>
    <cellStyle name="Normal 3 40" xfId="109"/>
    <cellStyle name="Normal 33" xfId="277"/>
    <cellStyle name="Normal 35" xfId="301"/>
    <cellStyle name="Normal 36" xfId="134"/>
    <cellStyle name="Normal 36 2" xfId="220"/>
    <cellStyle name="Normal 37" xfId="135"/>
    <cellStyle name="Normal 37 2" xfId="221"/>
    <cellStyle name="Normal 38" xfId="136"/>
    <cellStyle name="Normal 38 2" xfId="222"/>
    <cellStyle name="Normal 39" xfId="137"/>
    <cellStyle name="Normal 39 2" xfId="223"/>
    <cellStyle name="Normal 4" xfId="10"/>
    <cellStyle name="Normal 4 2" xfId="94"/>
    <cellStyle name="Normal 4 3" xfId="93"/>
    <cellStyle name="Normal 4 4" xfId="278"/>
    <cellStyle name="Normal 40" xfId="138"/>
    <cellStyle name="Normal 40 2" xfId="224"/>
    <cellStyle name="Normal 41" xfId="139"/>
    <cellStyle name="Normal 41 2" xfId="225"/>
    <cellStyle name="Normal 42" xfId="140"/>
    <cellStyle name="Normal 42 2" xfId="226"/>
    <cellStyle name="Normal 43" xfId="141"/>
    <cellStyle name="Normal 43 2" xfId="227"/>
    <cellStyle name="Normal 44" xfId="142"/>
    <cellStyle name="Normal 44 2" xfId="228"/>
    <cellStyle name="Normal 45" xfId="143"/>
    <cellStyle name="Normal 45 2" xfId="229"/>
    <cellStyle name="Normal 46" xfId="144"/>
    <cellStyle name="Normal 46 2" xfId="230"/>
    <cellStyle name="Normal 47" xfId="145"/>
    <cellStyle name="Normal 47 2" xfId="231"/>
    <cellStyle name="Normal 48" xfId="146"/>
    <cellStyle name="Normal 48 2" xfId="232"/>
    <cellStyle name="Normal 49" xfId="147"/>
    <cellStyle name="Normal 49 2" xfId="233"/>
    <cellStyle name="Normal 5" xfId="95"/>
    <cellStyle name="Normal 5 2" xfId="96"/>
    <cellStyle name="Normal 5 3" xfId="97"/>
    <cellStyle name="Normal 5 4" xfId="98"/>
    <cellStyle name="Normal 50" xfId="148"/>
    <cellStyle name="Normal 50 2" xfId="234"/>
    <cellStyle name="Normal 51" xfId="149"/>
    <cellStyle name="Normal 51 2" xfId="235"/>
    <cellStyle name="Normal 52" xfId="150"/>
    <cellStyle name="Normal 52 2" xfId="236"/>
    <cellStyle name="Normal 53" xfId="151"/>
    <cellStyle name="Normal 53 2" xfId="237"/>
    <cellStyle name="Normal 54" xfId="152"/>
    <cellStyle name="Normal 54 2" xfId="238"/>
    <cellStyle name="Normal 55" xfId="153"/>
    <cellStyle name="Normal 55 2" xfId="239"/>
    <cellStyle name="Normal 56" xfId="154"/>
    <cellStyle name="Normal 56 2" xfId="240"/>
    <cellStyle name="Normal 57" xfId="155"/>
    <cellStyle name="Normal 57 2" xfId="241"/>
    <cellStyle name="Normal 58" xfId="156"/>
    <cellStyle name="Normal 58 2" xfId="242"/>
    <cellStyle name="Normal 59" xfId="157"/>
    <cellStyle name="Normal 59 2" xfId="243"/>
    <cellStyle name="Normal 6" xfId="99"/>
    <cellStyle name="Normal 6 2" xfId="100"/>
    <cellStyle name="Normal 6 3" xfId="101"/>
    <cellStyle name="Normal 60" xfId="158"/>
    <cellStyle name="Normal 60 2" xfId="244"/>
    <cellStyle name="Normal 61" xfId="159"/>
    <cellStyle name="Normal 61 2" xfId="245"/>
    <cellStyle name="Normal 62" xfId="160"/>
    <cellStyle name="Normal 62 2" xfId="246"/>
    <cellStyle name="Normal 63" xfId="161"/>
    <cellStyle name="Normal 63 2" xfId="247"/>
    <cellStyle name="Normal 64" xfId="162"/>
    <cellStyle name="Normal 64 2" xfId="248"/>
    <cellStyle name="Normal 65" xfId="163"/>
    <cellStyle name="Normal 65 2" xfId="249"/>
    <cellStyle name="Normal 66" xfId="164"/>
    <cellStyle name="Normal 66 2" xfId="250"/>
    <cellStyle name="Normal 67" xfId="165"/>
    <cellStyle name="Normal 67 2" xfId="251"/>
    <cellStyle name="Normal 69" xfId="166"/>
    <cellStyle name="Normal 69 2" xfId="252"/>
    <cellStyle name="Normal 7" xfId="102"/>
    <cellStyle name="Normal 70" xfId="167"/>
    <cellStyle name="Normal 70 2" xfId="253"/>
    <cellStyle name="Normal 71" xfId="168"/>
    <cellStyle name="Normal 71 2" xfId="254"/>
    <cellStyle name="Normal 72" xfId="169"/>
    <cellStyle name="Normal 72 2" xfId="255"/>
    <cellStyle name="Normal 73" xfId="170"/>
    <cellStyle name="Normal 73 2" xfId="256"/>
    <cellStyle name="Normal 74" xfId="171"/>
    <cellStyle name="Normal 74 2" xfId="257"/>
    <cellStyle name="Normal 75" xfId="172"/>
    <cellStyle name="Normal 75 2" xfId="258"/>
    <cellStyle name="Normal 76" xfId="173"/>
    <cellStyle name="Normal 76 2" xfId="259"/>
    <cellStyle name="Normal 77" xfId="174"/>
    <cellStyle name="Normal 77 2" xfId="260"/>
    <cellStyle name="Normal 78" xfId="175"/>
    <cellStyle name="Normal 78 2" xfId="261"/>
    <cellStyle name="Normal 79" xfId="176"/>
    <cellStyle name="Normal 79 2" xfId="262"/>
    <cellStyle name="Normal 8" xfId="103"/>
    <cellStyle name="Normal 80" xfId="177"/>
    <cellStyle name="Normal 80 2" xfId="263"/>
    <cellStyle name="Normal 81" xfId="178"/>
    <cellStyle name="Normal 81 2" xfId="264"/>
    <cellStyle name="Normal 82" xfId="179"/>
    <cellStyle name="Normal 82 2" xfId="265"/>
    <cellStyle name="Normal 83" xfId="180"/>
    <cellStyle name="Normal 83 2" xfId="266"/>
    <cellStyle name="Normal 84" xfId="181"/>
    <cellStyle name="Normal 84 2" xfId="267"/>
    <cellStyle name="Normal 85" xfId="182"/>
    <cellStyle name="Normal 85 2" xfId="268"/>
    <cellStyle name="Normal 86" xfId="183"/>
    <cellStyle name="Normal 86 2" xfId="269"/>
    <cellStyle name="Normal 87" xfId="184"/>
    <cellStyle name="Normal 87 2" xfId="270"/>
    <cellStyle name="Normal 9" xfId="104"/>
    <cellStyle name="Normal 9 2" xfId="105"/>
    <cellStyle name="Normal 9 2 2" xfId="198"/>
    <cellStyle name="Note" xfId="14" builtinId="10" customBuiltin="1"/>
    <cellStyle name="Note 2" xfId="53"/>
    <cellStyle name="Output" xfId="12" builtinId="21" customBuiltin="1"/>
    <cellStyle name="Percent" xfId="2" builtinId="5"/>
    <cellStyle name="Percent 10" xfId="113"/>
    <cellStyle name="Percent 11" xfId="49"/>
    <cellStyle name="Percent 11 2" xfId="290"/>
    <cellStyle name="Percent 2" xfId="185"/>
    <cellStyle name="Percent 2 2" xfId="271"/>
    <cellStyle name="Percent 3" xfId="186"/>
    <cellStyle name="Percent 3 2" xfId="272"/>
    <cellStyle name="Percent 3 3" xfId="283"/>
    <cellStyle name="Percent 4" xfId="187"/>
    <cellStyle name="Percent 4 2" xfId="273"/>
    <cellStyle name="Percent 4 3" xfId="284"/>
    <cellStyle name="Percent 5" xfId="188"/>
    <cellStyle name="Percent 5 2" xfId="274"/>
    <cellStyle name="Percent 6" xfId="189"/>
    <cellStyle name="Percent 6 2" xfId="275"/>
    <cellStyle name="Percent 7" xfId="190"/>
    <cellStyle name="Percent 8" xfId="191"/>
    <cellStyle name="Percent 8 2" xfId="276"/>
    <cellStyle name="Percent 9" xfId="196"/>
    <cellStyle name="Title" xfId="16" builtinId="15" customBuiltin="1"/>
    <cellStyle name="Total" xfId="22" builtinId="25" customBuiltin="1"/>
    <cellStyle name="Warning Text" xfId="21" builtinId="11" customBuiltin="1"/>
  </cellStyles>
  <dxfs count="0"/>
  <tableStyles count="0" defaultTableStyle="TableStyleMedium2" defaultPivotStyle="PivotStyleLight16"/>
  <colors>
    <mruColors>
      <color rgb="FFFF33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9/DataRequests/19582/Library/Red%20lines/Billed%20kWh%20Budget%20GMO%202018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9/DataRequests/19582/Library/Red%20lines/GMO%20MEEIA%20Cycle%202%20Forecast%20Model%202017-2019%20102018%20actuals%201107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9/DataRequests/19582/Library/Red%20lines/GMO%20MEEIA%202018%20Revenue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9/DataRequests/19582/Library/Red%20lines/GMO%20Short-Term%20Borrowing%20Rate%20May%202018%20-%20October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9/DataRequests/19582/Library/Red%20lines/SI%20Projects%20052018-102018%20GM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9/DataRequests/19582/Library/Red%20lines/GMO%20AFUDC%20Rate%20Computation%20May%20thru%20October%20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9/DataRequests/19582/Library/Red%20lines/TD%20Model%20GMO%20102018%201107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9/DataRequests/19582/Library/Red%20lines/GMO%20Cycle%201%20MEEIA%20Performance%20Incentive%20with%20Carrying%20Cos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ed kWh Sales"/>
    </sheetNames>
    <sheetDataSet>
      <sheetData sheetId="0">
        <row r="40">
          <cell r="M40">
            <v>223093851.32780999</v>
          </cell>
          <cell r="N40">
            <v>311998229.48176301</v>
          </cell>
          <cell r="O40">
            <v>385099629</v>
          </cell>
        </row>
        <row r="41">
          <cell r="M41">
            <v>74622643</v>
          </cell>
          <cell r="N41">
            <v>74852332</v>
          </cell>
          <cell r="O41">
            <v>78907507</v>
          </cell>
        </row>
        <row r="42">
          <cell r="M42">
            <v>0</v>
          </cell>
          <cell r="N42">
            <v>0</v>
          </cell>
          <cell r="O42">
            <v>0</v>
          </cell>
        </row>
        <row r="43">
          <cell r="M43">
            <v>116661211</v>
          </cell>
          <cell r="N43">
            <v>117020296</v>
          </cell>
          <cell r="O43">
            <v>123359948</v>
          </cell>
        </row>
        <row r="44">
          <cell r="M44">
            <v>92400404</v>
          </cell>
          <cell r="N44">
            <v>92684814</v>
          </cell>
          <cell r="O44">
            <v>97706075</v>
          </cell>
        </row>
        <row r="52">
          <cell r="C52">
            <v>1703661925</v>
          </cell>
        </row>
        <row r="53">
          <cell r="C53">
            <v>464711139</v>
          </cell>
        </row>
        <row r="54">
          <cell r="C54">
            <v>0</v>
          </cell>
        </row>
        <row r="55">
          <cell r="C55">
            <v>726505550</v>
          </cell>
        </row>
        <row r="56">
          <cell r="C56">
            <v>575421820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p Budget Sumry"/>
      <sheetName val="EEIA Non-labor loadfile"/>
      <sheetName val="Base Rate EE Non-labor loadfile"/>
      <sheetName val="GMO Monthly TD Calc"/>
      <sheetName val="Program Costs - GMO"/>
    </sheetNames>
    <sheetDataSet>
      <sheetData sheetId="0"/>
      <sheetData sheetId="1"/>
      <sheetData sheetId="2"/>
      <sheetData sheetId="3">
        <row r="317">
          <cell r="AH317">
            <v>283654.53000000003</v>
          </cell>
          <cell r="AI317">
            <v>94826.72</v>
          </cell>
        </row>
        <row r="318">
          <cell r="AH318">
            <v>342908.7</v>
          </cell>
          <cell r="AI318">
            <v>78959.63</v>
          </cell>
        </row>
        <row r="321">
          <cell r="AO321">
            <v>572592.46000000008</v>
          </cell>
        </row>
        <row r="322">
          <cell r="AO322">
            <v>708232.21</v>
          </cell>
        </row>
        <row r="338">
          <cell r="AH338">
            <v>5938618.939130892</v>
          </cell>
          <cell r="AI338">
            <v>2253976.8219616306</v>
          </cell>
        </row>
        <row r="339">
          <cell r="AH339">
            <v>9162602.2143805772</v>
          </cell>
          <cell r="AI339">
            <v>2793607.7849847451</v>
          </cell>
        </row>
        <row r="343">
          <cell r="AO343">
            <v>12956058.555980619</v>
          </cell>
        </row>
        <row r="344">
          <cell r="AO344">
            <v>22744563.873251583</v>
          </cell>
        </row>
      </sheetData>
      <sheetData sheetId="4">
        <row r="153">
          <cell r="AT153">
            <v>772623.88838709681</v>
          </cell>
          <cell r="AU153">
            <v>412891.82112231175</v>
          </cell>
        </row>
        <row r="154">
          <cell r="AT154">
            <v>1172482.7000000002</v>
          </cell>
          <cell r="AU154">
            <v>864951.38</v>
          </cell>
        </row>
        <row r="155">
          <cell r="AT155">
            <v>126191.26</v>
          </cell>
          <cell r="AU155">
            <v>138979.04</v>
          </cell>
        </row>
        <row r="159">
          <cell r="BA159">
            <v>1527523.6335193652</v>
          </cell>
        </row>
        <row r="160">
          <cell r="BA160">
            <v>3050261.2000000007</v>
          </cell>
        </row>
        <row r="161">
          <cell r="BA161">
            <v>463073.54</v>
          </cell>
        </row>
        <row r="162">
          <cell r="BA16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Analysis"/>
      <sheetName val="October 2018 Combined"/>
      <sheetName val="September 2018 Combined"/>
      <sheetName val="August 2018 Combined"/>
      <sheetName val="July 2018 Combined"/>
      <sheetName val="June 2018 Combined"/>
      <sheetName val="May 2018 Combined"/>
      <sheetName val="GMO DSIM Rate Table"/>
      <sheetName val="DSIM Rates - Tracker"/>
      <sheetName val="DSIM Rates - Initial RP Cycle 2"/>
      <sheetName val="DSIM RP2"/>
      <sheetName val="DSIM RP3"/>
      <sheetName val="DSIM RP4"/>
      <sheetName val="DSIM RP5"/>
      <sheetName val="DSIM RP6"/>
    </sheetNames>
    <sheetDataSet>
      <sheetData sheetId="0"/>
      <sheetData sheetId="1">
        <row r="8">
          <cell r="F8">
            <v>0</v>
          </cell>
        </row>
        <row r="9">
          <cell r="F9">
            <v>0</v>
          </cell>
        </row>
        <row r="13">
          <cell r="F13">
            <v>-5.25</v>
          </cell>
        </row>
        <row r="14">
          <cell r="F14">
            <v>-15118.21</v>
          </cell>
        </row>
        <row r="18">
          <cell r="F18">
            <v>-1.54</v>
          </cell>
        </row>
        <row r="19">
          <cell r="F19">
            <v>-3.78</v>
          </cell>
        </row>
        <row r="23">
          <cell r="F23">
            <v>39819.31</v>
          </cell>
        </row>
        <row r="24">
          <cell r="F24">
            <v>72351.33</v>
          </cell>
        </row>
        <row r="28">
          <cell r="F28">
            <v>684392.68</v>
          </cell>
        </row>
        <row r="29">
          <cell r="F29">
            <v>919525.96</v>
          </cell>
        </row>
        <row r="33">
          <cell r="F33">
            <v>-42305.69</v>
          </cell>
        </row>
        <row r="34">
          <cell r="F34">
            <v>-244242.99</v>
          </cell>
        </row>
        <row r="38">
          <cell r="F38">
            <v>420589.56</v>
          </cell>
        </row>
        <row r="39">
          <cell r="F39">
            <v>316554.06</v>
          </cell>
        </row>
        <row r="49">
          <cell r="F49">
            <v>248869211.19950002</v>
          </cell>
        </row>
        <row r="50">
          <cell r="F50">
            <v>301482106.71250004</v>
          </cell>
        </row>
        <row r="55">
          <cell r="F55">
            <v>248869211.19950002</v>
          </cell>
        </row>
        <row r="56">
          <cell r="F56">
            <v>301482106.71250004</v>
          </cell>
        </row>
      </sheetData>
      <sheetData sheetId="2">
        <row r="8">
          <cell r="F8">
            <v>0</v>
          </cell>
        </row>
        <row r="9">
          <cell r="F9">
            <v>0</v>
          </cell>
        </row>
        <row r="13">
          <cell r="F13">
            <v>-61.05</v>
          </cell>
        </row>
        <row r="14">
          <cell r="F14">
            <v>-17070.349999999999</v>
          </cell>
        </row>
        <row r="18">
          <cell r="F18">
            <v>-17.84</v>
          </cell>
        </row>
        <row r="19">
          <cell r="F19">
            <v>-94.52</v>
          </cell>
        </row>
        <row r="23">
          <cell r="F23">
            <v>53560.28</v>
          </cell>
        </row>
        <row r="24">
          <cell r="F24">
            <v>76632.599999999991</v>
          </cell>
        </row>
        <row r="28">
          <cell r="F28">
            <v>920362.6</v>
          </cell>
        </row>
        <row r="29">
          <cell r="F29">
            <v>975059.09</v>
          </cell>
        </row>
        <row r="33">
          <cell r="F33">
            <v>-56849</v>
          </cell>
        </row>
        <row r="34">
          <cell r="F34">
            <v>-259718.18</v>
          </cell>
        </row>
        <row r="38">
          <cell r="F38">
            <v>565566.92000000004</v>
          </cell>
        </row>
        <row r="39">
          <cell r="F39">
            <v>335653.70999999996</v>
          </cell>
        </row>
        <row r="49">
          <cell r="F49">
            <v>334683710.93520004</v>
          </cell>
        </row>
        <row r="50">
          <cell r="F50">
            <v>319642726.50090003</v>
          </cell>
        </row>
        <row r="55">
          <cell r="F55">
            <v>334683710.93520004</v>
          </cell>
        </row>
        <row r="56">
          <cell r="F56">
            <v>319642726.50090003</v>
          </cell>
        </row>
      </sheetData>
      <sheetData sheetId="3">
        <row r="8">
          <cell r="F8">
            <v>0.38</v>
          </cell>
        </row>
        <row r="9">
          <cell r="F9">
            <v>0</v>
          </cell>
        </row>
        <row r="13">
          <cell r="F13">
            <v>133.38999999999999</v>
          </cell>
        </row>
        <row r="14">
          <cell r="F14">
            <v>-7489.91</v>
          </cell>
        </row>
        <row r="18">
          <cell r="F18">
            <v>38.99</v>
          </cell>
        </row>
        <row r="19">
          <cell r="F19">
            <v>825.85</v>
          </cell>
        </row>
        <row r="23">
          <cell r="F23">
            <v>57639.47</v>
          </cell>
        </row>
        <row r="24">
          <cell r="F24">
            <v>82689.98</v>
          </cell>
        </row>
        <row r="28">
          <cell r="F28">
            <v>991565.51</v>
          </cell>
        </row>
        <row r="29">
          <cell r="F29">
            <v>1034829.35</v>
          </cell>
        </row>
        <row r="33">
          <cell r="F33">
            <v>-61522.83</v>
          </cell>
        </row>
        <row r="34">
          <cell r="F34">
            <v>-264587.14</v>
          </cell>
        </row>
        <row r="38">
          <cell r="F38">
            <v>609468.80000000005</v>
          </cell>
        </row>
        <row r="39">
          <cell r="F39">
            <v>357944.23</v>
          </cell>
        </row>
        <row r="49">
          <cell r="F49">
            <v>360532530.48110008</v>
          </cell>
        </row>
        <row r="50">
          <cell r="F50">
            <v>341864844.09129995</v>
          </cell>
        </row>
        <row r="55">
          <cell r="F55">
            <v>360532530.48110008</v>
          </cell>
        </row>
        <row r="56">
          <cell r="F56">
            <v>341864844.09129995</v>
          </cell>
        </row>
      </sheetData>
      <sheetData sheetId="4">
        <row r="8">
          <cell r="F8">
            <v>0</v>
          </cell>
        </row>
        <row r="9">
          <cell r="F9">
            <v>0</v>
          </cell>
        </row>
        <row r="13">
          <cell r="F13">
            <v>-193983.11</v>
          </cell>
        </row>
        <row r="14">
          <cell r="F14">
            <v>651465.98</v>
          </cell>
        </row>
        <row r="18">
          <cell r="F18">
            <v>-56578.399999999994</v>
          </cell>
        </row>
        <row r="19">
          <cell r="F19">
            <v>58289.350000000006</v>
          </cell>
        </row>
        <row r="23">
          <cell r="F23">
            <v>137410.43</v>
          </cell>
        </row>
        <row r="24">
          <cell r="F24">
            <v>171447.76</v>
          </cell>
        </row>
        <row r="28">
          <cell r="F28">
            <v>957828.34</v>
          </cell>
        </row>
        <row r="29">
          <cell r="F29">
            <v>1045846.38</v>
          </cell>
        </row>
        <row r="33">
          <cell r="F33">
            <v>315240.24</v>
          </cell>
        </row>
        <row r="34">
          <cell r="F34">
            <v>445744.1</v>
          </cell>
        </row>
        <row r="38">
          <cell r="F38">
            <v>432440.98000000004</v>
          </cell>
        </row>
        <row r="39">
          <cell r="F39">
            <v>480065.44</v>
          </cell>
        </row>
        <row r="49">
          <cell r="F49">
            <v>404151907.03860003</v>
          </cell>
        </row>
        <row r="50">
          <cell r="F50">
            <v>343358973.69809997</v>
          </cell>
        </row>
        <row r="55">
          <cell r="F55">
            <v>404151907.03860003</v>
          </cell>
        </row>
        <row r="56">
          <cell r="F56">
            <v>343358973.69809997</v>
          </cell>
        </row>
      </sheetData>
      <sheetData sheetId="5">
        <row r="8">
          <cell r="G8">
            <v>0</v>
          </cell>
        </row>
        <row r="9">
          <cell r="G9">
            <v>0</v>
          </cell>
        </row>
        <row r="13">
          <cell r="G13">
            <v>-161785.43</v>
          </cell>
        </row>
        <row r="14">
          <cell r="G14">
            <v>601348.10000000009</v>
          </cell>
        </row>
        <row r="18">
          <cell r="G18">
            <v>-47187.42</v>
          </cell>
        </row>
        <row r="19">
          <cell r="G19">
            <v>53804.659999999996</v>
          </cell>
        </row>
        <row r="23">
          <cell r="G23">
            <v>114593.12</v>
          </cell>
        </row>
        <row r="24">
          <cell r="G24">
            <v>158243.93</v>
          </cell>
        </row>
        <row r="28">
          <cell r="G28">
            <v>798786.66</v>
          </cell>
        </row>
        <row r="29">
          <cell r="G29">
            <v>965278.95000000007</v>
          </cell>
        </row>
        <row r="33">
          <cell r="G33">
            <v>262890.38</v>
          </cell>
        </row>
        <row r="34">
          <cell r="G34">
            <v>411446.19999999995</v>
          </cell>
        </row>
        <row r="38">
          <cell r="G38">
            <v>360633.7</v>
          </cell>
        </row>
        <row r="39">
          <cell r="G39">
            <v>443075.98</v>
          </cell>
        </row>
        <row r="49">
          <cell r="G49">
            <v>337037464.80760461</v>
          </cell>
        </row>
        <row r="50">
          <cell r="G50">
            <v>315085755.70883542</v>
          </cell>
        </row>
        <row r="55">
          <cell r="G55">
            <v>337037464.80760461</v>
          </cell>
        </row>
        <row r="56">
          <cell r="G56">
            <v>315085755.70883542</v>
          </cell>
        </row>
      </sheetData>
      <sheetData sheetId="6">
        <row r="8">
          <cell r="H8">
            <v>0</v>
          </cell>
        </row>
        <row r="9">
          <cell r="H9">
            <v>-93.27</v>
          </cell>
        </row>
        <row r="13">
          <cell r="H13">
            <v>-110115.8</v>
          </cell>
        </row>
        <row r="14">
          <cell r="H14">
            <v>554367.66</v>
          </cell>
        </row>
        <row r="18">
          <cell r="H18">
            <v>-32117.11</v>
          </cell>
        </row>
        <row r="19">
          <cell r="H19">
            <v>49553.83</v>
          </cell>
        </row>
        <row r="23">
          <cell r="H23">
            <v>77998.570000000007</v>
          </cell>
        </row>
        <row r="24">
          <cell r="H24">
            <v>145981.79</v>
          </cell>
        </row>
        <row r="28">
          <cell r="H28">
            <v>543700.91999999993</v>
          </cell>
        </row>
        <row r="29">
          <cell r="H29">
            <v>890107.64</v>
          </cell>
        </row>
        <row r="33">
          <cell r="H33">
            <v>178937.91999999998</v>
          </cell>
        </row>
        <row r="34">
          <cell r="H34">
            <v>379561.82999999996</v>
          </cell>
        </row>
        <row r="38">
          <cell r="H38">
            <v>245466.18</v>
          </cell>
        </row>
        <row r="39">
          <cell r="H39">
            <v>408816.76</v>
          </cell>
        </row>
        <row r="49">
          <cell r="H49">
            <v>229407098.38009548</v>
          </cell>
        </row>
        <row r="50">
          <cell r="H50">
            <v>291822106.76426458</v>
          </cell>
        </row>
        <row r="55">
          <cell r="H55">
            <v>229407098.38009548</v>
          </cell>
        </row>
        <row r="56">
          <cell r="H56">
            <v>291892578.76426458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2018"/>
      <sheetName val="June 2018"/>
      <sheetName val="July 2018"/>
      <sheetName val="Aug 2018"/>
      <sheetName val="Sept 2018"/>
      <sheetName val="Oct 2018"/>
    </sheetNames>
    <sheetDataSet>
      <sheetData sheetId="0">
        <row r="51">
          <cell r="F51">
            <v>2.6633099999999999E-3</v>
          </cell>
        </row>
      </sheetData>
      <sheetData sheetId="1">
        <row r="51">
          <cell r="F51">
            <v>2.7637299999999998E-3</v>
          </cell>
        </row>
      </sheetData>
      <sheetData sheetId="2">
        <row r="51">
          <cell r="F51">
            <v>2.7738900000000002E-3</v>
          </cell>
        </row>
      </sheetData>
      <sheetData sheetId="3">
        <row r="51">
          <cell r="F51">
            <v>2.76961E-3</v>
          </cell>
        </row>
      </sheetData>
      <sheetData sheetId="4">
        <row r="51">
          <cell r="F51">
            <v>2.8550200000000002E-3</v>
          </cell>
        </row>
      </sheetData>
      <sheetData sheetId="5">
        <row r="51">
          <cell r="F51">
            <v>2.9459999999999998E-3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I Projects 042018-102018"/>
    </sheetNames>
    <sheetDataSet>
      <sheetData sheetId="0">
        <row r="26">
          <cell r="C26">
            <v>553411.12</v>
          </cell>
          <cell r="D26">
            <v>674906.82000000007</v>
          </cell>
          <cell r="E26">
            <v>488605.98999999993</v>
          </cell>
          <cell r="F26">
            <v>447040.7099999999</v>
          </cell>
          <cell r="G26">
            <v>779078.41</v>
          </cell>
          <cell r="H26">
            <v>713884.01999999979</v>
          </cell>
        </row>
        <row r="27">
          <cell r="C27">
            <v>571556.59</v>
          </cell>
          <cell r="D27">
            <v>779814.50000000023</v>
          </cell>
          <cell r="E27">
            <v>1411005.5400000003</v>
          </cell>
          <cell r="F27">
            <v>943579.35</v>
          </cell>
          <cell r="G27">
            <v>1193039.4800000002</v>
          </cell>
          <cell r="H27">
            <v>451851.03000000078</v>
          </cell>
        </row>
        <row r="28">
          <cell r="C28">
            <v>15178.879999999997</v>
          </cell>
          <cell r="D28">
            <v>37296.36</v>
          </cell>
          <cell r="E28">
            <v>94972.520000000033</v>
          </cell>
          <cell r="F28">
            <v>82916.700000000012</v>
          </cell>
          <cell r="G28">
            <v>41156.039999999986</v>
          </cell>
          <cell r="H28">
            <v>51658.490000000013</v>
          </cell>
        </row>
        <row r="29">
          <cell r="C29">
            <v>-2.5011104298755527E-12</v>
          </cell>
          <cell r="D29">
            <v>-9.0949470177292824E-13</v>
          </cell>
          <cell r="E29">
            <v>43700</v>
          </cell>
          <cell r="F29">
            <v>2798.5999999999995</v>
          </cell>
          <cell r="G29">
            <v>17831.48</v>
          </cell>
          <cell r="H29">
            <v>57522.25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O May thru Oct 2018"/>
    </sheetNames>
    <sheetDataSet>
      <sheetData sheetId="0">
        <row r="33">
          <cell r="F33">
            <v>1.9706129475639913E-3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onthly TD Calc"/>
    </sheetNames>
    <sheetDataSet>
      <sheetData sheetId="0" refreshError="1"/>
      <sheetData sheetId="1">
        <row r="285">
          <cell r="AB285">
            <v>5874702.5389139643</v>
          </cell>
          <cell r="AC285">
            <v>6826818.65890879</v>
          </cell>
          <cell r="AD285">
            <v>8463629.2162172087</v>
          </cell>
          <cell r="AE285">
            <v>8194210.520824071</v>
          </cell>
          <cell r="AF285">
            <v>6632896.2123881001</v>
          </cell>
          <cell r="AG285">
            <v>5412054.5221607443</v>
          </cell>
        </row>
        <row r="286">
          <cell r="AB286">
            <v>7821052.3265781105</v>
          </cell>
          <cell r="AC286">
            <v>7984659.1826580362</v>
          </cell>
          <cell r="AD286">
            <v>8772235.2920276392</v>
          </cell>
          <cell r="AE286">
            <v>9425656.9915323853</v>
          </cell>
          <cell r="AF286">
            <v>8977917.026647795</v>
          </cell>
          <cell r="AG286">
            <v>9646305.5916071478</v>
          </cell>
        </row>
        <row r="318">
          <cell r="AB318">
            <v>315938.57</v>
          </cell>
          <cell r="AC318">
            <v>571865.53</v>
          </cell>
          <cell r="AD318">
            <v>709049.01</v>
          </cell>
          <cell r="AE318">
            <v>686617.48</v>
          </cell>
          <cell r="AF318">
            <v>555621.13</v>
          </cell>
          <cell r="AG318">
            <v>282869.15000000002</v>
          </cell>
        </row>
        <row r="319">
          <cell r="AB319">
            <v>284098.64</v>
          </cell>
          <cell r="AC319">
            <v>415649.41</v>
          </cell>
          <cell r="AD319">
            <v>441448.66</v>
          </cell>
          <cell r="AE319">
            <v>468325.22</v>
          </cell>
          <cell r="AF319">
            <v>445384.83</v>
          </cell>
          <cell r="AG319">
            <v>347389.54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O PI Cycle 1"/>
      <sheetName val="PI Allocation"/>
    </sheetNames>
    <sheetDataSet>
      <sheetData sheetId="0">
        <row r="65">
          <cell r="K65">
            <v>41263.03</v>
          </cell>
          <cell r="X65">
            <v>62132.61</v>
          </cell>
        </row>
      </sheetData>
      <sheetData sheetId="1">
        <row r="5">
          <cell r="B5">
            <v>5461152.9000000004</v>
          </cell>
        </row>
        <row r="28">
          <cell r="B28">
            <v>85567046</v>
          </cell>
        </row>
        <row r="29">
          <cell r="B29">
            <v>128844235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2" max="2" width="18.7109375" customWidth="1"/>
    <col min="3" max="3" width="16.5703125" customWidth="1"/>
    <col min="4" max="4" width="15.5703125" customWidth="1"/>
    <col min="5" max="5" width="14.85546875" bestFit="1" customWidth="1"/>
    <col min="6" max="6" width="17.28515625" bestFit="1" customWidth="1"/>
    <col min="7" max="7" width="17.85546875" customWidth="1"/>
    <col min="8" max="8" width="13.42578125" customWidth="1"/>
    <col min="9" max="9" width="3.5703125" customWidth="1"/>
    <col min="10" max="12" width="14.85546875" bestFit="1" customWidth="1"/>
  </cols>
  <sheetData>
    <row r="1" spans="1:14" x14ac:dyDescent="0.25">
      <c r="A1" s="3" t="str">
        <f>+PPC!A1</f>
        <v>KCP&amp;L Greater Missouri Operations Company - DSIM Rider Update Filed 11/30/2018</v>
      </c>
      <c r="M1" s="61"/>
      <c r="N1" s="61"/>
    </row>
    <row r="2" spans="1:14" ht="15.75" thickBot="1" x14ac:dyDescent="0.3">
      <c r="H2" s="61"/>
      <c r="I2" s="61"/>
      <c r="J2" s="63"/>
      <c r="K2" s="63"/>
      <c r="M2" s="61"/>
      <c r="N2" s="61"/>
    </row>
    <row r="3" spans="1:14" ht="27.75" thickBot="1" x14ac:dyDescent="0.3">
      <c r="B3" s="112" t="s">
        <v>8</v>
      </c>
      <c r="C3" s="159" t="s">
        <v>22</v>
      </c>
      <c r="D3" s="159" t="s">
        <v>23</v>
      </c>
      <c r="E3" s="159" t="s">
        <v>75</v>
      </c>
      <c r="F3" s="159" t="s">
        <v>24</v>
      </c>
      <c r="G3" s="159" t="s">
        <v>47</v>
      </c>
      <c r="H3" s="113" t="s">
        <v>33</v>
      </c>
      <c r="I3" s="52"/>
      <c r="J3" s="114" t="s">
        <v>15</v>
      </c>
      <c r="K3" s="115" t="s">
        <v>74</v>
      </c>
      <c r="L3" s="115" t="s">
        <v>101</v>
      </c>
      <c r="M3" s="61"/>
      <c r="N3" s="61"/>
    </row>
    <row r="4" spans="1:14" ht="15.75" thickBot="1" x14ac:dyDescent="0.3">
      <c r="B4" s="116" t="s">
        <v>29</v>
      </c>
      <c r="C4" s="157">
        <f t="shared" ref="C4:F5" si="0">C10+C16</f>
        <v>54109.746266819304</v>
      </c>
      <c r="D4" s="158">
        <f t="shared" si="0"/>
        <v>17202.260421820916</v>
      </c>
      <c r="E4" s="158">
        <f t="shared" si="0"/>
        <v>250528.66643046835</v>
      </c>
      <c r="F4" s="155">
        <f t="shared" si="0"/>
        <v>0</v>
      </c>
      <c r="G4" s="162">
        <f>PPC!B5</f>
        <v>1703661925</v>
      </c>
      <c r="H4" s="163">
        <f>ROUND(SUM(C4:F4)/G4,5)</f>
        <v>1.9000000000000001E-4</v>
      </c>
      <c r="I4" s="164"/>
      <c r="J4" s="227">
        <f>ROUND((C10+C16)/G4,5)</f>
        <v>3.0000000000000001E-5</v>
      </c>
      <c r="K4" s="165">
        <f>ROUND((D10+D16)/G4,5)</f>
        <v>1.0000000000000001E-5</v>
      </c>
      <c r="L4" s="165">
        <f>ROUND((E10+E16)/G4,5)</f>
        <v>1.4999999999999999E-4</v>
      </c>
      <c r="M4" s="61"/>
      <c r="N4" s="61"/>
    </row>
    <row r="5" spans="1:14" ht="15.75" thickBot="1" x14ac:dyDescent="0.3">
      <c r="B5" s="116" t="s">
        <v>30</v>
      </c>
      <c r="C5" s="157">
        <f t="shared" si="0"/>
        <v>3494555.9694000003</v>
      </c>
      <c r="D5" s="158">
        <f t="shared" si="0"/>
        <v>682433.17850000015</v>
      </c>
      <c r="E5" s="158">
        <f t="shared" si="0"/>
        <v>385013.86480000004</v>
      </c>
      <c r="F5" s="155">
        <f t="shared" si="0"/>
        <v>0</v>
      </c>
      <c r="G5" s="162">
        <f>PPC!B6</f>
        <v>1766638509</v>
      </c>
      <c r="H5" s="163">
        <f>ROUND(SUM(C5:F5)/G5,5)</f>
        <v>2.5799999999999998E-3</v>
      </c>
      <c r="I5" s="164"/>
      <c r="J5" s="228">
        <f>ROUND((C11+C17)/G5,5)</f>
        <v>1.98E-3</v>
      </c>
      <c r="K5" s="233">
        <f>ROUND((D11+D17)/G5,5)-0.00001</f>
        <v>3.7999999999999997E-4</v>
      </c>
      <c r="L5" s="163">
        <f>ROUND((E11+E17)/G5,5)</f>
        <v>2.2000000000000001E-4</v>
      </c>
      <c r="M5" s="61"/>
      <c r="N5" s="61"/>
    </row>
    <row r="6" spans="1:14" x14ac:dyDescent="0.25">
      <c r="C6" s="154"/>
      <c r="D6" s="154"/>
      <c r="E6" s="154"/>
      <c r="F6" s="154"/>
      <c r="G6" s="153"/>
      <c r="M6" s="61"/>
      <c r="N6" s="61"/>
    </row>
    <row r="7" spans="1:14" x14ac:dyDescent="0.25">
      <c r="C7" s="154"/>
      <c r="D7" s="154"/>
      <c r="E7" s="154"/>
      <c r="F7" s="154"/>
      <c r="G7" s="153"/>
      <c r="M7" s="61"/>
      <c r="N7" s="61"/>
    </row>
    <row r="8" spans="1:14" ht="15.75" thickBot="1" x14ac:dyDescent="0.3">
      <c r="C8" s="154"/>
      <c r="D8" s="154"/>
      <c r="E8" s="154"/>
      <c r="F8" s="154"/>
      <c r="G8" s="153"/>
      <c r="M8" s="61"/>
      <c r="N8" s="61"/>
    </row>
    <row r="9" spans="1:14" ht="15.75" thickBot="1" x14ac:dyDescent="0.3">
      <c r="B9" s="112" t="s">
        <v>8</v>
      </c>
      <c r="C9" s="160" t="s">
        <v>7</v>
      </c>
      <c r="D9" s="160" t="s">
        <v>19</v>
      </c>
      <c r="E9" s="161" t="s">
        <v>76</v>
      </c>
      <c r="F9" s="161" t="s">
        <v>20</v>
      </c>
      <c r="G9" s="153"/>
      <c r="M9" s="61"/>
      <c r="N9" s="61"/>
    </row>
    <row r="10" spans="1:14" ht="15.75" thickBot="1" x14ac:dyDescent="0.3">
      <c r="B10" s="116" t="s">
        <v>29</v>
      </c>
      <c r="C10" s="158">
        <f>PPC!C5</f>
        <v>1759060.4</v>
      </c>
      <c r="D10" s="158">
        <f>PTD!C6</f>
        <v>572592.46</v>
      </c>
      <c r="E10" s="155">
        <f>+EO!G8</f>
        <v>0</v>
      </c>
      <c r="F10" s="156">
        <v>0</v>
      </c>
      <c r="G10" s="153"/>
      <c r="M10" s="61"/>
      <c r="N10" s="61"/>
    </row>
    <row r="11" spans="1:14" ht="15.75" thickBot="1" x14ac:dyDescent="0.3">
      <c r="B11" s="116" t="s">
        <v>30</v>
      </c>
      <c r="C11" s="158">
        <f>PPC!C6</f>
        <v>3281797.97</v>
      </c>
      <c r="D11" s="158">
        <f>PTD!C7</f>
        <v>708232.21</v>
      </c>
      <c r="E11" s="155">
        <f>+EO!G9</f>
        <v>0</v>
      </c>
      <c r="F11" s="156">
        <v>0</v>
      </c>
      <c r="G11" s="153"/>
      <c r="M11" s="61"/>
      <c r="N11" s="61"/>
    </row>
    <row r="12" spans="1:14" x14ac:dyDescent="0.25">
      <c r="C12" s="154"/>
      <c r="D12" s="154"/>
      <c r="E12" s="154"/>
      <c r="F12" s="154"/>
      <c r="G12" s="153"/>
      <c r="M12" s="61"/>
      <c r="N12" s="61"/>
    </row>
    <row r="13" spans="1:14" x14ac:dyDescent="0.25">
      <c r="C13" s="154"/>
      <c r="D13" s="154"/>
      <c r="E13" s="154"/>
      <c r="F13" s="154"/>
      <c r="G13" s="153"/>
      <c r="M13" s="61"/>
      <c r="N13" s="61"/>
    </row>
    <row r="14" spans="1:14" ht="15.75" thickBot="1" x14ac:dyDescent="0.3">
      <c r="C14" s="154"/>
      <c r="D14" s="154"/>
      <c r="E14" s="154"/>
      <c r="F14" s="154"/>
      <c r="G14" s="153"/>
      <c r="M14" s="61"/>
      <c r="N14" s="61"/>
    </row>
    <row r="15" spans="1:14" ht="15.75" thickBot="1" x14ac:dyDescent="0.3">
      <c r="B15" s="112" t="s">
        <v>8</v>
      </c>
      <c r="C15" s="160" t="s">
        <v>4</v>
      </c>
      <c r="D15" s="160" t="s">
        <v>10</v>
      </c>
      <c r="E15" s="161" t="s">
        <v>77</v>
      </c>
      <c r="F15" s="161" t="s">
        <v>21</v>
      </c>
      <c r="G15" s="153"/>
      <c r="M15" s="61"/>
      <c r="N15" s="61"/>
    </row>
    <row r="16" spans="1:14" ht="15.75" thickBot="1" x14ac:dyDescent="0.3">
      <c r="B16" s="116" t="s">
        <v>29</v>
      </c>
      <c r="C16" s="158">
        <f>+'PCR Cycle 1'!J4+'PCR Cycle 2'!J4</f>
        <v>-1704950.6537331806</v>
      </c>
      <c r="D16" s="158">
        <f>+'TDR Cycle 1'!J4+'TDR Cycle 2'!J4</f>
        <v>-555390.19957817905</v>
      </c>
      <c r="E16" s="155">
        <f>+EOR!I4</f>
        <v>250528.66643046835</v>
      </c>
      <c r="F16" s="156">
        <v>0</v>
      </c>
      <c r="G16" s="153"/>
      <c r="M16" s="61"/>
      <c r="N16" s="61"/>
    </row>
    <row r="17" spans="2:14" ht="15.75" thickBot="1" x14ac:dyDescent="0.3">
      <c r="B17" s="116" t="s">
        <v>30</v>
      </c>
      <c r="C17" s="158">
        <f>+'PCR Cycle 1'!J5+'PCR Cycle 2'!J5</f>
        <v>212757.99939999997</v>
      </c>
      <c r="D17" s="158">
        <f>+'TDR Cycle 1'!J5+'TDR Cycle 2'!J5</f>
        <v>-25799.031499999779</v>
      </c>
      <c r="E17" s="155">
        <f>+EOR!I5</f>
        <v>385013.86480000004</v>
      </c>
      <c r="F17" s="156">
        <v>0</v>
      </c>
      <c r="G17" s="153"/>
      <c r="M17" s="61"/>
      <c r="N17" s="61"/>
    </row>
    <row r="18" spans="2:14" x14ac:dyDescent="0.25">
      <c r="M18" s="61"/>
      <c r="N18" s="61"/>
    </row>
    <row r="19" spans="2:14" x14ac:dyDescent="0.25">
      <c r="B19" s="120" t="s">
        <v>48</v>
      </c>
      <c r="M19" s="61"/>
      <c r="N19" s="61"/>
    </row>
    <row r="20" spans="2:14" x14ac:dyDescent="0.25">
      <c r="B20" s="121" t="s">
        <v>49</v>
      </c>
      <c r="M20" s="61"/>
      <c r="N20" s="61"/>
    </row>
    <row r="21" spans="2:14" x14ac:dyDescent="0.25">
      <c r="B21" s="121" t="s">
        <v>59</v>
      </c>
      <c r="M21" s="61"/>
      <c r="N21" s="61"/>
    </row>
    <row r="22" spans="2:14" x14ac:dyDescent="0.25">
      <c r="B22" s="121" t="s">
        <v>50</v>
      </c>
      <c r="M22" s="61"/>
      <c r="N22" s="61"/>
    </row>
    <row r="23" spans="2:14" x14ac:dyDescent="0.25">
      <c r="B23" s="121" t="s">
        <v>51</v>
      </c>
      <c r="M23" s="61"/>
      <c r="N23" s="61"/>
    </row>
    <row r="24" spans="2:14" x14ac:dyDescent="0.25">
      <c r="B24" s="121" t="s">
        <v>52</v>
      </c>
      <c r="M24" s="61"/>
      <c r="N24" s="61"/>
    </row>
    <row r="25" spans="2:14" x14ac:dyDescent="0.25">
      <c r="B25" s="121" t="s">
        <v>53</v>
      </c>
      <c r="M25" s="61"/>
      <c r="N25" s="61"/>
    </row>
    <row r="26" spans="2:14" x14ac:dyDescent="0.25">
      <c r="B26" s="121" t="s">
        <v>64</v>
      </c>
      <c r="M26" s="61"/>
      <c r="N26" s="61"/>
    </row>
    <row r="27" spans="2:14" x14ac:dyDescent="0.25">
      <c r="B27" s="121" t="s">
        <v>54</v>
      </c>
      <c r="M27" s="61"/>
      <c r="N27" s="61"/>
    </row>
    <row r="28" spans="2:14" x14ac:dyDescent="0.25">
      <c r="B28" s="121" t="s">
        <v>71</v>
      </c>
      <c r="M28" s="61"/>
      <c r="N28" s="61"/>
    </row>
    <row r="29" spans="2:14" x14ac:dyDescent="0.25">
      <c r="B29" s="121" t="s">
        <v>73</v>
      </c>
      <c r="M29" s="61"/>
      <c r="N29" s="61"/>
    </row>
    <row r="30" spans="2:14" x14ac:dyDescent="0.25">
      <c r="B30" s="121" t="s">
        <v>72</v>
      </c>
      <c r="M30" s="61"/>
      <c r="N30" s="61"/>
    </row>
    <row r="31" spans="2:14" x14ac:dyDescent="0.25">
      <c r="B31" s="121" t="s">
        <v>55</v>
      </c>
      <c r="M31" s="61"/>
      <c r="N31" s="61"/>
    </row>
    <row r="32" spans="2:14" x14ac:dyDescent="0.25">
      <c r="B32" s="121" t="s">
        <v>56</v>
      </c>
      <c r="M32" s="61"/>
      <c r="N32" s="61"/>
    </row>
    <row r="33" spans="2:14" x14ac:dyDescent="0.25">
      <c r="B33" s="121" t="s">
        <v>57</v>
      </c>
      <c r="M33" s="61"/>
      <c r="N33" s="61"/>
    </row>
    <row r="34" spans="2:14" x14ac:dyDescent="0.25">
      <c r="B34" s="121" t="s">
        <v>58</v>
      </c>
      <c r="M34" s="61"/>
      <c r="N34" s="61"/>
    </row>
    <row r="35" spans="2:14" x14ac:dyDescent="0.25">
      <c r="M35" s="61"/>
      <c r="N35" s="61"/>
    </row>
    <row r="36" spans="2:14" x14ac:dyDescent="0.25">
      <c r="M36" s="61"/>
      <c r="N36" s="61"/>
    </row>
    <row r="37" spans="2:14" x14ac:dyDescent="0.25">
      <c r="M37" s="61"/>
      <c r="N37" s="61"/>
    </row>
    <row r="38" spans="2:14" x14ac:dyDescent="0.25">
      <c r="M38" s="61"/>
      <c r="N38" s="61"/>
    </row>
    <row r="39" spans="2:14" x14ac:dyDescent="0.25">
      <c r="M39" s="61"/>
      <c r="N39" s="61"/>
    </row>
    <row r="40" spans="2:14" x14ac:dyDescent="0.25">
      <c r="M40" s="61"/>
      <c r="N40" s="61"/>
    </row>
    <row r="41" spans="2:14" x14ac:dyDescent="0.25">
      <c r="M41" s="61"/>
      <c r="N41" s="61"/>
    </row>
    <row r="42" spans="2:14" x14ac:dyDescent="0.25">
      <c r="M42" s="61"/>
      <c r="N42" s="61"/>
    </row>
    <row r="43" spans="2:14" x14ac:dyDescent="0.25">
      <c r="M43" s="61"/>
      <c r="N43" s="61"/>
    </row>
    <row r="44" spans="2:14" x14ac:dyDescent="0.25">
      <c r="M44" s="61"/>
      <c r="N44" s="61"/>
    </row>
  </sheetData>
  <pageMargins left="0.2" right="0.2" top="0.75" bottom="0.25" header="0.3" footer="0.3"/>
  <pageSetup scale="78" orientation="landscape" r:id="rId1"/>
  <headerFooter>
    <oddHeader>&amp;C&amp;F &amp;A</oddHeader>
    <oddFooter>&amp;R&amp;1#&amp;"Calibri"&amp;10 Public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/>
  </sheetViews>
  <sheetFormatPr defaultRowHeight="15" x14ac:dyDescent="0.25"/>
  <cols>
    <col min="1" max="1" width="26.42578125" style="61" customWidth="1"/>
    <col min="2" max="2" width="14.28515625" style="61" bestFit="1" customWidth="1"/>
    <col min="3" max="3" width="14.28515625" style="61" customWidth="1"/>
    <col min="4" max="4" width="13.28515625" style="61" bestFit="1" customWidth="1"/>
    <col min="5" max="16384" width="9.140625" style="61"/>
  </cols>
  <sheetData>
    <row r="1" spans="1:5" x14ac:dyDescent="0.25">
      <c r="A1" s="79" t="str">
        <f>+PPC!A1</f>
        <v>KCP&amp;L Greater Missouri Operations Company - DSIM Rider Update Filed 11/30/2018</v>
      </c>
    </row>
    <row r="2" spans="1:5" x14ac:dyDescent="0.25">
      <c r="A2" s="9" t="str">
        <f>+PPC!A2</f>
        <v>Projections for Cycle 2 January - June 2019 DSIM</v>
      </c>
    </row>
    <row r="3" spans="1:5" ht="45.75" customHeight="1" x14ac:dyDescent="0.25">
      <c r="B3" s="234" t="s">
        <v>122</v>
      </c>
      <c r="C3" s="234"/>
      <c r="D3" s="234"/>
    </row>
    <row r="4" spans="1:5" x14ac:dyDescent="0.25">
      <c r="B4" s="86"/>
      <c r="C4" s="86"/>
      <c r="D4" s="63" t="s">
        <v>20</v>
      </c>
    </row>
    <row r="5" spans="1:5" x14ac:dyDescent="0.25">
      <c r="A5" s="22" t="s">
        <v>123</v>
      </c>
      <c r="B5" s="86"/>
      <c r="C5" s="86"/>
      <c r="D5" s="224">
        <v>0</v>
      </c>
    </row>
    <row r="6" spans="1:5" x14ac:dyDescent="0.25">
      <c r="A6" s="22" t="s">
        <v>124</v>
      </c>
      <c r="B6" s="86"/>
      <c r="C6" s="86"/>
      <c r="D6" s="224">
        <v>0</v>
      </c>
    </row>
    <row r="7" spans="1:5" x14ac:dyDescent="0.25">
      <c r="A7" s="22"/>
      <c r="B7" s="86"/>
      <c r="C7" s="86"/>
      <c r="D7" s="199"/>
    </row>
    <row r="8" spans="1:5" x14ac:dyDescent="0.25">
      <c r="A8" s="22" t="s">
        <v>29</v>
      </c>
      <c r="B8" s="86"/>
      <c r="C8" s="86"/>
      <c r="D8" s="36">
        <v>0</v>
      </c>
      <c r="E8" s="4"/>
    </row>
    <row r="9" spans="1:5" x14ac:dyDescent="0.25">
      <c r="A9" s="22" t="s">
        <v>30</v>
      </c>
      <c r="B9" s="86"/>
      <c r="C9" s="86"/>
      <c r="D9" s="36">
        <f>ROUND($D$5+D6,2)</f>
        <v>0</v>
      </c>
      <c r="E9" s="4"/>
    </row>
    <row r="10" spans="1:5" ht="15.75" thickBot="1" x14ac:dyDescent="0.3">
      <c r="A10" s="22" t="s">
        <v>6</v>
      </c>
      <c r="B10" s="86"/>
      <c r="C10" s="86"/>
      <c r="D10" s="24">
        <f>SUM(D8:D9)</f>
        <v>0</v>
      </c>
      <c r="E10" s="4"/>
    </row>
    <row r="11" spans="1:5" ht="16.5" thickTop="1" thickBot="1" x14ac:dyDescent="0.3">
      <c r="B11" s="33"/>
      <c r="C11" s="33"/>
      <c r="D11" s="21">
        <f>ROUND(D5+D6,2)-D10</f>
        <v>0</v>
      </c>
      <c r="E11" s="2"/>
    </row>
    <row r="12" spans="1:5" ht="15.75" thickTop="1" x14ac:dyDescent="0.25">
      <c r="E12" s="4"/>
    </row>
    <row r="13" spans="1:5" x14ac:dyDescent="0.25">
      <c r="E13" s="4"/>
    </row>
    <row r="17" spans="1:1" x14ac:dyDescent="0.25">
      <c r="A17" s="68" t="s">
        <v>13</v>
      </c>
    </row>
    <row r="18" spans="1:1" x14ac:dyDescent="0.25">
      <c r="A18" s="3" t="s">
        <v>125</v>
      </c>
    </row>
    <row r="19" spans="1:1" x14ac:dyDescent="0.25">
      <c r="A19" s="3" t="s">
        <v>126</v>
      </c>
    </row>
  </sheetData>
  <mergeCells count="1">
    <mergeCell ref="B3:D3"/>
  </mergeCells>
  <pageMargins left="0.7" right="0.7" top="0.75" bottom="0.75" header="0.3" footer="0.3"/>
  <pageSetup orientation="portrait" r:id="rId1"/>
  <headerFooter>
    <oddFooter>&amp;R&amp;1#&amp;"Calibri"&amp;10 Public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headerFooter>
    <oddFooter>&amp;R&amp;1#&amp;"Calibri"&amp;10 Public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"/>
  <sheetViews>
    <sheetView workbookViewId="0"/>
  </sheetViews>
  <sheetFormatPr defaultRowHeight="15" x14ac:dyDescent="0.25"/>
  <sheetData>
    <row r="11" spans="3:3" x14ac:dyDescent="0.25">
      <c r="C11" s="61"/>
    </row>
  </sheetData>
  <pageMargins left="0.7" right="0.7" top="0.75" bottom="0.75" header="0.3" footer="0.3"/>
  <pageSetup orientation="portrait" r:id="rId1"/>
  <headerFooter>
    <oddFooter>&amp;R&amp;1#&amp;"Calibri"&amp;10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2"/>
  <sheetViews>
    <sheetView workbookViewId="0"/>
  </sheetViews>
  <sheetFormatPr defaultRowHeight="15" x14ac:dyDescent="0.25"/>
  <cols>
    <col min="1" max="1" width="17.5703125" customWidth="1"/>
    <col min="2" max="2" width="22" customWidth="1"/>
    <col min="3" max="3" width="17.28515625" customWidth="1"/>
    <col min="4" max="4" width="24.85546875" bestFit="1" customWidth="1"/>
    <col min="5" max="5" width="15.5703125" bestFit="1" customWidth="1"/>
    <col min="6" max="8" width="17.7109375" customWidth="1"/>
    <col min="9" max="9" width="21.42578125" customWidth="1"/>
  </cols>
  <sheetData>
    <row r="1" spans="1:32" s="61" customFormat="1" x14ac:dyDescent="0.25">
      <c r="A1" s="79" t="s">
        <v>146</v>
      </c>
    </row>
    <row r="2" spans="1:32" ht="15.75" thickBot="1" x14ac:dyDescent="0.3">
      <c r="A2" s="9" t="s">
        <v>129</v>
      </c>
    </row>
    <row r="3" spans="1:32" ht="35.25" customHeight="1" thickBot="1" x14ac:dyDescent="0.3">
      <c r="B3" s="234" t="s">
        <v>85</v>
      </c>
      <c r="C3" s="234"/>
      <c r="E3" s="235" t="s">
        <v>5</v>
      </c>
      <c r="F3" s="236"/>
      <c r="G3" s="236"/>
      <c r="H3" s="236"/>
      <c r="I3" s="237"/>
    </row>
    <row r="4" spans="1:32" ht="45" x14ac:dyDescent="0.25">
      <c r="B4" s="86" t="s">
        <v>60</v>
      </c>
      <c r="C4" s="6" t="s">
        <v>31</v>
      </c>
      <c r="E4" s="10"/>
      <c r="F4" s="90" t="s">
        <v>29</v>
      </c>
      <c r="G4" s="90" t="s">
        <v>30</v>
      </c>
      <c r="H4" s="90" t="s">
        <v>79</v>
      </c>
      <c r="I4" s="91" t="s">
        <v>1</v>
      </c>
    </row>
    <row r="5" spans="1:32" x14ac:dyDescent="0.25">
      <c r="A5" s="22" t="s">
        <v>29</v>
      </c>
      <c r="B5" s="93">
        <f>+'[1]Billed kWh Sales'!$C$52</f>
        <v>1703661925</v>
      </c>
      <c r="C5" s="36">
        <f>SUM(F9:I9)</f>
        <v>1759060.4</v>
      </c>
      <c r="D5" s="4"/>
      <c r="E5" s="25"/>
      <c r="F5" s="27">
        <v>1</v>
      </c>
      <c r="G5" s="27">
        <v>0</v>
      </c>
      <c r="H5" s="27">
        <v>0.5</v>
      </c>
      <c r="I5" s="28">
        <v>0.5</v>
      </c>
    </row>
    <row r="6" spans="1:32" ht="15.75" thickBot="1" x14ac:dyDescent="0.3">
      <c r="A6" s="22" t="s">
        <v>30</v>
      </c>
      <c r="B6" s="93">
        <f>SUM('[1]Billed kWh Sales'!$C$53:$C$56)</f>
        <v>1766638509</v>
      </c>
      <c r="C6" s="36">
        <f>SUM(F10:I10)</f>
        <v>3281797.97</v>
      </c>
      <c r="D6" s="4"/>
      <c r="E6" s="25"/>
      <c r="F6" s="27">
        <v>0</v>
      </c>
      <c r="G6" s="27">
        <f>B6/SUM($B$6:$B$6)</f>
        <v>1</v>
      </c>
      <c r="H6" s="27">
        <v>0.5</v>
      </c>
      <c r="I6" s="28">
        <v>0.5</v>
      </c>
    </row>
    <row r="7" spans="1:32" ht="16.5" thickTop="1" thickBot="1" x14ac:dyDescent="0.3">
      <c r="A7" s="22" t="s">
        <v>6</v>
      </c>
      <c r="B7" s="35">
        <f>SUM(B5:B6)</f>
        <v>3470300434</v>
      </c>
      <c r="C7" s="24">
        <f>SUM(C5:C6)</f>
        <v>5040858.37</v>
      </c>
      <c r="D7" s="4"/>
      <c r="E7" s="31" t="s">
        <v>12</v>
      </c>
      <c r="F7" s="21">
        <f>1-SUM(F5:F6)</f>
        <v>0</v>
      </c>
      <c r="G7" s="21">
        <f>1-SUM(G5:G6)</f>
        <v>0</v>
      </c>
      <c r="H7" s="21">
        <f>1-SUM(H5:H6)</f>
        <v>0</v>
      </c>
      <c r="I7" s="21">
        <f>1-SUM(I5:I6)</f>
        <v>0</v>
      </c>
    </row>
    <row r="8" spans="1:32" ht="16.5" thickTop="1" thickBot="1" x14ac:dyDescent="0.3">
      <c r="B8" s="33" t="s">
        <v>12</v>
      </c>
      <c r="C8" s="21">
        <f>SUM(F8:I8)-C7</f>
        <v>0</v>
      </c>
      <c r="D8" s="2"/>
      <c r="E8" s="32" t="s">
        <v>6</v>
      </c>
      <c r="F8" s="37">
        <f>ROUND('[2]Program Costs - GMO'!$BA$159,2)</f>
        <v>1527523.63</v>
      </c>
      <c r="G8" s="37">
        <f>ROUND('[2]Program Costs - GMO'!$BA$160,2)</f>
        <v>3050261.2</v>
      </c>
      <c r="H8" s="37">
        <f>ROUND('[2]Program Costs - GMO'!$BA$161,2)</f>
        <v>463073.54</v>
      </c>
      <c r="I8" s="38">
        <f>ROUND('[2]Program Costs - GMO'!$BA$162,2)</f>
        <v>0</v>
      </c>
    </row>
    <row r="9" spans="1:32" ht="15.75" thickTop="1" x14ac:dyDescent="0.25">
      <c r="D9" s="4"/>
      <c r="E9" s="108" t="s">
        <v>29</v>
      </c>
      <c r="F9" s="109">
        <f t="shared" ref="F9:I10" si="0">F5*F$8</f>
        <v>1527523.63</v>
      </c>
      <c r="G9" s="109">
        <f t="shared" si="0"/>
        <v>0</v>
      </c>
      <c r="H9" s="109">
        <f t="shared" si="0"/>
        <v>231536.77</v>
      </c>
      <c r="I9" s="110">
        <f t="shared" si="0"/>
        <v>0</v>
      </c>
    </row>
    <row r="10" spans="1:32" ht="15.75" thickBot="1" x14ac:dyDescent="0.3">
      <c r="D10" s="4"/>
      <c r="E10" s="26" t="s">
        <v>30</v>
      </c>
      <c r="F10" s="29">
        <f t="shared" si="0"/>
        <v>0</v>
      </c>
      <c r="G10" s="29">
        <f t="shared" si="0"/>
        <v>3050261.2</v>
      </c>
      <c r="H10" s="29">
        <f t="shared" si="0"/>
        <v>231536.77</v>
      </c>
      <c r="I10" s="30">
        <f t="shared" si="0"/>
        <v>0</v>
      </c>
    </row>
    <row r="13" spans="1:32" x14ac:dyDescent="0.25"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68" t="s">
        <v>13</v>
      </c>
      <c r="F14" s="60"/>
      <c r="G14" s="60"/>
      <c r="H14" s="60"/>
      <c r="I14" s="60"/>
      <c r="J14" s="60"/>
    </row>
    <row r="15" spans="1:32" x14ac:dyDescent="0.25">
      <c r="A15" s="238" t="s">
        <v>128</v>
      </c>
      <c r="B15" s="238"/>
      <c r="C15" s="238"/>
      <c r="D15" s="238"/>
      <c r="E15" s="238"/>
      <c r="F15" s="238"/>
      <c r="G15" s="238"/>
      <c r="H15" s="238"/>
      <c r="I15" s="238"/>
    </row>
    <row r="16" spans="1:32" x14ac:dyDescent="0.25">
      <c r="A16" s="239" t="s">
        <v>140</v>
      </c>
      <c r="B16" s="239"/>
      <c r="C16" s="239"/>
      <c r="D16" s="239"/>
      <c r="E16" s="239"/>
      <c r="F16" s="239"/>
      <c r="G16" s="239"/>
      <c r="H16" s="239"/>
      <c r="I16" s="239"/>
    </row>
    <row r="26" spans="1:10" x14ac:dyDescent="0.25">
      <c r="C26" s="2"/>
    </row>
    <row r="28" spans="1:10" x14ac:dyDescent="0.25">
      <c r="A28" s="61"/>
      <c r="B28" s="61"/>
      <c r="C28" s="61"/>
      <c r="D28" s="61"/>
      <c r="E28" s="61"/>
      <c r="F28" s="61"/>
      <c r="G28" s="61"/>
      <c r="H28" s="61"/>
      <c r="I28" s="61"/>
      <c r="J28" s="61"/>
    </row>
    <row r="29" spans="1:10" x14ac:dyDescent="0.25">
      <c r="A29" s="61"/>
      <c r="B29" s="61"/>
      <c r="C29" s="61"/>
      <c r="E29" s="61"/>
      <c r="F29" s="61"/>
      <c r="G29" s="61"/>
      <c r="H29" s="61"/>
      <c r="I29" s="61"/>
      <c r="J29" s="61"/>
    </row>
    <row r="30" spans="1:10" x14ac:dyDescent="0.25">
      <c r="A30" s="61"/>
      <c r="B30" s="61"/>
      <c r="C30" s="61"/>
      <c r="D30" s="61"/>
      <c r="E30" s="61"/>
      <c r="F30" s="61"/>
      <c r="G30" s="61"/>
      <c r="H30" s="61"/>
      <c r="I30" s="61"/>
      <c r="J30" s="61"/>
    </row>
    <row r="31" spans="1:10" x14ac:dyDescent="0.25">
      <c r="A31" s="61"/>
      <c r="B31" s="61"/>
      <c r="C31" s="61"/>
      <c r="D31" s="61"/>
      <c r="E31" s="61"/>
      <c r="F31" s="61"/>
      <c r="G31" s="61"/>
      <c r="H31" s="61"/>
      <c r="I31" s="61"/>
      <c r="J31" s="61"/>
    </row>
    <row r="32" spans="1:10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</row>
    <row r="33" spans="1:10" x14ac:dyDescent="0.25">
      <c r="A33" s="61"/>
      <c r="B33" s="61"/>
      <c r="C33" s="61"/>
      <c r="D33" s="61"/>
      <c r="E33" s="61"/>
      <c r="F33" s="61"/>
      <c r="G33" s="61"/>
      <c r="H33" s="61"/>
      <c r="I33" s="61"/>
      <c r="J33" s="61"/>
    </row>
    <row r="34" spans="1:10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</row>
    <row r="35" spans="1:10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</row>
    <row r="36" spans="1:10" x14ac:dyDescent="0.25">
      <c r="A36" s="61"/>
      <c r="B36" s="61"/>
      <c r="C36" s="61"/>
      <c r="D36" s="61"/>
      <c r="E36" s="61"/>
      <c r="F36" s="61"/>
      <c r="G36" s="61"/>
      <c r="H36" s="61"/>
      <c r="I36" s="61"/>
      <c r="J36" s="61"/>
    </row>
    <row r="37" spans="1:10" x14ac:dyDescent="0.25">
      <c r="A37" s="61"/>
      <c r="B37" s="61"/>
      <c r="C37" s="61"/>
      <c r="D37" s="61"/>
      <c r="E37" s="61"/>
      <c r="F37" s="61"/>
      <c r="G37" s="61"/>
      <c r="H37" s="61"/>
      <c r="I37" s="61"/>
      <c r="J37" s="61"/>
    </row>
    <row r="38" spans="1:10" x14ac:dyDescent="0.25">
      <c r="A38" s="61"/>
      <c r="B38" s="61"/>
      <c r="C38" s="61"/>
      <c r="D38" s="61"/>
      <c r="E38" s="61"/>
      <c r="F38" s="61"/>
      <c r="G38" s="61"/>
      <c r="H38" s="61"/>
      <c r="I38" s="61"/>
      <c r="J38" s="61"/>
    </row>
    <row r="39" spans="1:10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61"/>
    </row>
    <row r="40" spans="1:10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</row>
    <row r="41" spans="1:10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</row>
    <row r="42" spans="1:10" x14ac:dyDescent="0.25">
      <c r="A42" s="61"/>
      <c r="B42" s="61"/>
      <c r="C42" s="61"/>
      <c r="D42" s="61"/>
      <c r="E42" s="61"/>
      <c r="F42" s="61"/>
      <c r="G42" s="61"/>
      <c r="H42" s="61"/>
      <c r="I42" s="61"/>
      <c r="J42" s="61"/>
    </row>
    <row r="48" spans="1:10" x14ac:dyDescent="0.25">
      <c r="B48" s="8"/>
      <c r="C48" s="8"/>
      <c r="D48" s="8"/>
    </row>
    <row r="52" spans="2:4" x14ac:dyDescent="0.25">
      <c r="B52" s="8"/>
      <c r="C52" s="8"/>
      <c r="D52" s="8"/>
    </row>
  </sheetData>
  <mergeCells count="4">
    <mergeCell ref="B3:C3"/>
    <mergeCell ref="E3:I3"/>
    <mergeCell ref="A15:I15"/>
    <mergeCell ref="A16:I16"/>
  </mergeCells>
  <pageMargins left="0.2" right="0.2" top="0.75" bottom="0.25" header="0.3" footer="0.3"/>
  <pageSetup scale="78" orientation="landscape" r:id="rId1"/>
  <headerFooter>
    <oddHeader>&amp;C&amp;F &amp;A</oddHeader>
    <oddFooter>&amp;R&amp;1#&amp;"Calibri"&amp;10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5"/>
  <sheetViews>
    <sheetView topLeftCell="A37" workbookViewId="0"/>
  </sheetViews>
  <sheetFormatPr defaultRowHeight="15" x14ac:dyDescent="0.25"/>
  <cols>
    <col min="1" max="1" width="54.5703125" customWidth="1"/>
    <col min="2" max="2" width="14.7109375" style="61" bestFit="1" customWidth="1"/>
    <col min="3" max="3" width="15" style="61" customWidth="1"/>
    <col min="4" max="4" width="13.85546875" customWidth="1"/>
    <col min="5" max="5" width="15.85546875" customWidth="1"/>
    <col min="6" max="6" width="17.5703125" style="61" customWidth="1"/>
    <col min="7" max="8" width="13.28515625" style="61" customWidth="1"/>
    <col min="9" max="9" width="16" customWidth="1"/>
    <col min="10" max="10" width="15.85546875" style="61" bestFit="1" customWidth="1"/>
    <col min="11" max="11" width="12.5703125" style="61" bestFit="1" customWidth="1"/>
    <col min="12" max="12" width="16" style="61" customWidth="1"/>
    <col min="13" max="13" width="15" bestFit="1" customWidth="1"/>
    <col min="14" max="14" width="16.28515625" bestFit="1" customWidth="1"/>
    <col min="15" max="15" width="16.140625" customWidth="1"/>
    <col min="16" max="16" width="17.28515625" bestFit="1" customWidth="1"/>
    <col min="17" max="17" width="17.42578125" customWidth="1"/>
    <col min="18" max="18" width="15.5703125" customWidth="1"/>
    <col min="19" max="19" width="13" customWidth="1"/>
    <col min="21" max="21" width="14.28515625" bestFit="1" customWidth="1"/>
  </cols>
  <sheetData>
    <row r="1" spans="1:34" x14ac:dyDescent="0.25">
      <c r="A1" s="3" t="str">
        <f>+PPC!A1</f>
        <v>KCP&amp;L Greater Missouri Operations Company - DSIM Rider Update Filed 11/30/2018</v>
      </c>
      <c r="B1" s="3"/>
      <c r="C1" s="3"/>
    </row>
    <row r="2" spans="1:34" x14ac:dyDescent="0.25">
      <c r="D2" s="3" t="s">
        <v>78</v>
      </c>
    </row>
    <row r="3" spans="1:34" ht="30" x14ac:dyDescent="0.25">
      <c r="D3" s="6" t="s">
        <v>62</v>
      </c>
      <c r="E3" s="6" t="s">
        <v>61</v>
      </c>
      <c r="F3" s="86" t="s">
        <v>2</v>
      </c>
      <c r="G3" s="6" t="s">
        <v>3</v>
      </c>
      <c r="H3" s="86" t="s">
        <v>70</v>
      </c>
      <c r="I3" s="6" t="s">
        <v>11</v>
      </c>
      <c r="J3" s="6" t="s">
        <v>4</v>
      </c>
    </row>
    <row r="4" spans="1:34" x14ac:dyDescent="0.25">
      <c r="A4" s="61" t="s">
        <v>29</v>
      </c>
      <c r="D4" s="24">
        <f>SUM(C25:L25)</f>
        <v>-72688.229999999952</v>
      </c>
      <c r="E4" s="168">
        <f>SUM(C21:L21)</f>
        <v>2015855639.7705564</v>
      </c>
      <c r="F4" s="24">
        <f>SUM(C17:K17)</f>
        <v>0</v>
      </c>
      <c r="G4" s="24">
        <f>F4-D4</f>
        <v>72688.229999999952</v>
      </c>
      <c r="H4" s="24">
        <f>+B35</f>
        <v>-1109.5999999999999</v>
      </c>
      <c r="I4" s="24">
        <f>SUM(C40:K40)</f>
        <v>1017.1100000000001</v>
      </c>
      <c r="J4" s="36">
        <f>SUM(G4:I4)</f>
        <v>72595.739999999947</v>
      </c>
      <c r="K4" s="62">
        <f>+J4-L35</f>
        <v>0</v>
      </c>
    </row>
    <row r="5" spans="1:34" ht="15.75" thickBot="1" x14ac:dyDescent="0.3">
      <c r="A5" t="s">
        <v>30</v>
      </c>
      <c r="D5" s="24">
        <f>SUM(C26:L26)</f>
        <v>40357.128499999752</v>
      </c>
      <c r="E5" s="168">
        <f>SUM(C22:L22)</f>
        <v>1895344317.4758999</v>
      </c>
      <c r="F5" s="24">
        <f>SUM(C18:K18)</f>
        <v>0</v>
      </c>
      <c r="G5" s="24">
        <f>F5-D5</f>
        <v>-40357.128499999752</v>
      </c>
      <c r="H5" s="24">
        <f>+B36</f>
        <v>-94770.62</v>
      </c>
      <c r="I5" s="24">
        <f>SUM(C41:K41)</f>
        <v>-2461.8000000000002</v>
      </c>
      <c r="J5" s="36">
        <f>SUM(G5:I5)</f>
        <v>-137589.54849999974</v>
      </c>
      <c r="K5" s="62">
        <f>+J5-L36</f>
        <v>0</v>
      </c>
    </row>
    <row r="6" spans="1:34" ht="16.5" thickTop="1" thickBot="1" x14ac:dyDescent="0.3">
      <c r="D6" s="40">
        <f t="shared" ref="D6" si="0">SUM(D4:D5)</f>
        <v>-32331.101500000201</v>
      </c>
      <c r="E6" s="169">
        <f t="shared" ref="E6:H6" si="1">SUM(E4:E5)</f>
        <v>3911199957.2464561</v>
      </c>
      <c r="F6" s="40">
        <f t="shared" si="1"/>
        <v>0</v>
      </c>
      <c r="G6" s="40">
        <f t="shared" si="1"/>
        <v>32331.101500000201</v>
      </c>
      <c r="H6" s="40">
        <f t="shared" si="1"/>
        <v>-95880.22</v>
      </c>
      <c r="I6" s="94">
        <f>SUM(I4:I5)</f>
        <v>-1444.69</v>
      </c>
      <c r="J6" s="40">
        <f>SUM(J4:J5)</f>
        <v>-64993.808499999795</v>
      </c>
    </row>
    <row r="7" spans="1:34" ht="16.5" thickTop="1" thickBot="1" x14ac:dyDescent="0.3"/>
    <row r="8" spans="1:34" ht="75.75" thickBot="1" x14ac:dyDescent="0.3">
      <c r="B8" s="145" t="s">
        <v>130</v>
      </c>
      <c r="C8" s="220" t="s">
        <v>131</v>
      </c>
      <c r="D8" s="243" t="s">
        <v>39</v>
      </c>
      <c r="E8" s="243"/>
      <c r="F8" s="244"/>
      <c r="G8" s="235" t="s">
        <v>39</v>
      </c>
      <c r="H8" s="236"/>
      <c r="I8" s="237"/>
      <c r="J8" s="245" t="s">
        <v>9</v>
      </c>
      <c r="K8" s="246"/>
      <c r="L8" s="247"/>
    </row>
    <row r="9" spans="1:34" x14ac:dyDescent="0.25">
      <c r="A9" t="s">
        <v>38</v>
      </c>
      <c r="C9" s="14"/>
      <c r="D9" s="20">
        <v>43251</v>
      </c>
      <c r="E9" s="20">
        <f>EOMONTH(D9,1)</f>
        <v>43281</v>
      </c>
      <c r="F9" s="20">
        <f t="shared" ref="F9:L9" si="2">EOMONTH(E9,1)</f>
        <v>43312</v>
      </c>
      <c r="G9" s="14">
        <f t="shared" si="2"/>
        <v>43343</v>
      </c>
      <c r="H9" s="20">
        <f t="shared" si="2"/>
        <v>43373</v>
      </c>
      <c r="I9" s="20">
        <f t="shared" si="2"/>
        <v>43404</v>
      </c>
      <c r="J9" s="14">
        <f t="shared" si="2"/>
        <v>43434</v>
      </c>
      <c r="K9" s="20">
        <f t="shared" si="2"/>
        <v>43465</v>
      </c>
      <c r="L9" s="122">
        <f t="shared" si="2"/>
        <v>43496</v>
      </c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A10" t="s">
        <v>29</v>
      </c>
      <c r="C10" s="124">
        <v>0</v>
      </c>
      <c r="D10" s="136">
        <v>0</v>
      </c>
      <c r="E10" s="136">
        <v>0</v>
      </c>
      <c r="F10" s="137">
        <v>0</v>
      </c>
      <c r="G10" s="16">
        <v>0</v>
      </c>
      <c r="H10" s="70">
        <v>0</v>
      </c>
      <c r="I10" s="72">
        <v>0</v>
      </c>
      <c r="J10" s="180">
        <v>0</v>
      </c>
      <c r="K10" s="171">
        <v>0</v>
      </c>
      <c r="L10" s="95"/>
    </row>
    <row r="11" spans="1:34" x14ac:dyDescent="0.25">
      <c r="A11" t="s">
        <v>30</v>
      </c>
      <c r="C11" s="124">
        <v>0</v>
      </c>
      <c r="D11" s="136">
        <v>0</v>
      </c>
      <c r="E11" s="136">
        <v>0</v>
      </c>
      <c r="F11" s="137">
        <v>0</v>
      </c>
      <c r="G11" s="16">
        <v>0</v>
      </c>
      <c r="H11" s="70">
        <v>0</v>
      </c>
      <c r="I11" s="72">
        <v>0</v>
      </c>
      <c r="J11" s="180">
        <v>0</v>
      </c>
      <c r="K11" s="171">
        <v>0</v>
      </c>
      <c r="L11" s="95"/>
      <c r="M11" s="79" t="s">
        <v>32</v>
      </c>
    </row>
    <row r="12" spans="1:34" x14ac:dyDescent="0.25">
      <c r="A12" t="s">
        <v>0</v>
      </c>
      <c r="C12" s="124">
        <v>0</v>
      </c>
      <c r="D12" s="136">
        <v>0</v>
      </c>
      <c r="E12" s="136">
        <v>0</v>
      </c>
      <c r="F12" s="137">
        <v>0</v>
      </c>
      <c r="G12" s="16">
        <v>0</v>
      </c>
      <c r="H12" s="70">
        <v>0</v>
      </c>
      <c r="I12" s="72">
        <v>0</v>
      </c>
      <c r="J12" s="180">
        <v>0</v>
      </c>
      <c r="K12" s="171">
        <v>0</v>
      </c>
      <c r="L12" s="95"/>
      <c r="M12" s="89">
        <v>0.5</v>
      </c>
    </row>
    <row r="13" spans="1:34" x14ac:dyDescent="0.25">
      <c r="A13" t="s">
        <v>1</v>
      </c>
      <c r="C13" s="124">
        <v>0</v>
      </c>
      <c r="D13" s="136">
        <v>0</v>
      </c>
      <c r="E13" s="136">
        <v>0</v>
      </c>
      <c r="F13" s="137">
        <v>0</v>
      </c>
      <c r="G13" s="16">
        <v>0</v>
      </c>
      <c r="H13" s="70">
        <v>0</v>
      </c>
      <c r="I13" s="72">
        <v>0</v>
      </c>
      <c r="J13" s="180">
        <v>0</v>
      </c>
      <c r="K13" s="171">
        <v>0</v>
      </c>
      <c r="L13" s="95"/>
      <c r="M13" s="79" t="s">
        <v>28</v>
      </c>
    </row>
    <row r="14" spans="1:34" s="61" customFormat="1" x14ac:dyDescent="0.25">
      <c r="A14" s="61" t="s">
        <v>27</v>
      </c>
      <c r="C14" s="124">
        <v>0</v>
      </c>
      <c r="D14" s="136">
        <v>0</v>
      </c>
      <c r="E14" s="136">
        <v>0</v>
      </c>
      <c r="F14" s="137">
        <v>0</v>
      </c>
      <c r="G14" s="16">
        <v>0</v>
      </c>
      <c r="H14" s="70">
        <v>0</v>
      </c>
      <c r="I14" s="72">
        <v>0</v>
      </c>
      <c r="J14" s="180">
        <v>0</v>
      </c>
      <c r="K14" s="171">
        <v>0</v>
      </c>
      <c r="L14" s="95"/>
      <c r="M14" s="89">
        <v>2.4400000000000002E-2</v>
      </c>
    </row>
    <row r="15" spans="1:34" x14ac:dyDescent="0.25">
      <c r="C15" s="125"/>
      <c r="D15" s="44"/>
      <c r="E15" s="44"/>
      <c r="F15" s="44"/>
      <c r="G15" s="41"/>
      <c r="H15" s="44"/>
      <c r="I15" s="17"/>
      <c r="J15" s="41"/>
      <c r="K15" s="44"/>
      <c r="L15" s="42"/>
    </row>
    <row r="16" spans="1:34" x14ac:dyDescent="0.25">
      <c r="A16" t="s">
        <v>41</v>
      </c>
      <c r="C16" s="126"/>
      <c r="D16" s="44"/>
      <c r="E16" s="44"/>
      <c r="F16" s="44"/>
      <c r="G16" s="41"/>
      <c r="H16" s="44"/>
      <c r="I16" s="18"/>
      <c r="J16" s="10"/>
      <c r="K16" s="17"/>
      <c r="L16" s="11"/>
    </row>
    <row r="17" spans="1:16" x14ac:dyDescent="0.25">
      <c r="A17" s="61" t="s">
        <v>29</v>
      </c>
      <c r="C17" s="53">
        <f t="shared" ref="C17:H17" si="3">C10+($M$12*C$12)+($M$12*C$13)+C$14*(1-$M$14)</f>
        <v>0</v>
      </c>
      <c r="D17" s="54">
        <f t="shared" si="3"/>
        <v>0</v>
      </c>
      <c r="E17" s="54">
        <f t="shared" si="3"/>
        <v>0</v>
      </c>
      <c r="F17" s="135">
        <f t="shared" si="3"/>
        <v>0</v>
      </c>
      <c r="G17" s="53">
        <f t="shared" si="3"/>
        <v>0</v>
      </c>
      <c r="H17" s="54">
        <f t="shared" si="3"/>
        <v>0</v>
      </c>
      <c r="I17" s="135">
        <f t="shared" ref="I17" si="4">I10+($M$12*I$12)+($M$12*I$13)+I$14*(1-$M$14)</f>
        <v>0</v>
      </c>
      <c r="J17" s="53">
        <f t="shared" ref="J17:L17" si="5">J10+($M$12*J$12)+($M$12*J$13)+J$14*(1-$M$14)</f>
        <v>0</v>
      </c>
      <c r="K17" s="54">
        <f t="shared" si="5"/>
        <v>0</v>
      </c>
      <c r="L17" s="77">
        <f t="shared" si="5"/>
        <v>0</v>
      </c>
    </row>
    <row r="18" spans="1:16" x14ac:dyDescent="0.25">
      <c r="A18" t="s">
        <v>30</v>
      </c>
      <c r="C18" s="53">
        <f t="shared" ref="C18:H18" si="6">(C$11+$M$12*C$12+C$14*$M$14)+C$13*$M$12</f>
        <v>0</v>
      </c>
      <c r="D18" s="54">
        <f t="shared" si="6"/>
        <v>0</v>
      </c>
      <c r="E18" s="54">
        <f t="shared" si="6"/>
        <v>0</v>
      </c>
      <c r="F18" s="135">
        <f t="shared" si="6"/>
        <v>0</v>
      </c>
      <c r="G18" s="53">
        <f t="shared" si="6"/>
        <v>0</v>
      </c>
      <c r="H18" s="54">
        <f t="shared" si="6"/>
        <v>0</v>
      </c>
      <c r="I18" s="135">
        <f t="shared" ref="I18" si="7">(I$11+$M$12*I$12+I$14*$M$14)+I$13*$M$12</f>
        <v>0</v>
      </c>
      <c r="J18" s="53">
        <f t="shared" ref="J18:L18" si="8">(J$11+$M$12*J$12+J$14*$M$14)+J$13*$M$12</f>
        <v>0</v>
      </c>
      <c r="K18" s="54">
        <f t="shared" si="8"/>
        <v>0</v>
      </c>
      <c r="L18" s="77">
        <f t="shared" si="8"/>
        <v>0</v>
      </c>
    </row>
    <row r="19" spans="1:16" x14ac:dyDescent="0.25">
      <c r="C19" s="126"/>
      <c r="D19" s="44"/>
      <c r="E19" s="44"/>
      <c r="F19" s="44"/>
      <c r="G19" s="41"/>
      <c r="H19" s="44"/>
      <c r="I19" s="17"/>
      <c r="J19" s="10"/>
      <c r="K19" s="17"/>
      <c r="L19" s="11"/>
    </row>
    <row r="20" spans="1:16" x14ac:dyDescent="0.25">
      <c r="A20" s="52" t="s">
        <v>63</v>
      </c>
      <c r="B20" s="52"/>
      <c r="C20" s="128"/>
      <c r="D20" s="44"/>
      <c r="E20" s="44"/>
      <c r="F20" s="44"/>
      <c r="G20" s="41"/>
      <c r="H20" s="44"/>
      <c r="I20" s="17"/>
      <c r="J20" s="10"/>
      <c r="K20" s="17"/>
      <c r="L20" s="11"/>
    </row>
    <row r="21" spans="1:16" x14ac:dyDescent="0.25">
      <c r="A21" s="61" t="s">
        <v>29</v>
      </c>
      <c r="C21" s="129">
        <v>-819017992.88111699</v>
      </c>
      <c r="D21" s="138">
        <f>+'[3]May 2018 Combined'!H49</f>
        <v>229407098.38009548</v>
      </c>
      <c r="E21" s="138">
        <f>+'[3]June 2018 Combined'!G49</f>
        <v>337037464.80760461</v>
      </c>
      <c r="F21" s="138">
        <f>+'[3]July 2018 Combined'!F49</f>
        <v>404151907.03860003</v>
      </c>
      <c r="G21" s="212">
        <f>+'[3]August 2018 Combined'!F49</f>
        <v>360532530.48110008</v>
      </c>
      <c r="H21" s="93">
        <f>+'[3]September 2018 Combined'!F49</f>
        <v>334683710.93520004</v>
      </c>
      <c r="I21" s="207">
        <f>+'[3]October 2018 Combined'!F49</f>
        <v>248869211.19950002</v>
      </c>
      <c r="J21" s="229">
        <f>+'[1]Billed kWh Sales'!M40</f>
        <v>223093851.32780999</v>
      </c>
      <c r="K21" s="172">
        <f>+'[1]Billed kWh Sales'!N40</f>
        <v>311998229.48176301</v>
      </c>
      <c r="L21" s="96">
        <f>+'[1]Billed kWh Sales'!O40</f>
        <v>385099629</v>
      </c>
    </row>
    <row r="22" spans="1:16" x14ac:dyDescent="0.25">
      <c r="A22" s="61" t="s">
        <v>30</v>
      </c>
      <c r="C22" s="129">
        <v>-886127426</v>
      </c>
      <c r="D22" s="138">
        <f>+'[3]May 2018 Combined'!H50</f>
        <v>291822106.76426458</v>
      </c>
      <c r="E22" s="138">
        <f>+'[3]June 2018 Combined'!G50</f>
        <v>315085755.70883542</v>
      </c>
      <c r="F22" s="138">
        <f>+'[3]July 2018 Combined'!F50</f>
        <v>343358973.69809997</v>
      </c>
      <c r="G22" s="212">
        <f>+'[3]August 2018 Combined'!F50</f>
        <v>341864844.09129995</v>
      </c>
      <c r="H22" s="93">
        <f>+'[3]September 2018 Combined'!F50</f>
        <v>319642726.50090003</v>
      </c>
      <c r="I22" s="207">
        <f>+'[3]October 2018 Combined'!F50</f>
        <v>301482106.71250004</v>
      </c>
      <c r="J22" s="229">
        <f>SUM('[1]Billed kWh Sales'!M41:M44)</f>
        <v>283684258</v>
      </c>
      <c r="K22" s="172">
        <f>SUM('[1]Billed kWh Sales'!N41:N44)</f>
        <v>284557442</v>
      </c>
      <c r="L22" s="96">
        <f>SUM('[1]Billed kWh Sales'!O41:O44)</f>
        <v>299973530</v>
      </c>
    </row>
    <row r="23" spans="1:16" x14ac:dyDescent="0.25">
      <c r="C23" s="126"/>
      <c r="D23" s="44"/>
      <c r="E23" s="44"/>
      <c r="F23" s="44"/>
      <c r="G23" s="41"/>
      <c r="H23" s="44"/>
      <c r="I23" s="17"/>
      <c r="J23" s="10"/>
      <c r="K23" s="17"/>
      <c r="L23" s="11"/>
    </row>
    <row r="24" spans="1:16" x14ac:dyDescent="0.25">
      <c r="A24" t="s">
        <v>40</v>
      </c>
      <c r="C24" s="126"/>
      <c r="D24" s="18"/>
      <c r="E24" s="18"/>
      <c r="F24" s="18"/>
      <c r="G24" s="118"/>
      <c r="H24" s="18"/>
      <c r="I24" s="61"/>
      <c r="J24" s="182"/>
      <c r="K24" s="73"/>
      <c r="L24" s="74"/>
      <c r="M24" s="79" t="s">
        <v>66</v>
      </c>
      <c r="N24" s="52"/>
    </row>
    <row r="25" spans="1:16" x14ac:dyDescent="0.25">
      <c r="A25" s="61" t="s">
        <v>29</v>
      </c>
      <c r="C25" s="124">
        <v>393128.64</v>
      </c>
      <c r="D25" s="136">
        <f>ROUND('[3]May 2018 Combined'!H8+'[3]May 2018 Combined'!H13,2)</f>
        <v>-110115.8</v>
      </c>
      <c r="E25" s="136">
        <f>ROUND('[3]June 2018 Combined'!G8+'[3]June 2018 Combined'!G13,2)</f>
        <v>-161785.43</v>
      </c>
      <c r="F25" s="137">
        <f>ROUND('[3]July 2018 Combined'!F8+'[3]July 2018 Combined'!F13,2)</f>
        <v>-193983.11</v>
      </c>
      <c r="G25" s="221">
        <f>ROUND('[3]August 2018 Combined'!F8+'[3]August 2018 Combined'!F13,2)</f>
        <v>133.77000000000001</v>
      </c>
      <c r="H25" s="178">
        <f>ROUND('[3]September 2018 Combined'!F8+'[3]September 2018 Combined'!F13,2)</f>
        <v>-61.05</v>
      </c>
      <c r="I25" s="179">
        <f>ROUND('[3]October 2018 Combined'!F8+'[3]October 2018 Combined'!F13,2)</f>
        <v>-5.25</v>
      </c>
      <c r="J25" s="53">
        <f t="shared" ref="J25:L26" si="9">J21*$M25</f>
        <v>0</v>
      </c>
      <c r="K25" s="54">
        <f t="shared" si="9"/>
        <v>0</v>
      </c>
      <c r="L25" s="77">
        <f t="shared" si="9"/>
        <v>0</v>
      </c>
      <c r="M25" s="88">
        <v>0</v>
      </c>
      <c r="P25" s="219"/>
    </row>
    <row r="26" spans="1:16" x14ac:dyDescent="0.25">
      <c r="A26" t="str">
        <f>A22</f>
        <v>Non-Residential</v>
      </c>
      <c r="C26" s="124">
        <v>-1683642.11</v>
      </c>
      <c r="D26" s="136">
        <f>ROUND('[3]May 2018 Combined'!H9+'[3]May 2018 Combined'!H14,2)</f>
        <v>554274.39</v>
      </c>
      <c r="E26" s="136">
        <f>ROUND('[3]June 2018 Combined'!G9+'[3]June 2018 Combined'!G14,2)</f>
        <v>601348.1</v>
      </c>
      <c r="F26" s="137">
        <f>ROUND('[3]July 2018 Combined'!F9+'[3]July 2018 Combined'!F14,2)</f>
        <v>651465.98</v>
      </c>
      <c r="G26" s="221">
        <f>ROUND('[3]August 2018 Combined'!F9+'[3]August 2018 Combined'!F14,2)</f>
        <v>-7489.91</v>
      </c>
      <c r="H26" s="178">
        <f>ROUND('[3]September 2018 Combined'!F9+'[3]September 2018 Combined'!F14,2)</f>
        <v>-17070.349999999999</v>
      </c>
      <c r="I26" s="179">
        <f>ROUND('[3]October 2018 Combined'!F9+'[3]October 2018 Combined'!F14,2)</f>
        <v>-15118.21</v>
      </c>
      <c r="J26" s="53">
        <f t="shared" si="9"/>
        <v>-14184.2129</v>
      </c>
      <c r="K26" s="54">
        <f t="shared" si="9"/>
        <v>-14227.872100000001</v>
      </c>
      <c r="L26" s="77">
        <f t="shared" si="9"/>
        <v>-14998.676500000001</v>
      </c>
      <c r="M26" s="88">
        <v>-5.0000000000000002E-5</v>
      </c>
      <c r="P26" s="219"/>
    </row>
    <row r="27" spans="1:16" x14ac:dyDescent="0.25">
      <c r="C27" s="83"/>
      <c r="D27" s="18"/>
      <c r="E27" s="18"/>
      <c r="F27" s="18"/>
      <c r="G27" s="118"/>
      <c r="H27" s="18"/>
      <c r="I27" s="61"/>
      <c r="J27" s="12"/>
      <c r="K27" s="71"/>
      <c r="L27" s="13"/>
      <c r="M27" s="4"/>
    </row>
    <row r="28" spans="1:16" ht="15.75" thickBot="1" x14ac:dyDescent="0.3">
      <c r="A28" t="s">
        <v>16</v>
      </c>
      <c r="C28" s="130">
        <v>-4054.22</v>
      </c>
      <c r="D28" s="139">
        <v>2579.42</v>
      </c>
      <c r="E28" s="139">
        <v>1462.6100000000001</v>
      </c>
      <c r="F28" s="140">
        <v>227.88000000000002</v>
      </c>
      <c r="G28" s="39">
        <v>-395.18000000000006</v>
      </c>
      <c r="H28" s="149">
        <v>-373.52000000000004</v>
      </c>
      <c r="I28" s="208">
        <v>-339.01</v>
      </c>
      <c r="J28" s="184">
        <v>-296.83999999999997</v>
      </c>
      <c r="K28" s="173">
        <v>-255.86</v>
      </c>
      <c r="L28" s="100"/>
    </row>
    <row r="29" spans="1:16" x14ac:dyDescent="0.25">
      <c r="C29" s="126"/>
      <c r="D29" s="44"/>
      <c r="E29" s="44"/>
      <c r="F29" s="44"/>
      <c r="G29" s="41"/>
      <c r="H29" s="44"/>
      <c r="I29" s="17"/>
      <c r="J29" s="10"/>
      <c r="K29" s="17"/>
      <c r="L29" s="11"/>
    </row>
    <row r="30" spans="1:16" x14ac:dyDescent="0.25">
      <c r="A30" t="s">
        <v>68</v>
      </c>
      <c r="C30" s="126"/>
      <c r="D30" s="44"/>
      <c r="E30" s="44"/>
      <c r="F30" s="44"/>
      <c r="G30" s="41"/>
      <c r="H30" s="44"/>
      <c r="I30" s="17"/>
      <c r="J30" s="10"/>
      <c r="K30" s="17"/>
      <c r="L30" s="11"/>
    </row>
    <row r="31" spans="1:16" x14ac:dyDescent="0.25">
      <c r="A31" s="61" t="s">
        <v>29</v>
      </c>
      <c r="C31" s="53">
        <f t="shared" ref="C31:C32" si="10">C17-C25</f>
        <v>-393128.64</v>
      </c>
      <c r="D31" s="54">
        <f t="shared" ref="D31:I32" si="11">D17-D25</f>
        <v>110115.8</v>
      </c>
      <c r="E31" s="54">
        <f t="shared" si="11"/>
        <v>161785.43</v>
      </c>
      <c r="F31" s="135">
        <f t="shared" ref="F31:H31" si="12">F17-F25</f>
        <v>193983.11</v>
      </c>
      <c r="G31" s="53">
        <f t="shared" si="12"/>
        <v>-133.77000000000001</v>
      </c>
      <c r="H31" s="54">
        <f t="shared" si="12"/>
        <v>61.05</v>
      </c>
      <c r="I31" s="135">
        <f t="shared" si="11"/>
        <v>5.25</v>
      </c>
      <c r="J31" s="53">
        <f t="shared" ref="J31:K31" si="13">J17-J25</f>
        <v>0</v>
      </c>
      <c r="K31" s="54">
        <f t="shared" si="13"/>
        <v>0</v>
      </c>
      <c r="L31" s="64">
        <f t="shared" ref="L31" si="14">L17-L25</f>
        <v>0</v>
      </c>
    </row>
    <row r="32" spans="1:16" x14ac:dyDescent="0.25">
      <c r="A32" t="s">
        <v>30</v>
      </c>
      <c r="C32" s="53">
        <f t="shared" si="10"/>
        <v>1683642.11</v>
      </c>
      <c r="D32" s="54">
        <f t="shared" si="11"/>
        <v>-554274.39</v>
      </c>
      <c r="E32" s="54">
        <f t="shared" si="11"/>
        <v>-601348.1</v>
      </c>
      <c r="F32" s="135">
        <f t="shared" ref="F32:H32" si="15">F18-F26</f>
        <v>-651465.98</v>
      </c>
      <c r="G32" s="53">
        <f t="shared" si="15"/>
        <v>7489.91</v>
      </c>
      <c r="H32" s="54">
        <f t="shared" si="15"/>
        <v>17070.349999999999</v>
      </c>
      <c r="I32" s="135">
        <f t="shared" si="11"/>
        <v>15118.21</v>
      </c>
      <c r="J32" s="53">
        <f t="shared" ref="J32:K32" si="16">J18-J26</f>
        <v>14184.2129</v>
      </c>
      <c r="K32" s="54">
        <f t="shared" si="16"/>
        <v>14227.872100000001</v>
      </c>
      <c r="L32" s="64">
        <f t="shared" ref="L32" si="17">L18-L26</f>
        <v>14998.676500000001</v>
      </c>
    </row>
    <row r="33" spans="1:13" x14ac:dyDescent="0.25">
      <c r="A33" s="61"/>
      <c r="C33" s="126"/>
      <c r="D33" s="44"/>
      <c r="E33" s="44"/>
      <c r="F33" s="44"/>
      <c r="G33" s="41"/>
      <c r="H33" s="44"/>
      <c r="I33" s="17"/>
      <c r="J33" s="10"/>
      <c r="K33" s="17"/>
      <c r="L33" s="11"/>
    </row>
    <row r="34" spans="1:13" ht="15.75" thickBot="1" x14ac:dyDescent="0.3">
      <c r="A34" s="61" t="s">
        <v>69</v>
      </c>
      <c r="C34" s="131"/>
      <c r="D34" s="44"/>
      <c r="E34" s="44"/>
      <c r="F34" s="44"/>
      <c r="G34" s="41"/>
      <c r="H34" s="44"/>
      <c r="I34" s="17"/>
      <c r="J34" s="10"/>
      <c r="K34" s="17"/>
      <c r="L34" s="11"/>
    </row>
    <row r="35" spans="1:13" x14ac:dyDescent="0.25">
      <c r="A35" s="61" t="s">
        <v>29</v>
      </c>
      <c r="B35" s="143">
        <v>-1109.5999999999999</v>
      </c>
      <c r="C35" s="54">
        <f>B35+C31+B40</f>
        <v>-394238.24</v>
      </c>
      <c r="D35" s="54">
        <f t="shared" ref="D35" si="18">C35+D31+C40</f>
        <v>-282616.58</v>
      </c>
      <c r="E35" s="54">
        <f t="shared" ref="E35:I36" si="19">D35+E31+D40</f>
        <v>-121730.48000000003</v>
      </c>
      <c r="F35" s="135">
        <f t="shared" si="19"/>
        <v>71692.629999999961</v>
      </c>
      <c r="G35" s="53">
        <f t="shared" si="19"/>
        <v>71488.679999999964</v>
      </c>
      <c r="H35" s="54">
        <f t="shared" si="19"/>
        <v>71747.90999999996</v>
      </c>
      <c r="I35" s="135">
        <f t="shared" si="19"/>
        <v>71957.90999999996</v>
      </c>
      <c r="J35" s="53">
        <f t="shared" ref="J35:J36" si="20">I35+J31+I40</f>
        <v>72169.889999999956</v>
      </c>
      <c r="K35" s="54">
        <f t="shared" ref="K35:L36" si="21">J35+K31+J40</f>
        <v>72382.499999999956</v>
      </c>
      <c r="L35" s="64">
        <f t="shared" si="21"/>
        <v>72595.739999999962</v>
      </c>
    </row>
    <row r="36" spans="1:13" ht="15.75" thickBot="1" x14ac:dyDescent="0.3">
      <c r="A36" s="61" t="s">
        <v>30</v>
      </c>
      <c r="B36" s="144">
        <v>-94770.62</v>
      </c>
      <c r="C36" s="54">
        <f>B36+C32+B41</f>
        <v>1588871.4900000002</v>
      </c>
      <c r="D36" s="54">
        <f t="shared" ref="D36" si="22">C36+D32+C41</f>
        <v>1029037.0200000003</v>
      </c>
      <c r="E36" s="54">
        <f t="shared" si="19"/>
        <v>431167.67000000027</v>
      </c>
      <c r="F36" s="135">
        <f t="shared" si="19"/>
        <v>-218275.69999999972</v>
      </c>
      <c r="G36" s="53">
        <f t="shared" si="19"/>
        <v>-210487.71999999971</v>
      </c>
      <c r="H36" s="54">
        <f t="shared" si="19"/>
        <v>-194010.7099999997</v>
      </c>
      <c r="I36" s="135">
        <f t="shared" si="19"/>
        <v>-179470.7699999997</v>
      </c>
      <c r="J36" s="53">
        <f t="shared" si="20"/>
        <v>-165837.54709999968</v>
      </c>
      <c r="K36" s="54">
        <f t="shared" si="21"/>
        <v>-152119.12499999968</v>
      </c>
      <c r="L36" s="64">
        <f t="shared" si="21"/>
        <v>-137589.54849999968</v>
      </c>
    </row>
    <row r="37" spans="1:13" x14ac:dyDescent="0.25">
      <c r="C37" s="126"/>
      <c r="D37" s="44"/>
      <c r="E37" s="44"/>
      <c r="F37" s="44"/>
      <c r="G37" s="41"/>
      <c r="H37" s="44"/>
      <c r="I37" s="17"/>
      <c r="J37" s="10"/>
      <c r="K37" s="17"/>
      <c r="L37" s="11"/>
    </row>
    <row r="38" spans="1:13" s="61" customFormat="1" x14ac:dyDescent="0.25">
      <c r="A38" s="52" t="s">
        <v>65</v>
      </c>
      <c r="B38" s="52"/>
      <c r="C38" s="131"/>
      <c r="D38" s="103">
        <f>+'[4]May 2018'!$F$51</f>
        <v>2.6633099999999999E-3</v>
      </c>
      <c r="E38" s="103">
        <f>+'[4]June 2018'!$F$51</f>
        <v>2.7637299999999998E-3</v>
      </c>
      <c r="F38" s="103">
        <f>+'[4]July 2018'!$F$51</f>
        <v>2.7738900000000002E-3</v>
      </c>
      <c r="G38" s="105">
        <f>+'[4]Aug 2018'!$F$51</f>
        <v>2.76961E-3</v>
      </c>
      <c r="H38" s="103">
        <f>+'[4]Sept 2018'!$F$51</f>
        <v>2.8550200000000002E-3</v>
      </c>
      <c r="I38" s="104">
        <f>+'[4]Oct 2018'!$F$51</f>
        <v>2.9459999999999998E-3</v>
      </c>
      <c r="J38" s="105">
        <f>+I38</f>
        <v>2.9459999999999998E-3</v>
      </c>
      <c r="K38" s="103">
        <f>+J38</f>
        <v>2.9459999999999998E-3</v>
      </c>
      <c r="L38" s="119"/>
    </row>
    <row r="39" spans="1:13" x14ac:dyDescent="0.25">
      <c r="A39" s="52" t="s">
        <v>44</v>
      </c>
      <c r="B39" s="52"/>
      <c r="C39" s="126"/>
      <c r="D39" s="44"/>
      <c r="E39" s="44"/>
      <c r="F39" s="44"/>
      <c r="G39" s="41"/>
      <c r="H39" s="44"/>
      <c r="I39" s="17"/>
      <c r="J39" s="10"/>
      <c r="K39" s="17"/>
      <c r="L39" s="11"/>
      <c r="M39" s="87"/>
    </row>
    <row r="40" spans="1:13" x14ac:dyDescent="0.25">
      <c r="A40" s="61" t="s">
        <v>29</v>
      </c>
      <c r="C40" s="53">
        <v>1505.8600000000001</v>
      </c>
      <c r="D40" s="54">
        <f>ROUND((C35+C40+D31/2)*D$38,2)</f>
        <v>-899.33</v>
      </c>
      <c r="E40" s="54">
        <f t="shared" ref="E40:I41" si="23">ROUND((D35+D40+E31/2)*E$38,2)</f>
        <v>-560</v>
      </c>
      <c r="F40" s="135">
        <f t="shared" si="23"/>
        <v>-70.180000000000007</v>
      </c>
      <c r="G40" s="53">
        <f t="shared" si="23"/>
        <v>198.18</v>
      </c>
      <c r="H40" s="150">
        <f t="shared" si="23"/>
        <v>204.75</v>
      </c>
      <c r="I40" s="209">
        <f t="shared" si="23"/>
        <v>211.98</v>
      </c>
      <c r="J40" s="53">
        <f t="shared" ref="J40:K41" si="24">ROUND((I35+I40+J31/2)*J$38,2)</f>
        <v>212.61</v>
      </c>
      <c r="K40" s="150">
        <f t="shared" si="24"/>
        <v>213.24</v>
      </c>
      <c r="L40" s="64"/>
    </row>
    <row r="41" spans="1:13" ht="15.75" thickBot="1" x14ac:dyDescent="0.3">
      <c r="A41" t="s">
        <v>30</v>
      </c>
      <c r="C41" s="141">
        <v>-5560.08</v>
      </c>
      <c r="D41" s="54">
        <f>ROUND((C36+C41+D32/2)*D$38,2)</f>
        <v>3478.75</v>
      </c>
      <c r="E41" s="54">
        <f t="shared" si="23"/>
        <v>2022.61</v>
      </c>
      <c r="F41" s="135">
        <f t="shared" si="23"/>
        <v>298.07</v>
      </c>
      <c r="G41" s="53">
        <f t="shared" si="23"/>
        <v>-593.34</v>
      </c>
      <c r="H41" s="150">
        <f t="shared" si="23"/>
        <v>-578.27</v>
      </c>
      <c r="I41" s="209">
        <f t="shared" si="23"/>
        <v>-550.99</v>
      </c>
      <c r="J41" s="53">
        <f t="shared" si="24"/>
        <v>-509.45</v>
      </c>
      <c r="K41" s="150">
        <f t="shared" si="24"/>
        <v>-469.1</v>
      </c>
      <c r="L41" s="64"/>
    </row>
    <row r="42" spans="1:13" ht="16.5" thickTop="1" thickBot="1" x14ac:dyDescent="0.3">
      <c r="A42" s="69" t="s">
        <v>25</v>
      </c>
      <c r="B42" s="69"/>
      <c r="C42" s="142">
        <v>0</v>
      </c>
      <c r="D42" s="45">
        <f t="shared" ref="D42:E42" si="25">SUM(D40:D41)+SUM(D35:D36)-D45</f>
        <v>0</v>
      </c>
      <c r="E42" s="45">
        <f t="shared" si="25"/>
        <v>0</v>
      </c>
      <c r="F42" s="65">
        <f t="shared" ref="F42:I42" si="26">SUM(F40:F41)+SUM(F35:F36)-F45</f>
        <v>0</v>
      </c>
      <c r="G42" s="151">
        <f t="shared" si="26"/>
        <v>0</v>
      </c>
      <c r="H42" s="45">
        <f t="shared" si="26"/>
        <v>0</v>
      </c>
      <c r="I42" s="65">
        <f t="shared" si="26"/>
        <v>0</v>
      </c>
      <c r="J42" s="66">
        <f t="shared" ref="J42:K42" si="27">SUM(J40:J41)+SUM(J35:J36)-J45</f>
        <v>0</v>
      </c>
      <c r="K42" s="45">
        <f t="shared" si="27"/>
        <v>0</v>
      </c>
      <c r="L42" s="123">
        <f t="shared" ref="L42" si="28">SUM(L40:L41)+SUM(L35:L36)-L45</f>
        <v>0</v>
      </c>
    </row>
    <row r="43" spans="1:13" ht="16.5" thickTop="1" thickBot="1" x14ac:dyDescent="0.3">
      <c r="A43" s="69" t="s">
        <v>26</v>
      </c>
      <c r="B43" s="69"/>
      <c r="C43" s="134">
        <v>0</v>
      </c>
      <c r="D43" s="45">
        <f>SUM(D40:D41)-D28</f>
        <v>0</v>
      </c>
      <c r="E43" s="45">
        <f t="shared" ref="E43:I43" si="29">SUM(E40:E41)-E28</f>
        <v>0</v>
      </c>
      <c r="F43" s="65">
        <f t="shared" ref="F43:H43" si="30">SUM(F40:F41)-F28</f>
        <v>9.9999999999624833E-3</v>
      </c>
      <c r="G43" s="66">
        <f t="shared" si="30"/>
        <v>2.0000000000038654E-2</v>
      </c>
      <c r="H43" s="45">
        <f t="shared" si="30"/>
        <v>0</v>
      </c>
      <c r="I43" s="65">
        <f t="shared" si="29"/>
        <v>0</v>
      </c>
      <c r="J43" s="66">
        <f t="shared" ref="J43:K43" si="31">SUM(J40:J41)-J28</f>
        <v>0</v>
      </c>
      <c r="K43" s="45">
        <f t="shared" si="31"/>
        <v>0</v>
      </c>
      <c r="L43" s="123">
        <f t="shared" ref="L43" si="32">SUM(L40:L41)-L28</f>
        <v>0</v>
      </c>
    </row>
    <row r="44" spans="1:13" ht="16.5" thickTop="1" thickBot="1" x14ac:dyDescent="0.3">
      <c r="C44" s="126"/>
      <c r="D44" s="17"/>
      <c r="E44" s="17"/>
      <c r="F44" s="17"/>
      <c r="G44" s="10"/>
      <c r="H44" s="17"/>
      <c r="I44" s="17"/>
      <c r="J44" s="10"/>
      <c r="K44" s="17"/>
      <c r="L44" s="11"/>
    </row>
    <row r="45" spans="1:13" ht="15.75" thickBot="1" x14ac:dyDescent="0.3">
      <c r="A45" t="s">
        <v>42</v>
      </c>
      <c r="B45" s="146">
        <f>+B35+B36</f>
        <v>-95880.22</v>
      </c>
      <c r="C45" s="53">
        <f>(SUM(C10:C14)-SUM(C25:C26))+SUM(C40:C41)+B45</f>
        <v>1190579.0300000003</v>
      </c>
      <c r="D45" s="54">
        <f>(SUM(D10:D14)-SUM(D25:D26))+SUM(D40:D41)+C45</f>
        <v>748999.86000000022</v>
      </c>
      <c r="E45" s="54">
        <f t="shared" ref="E45:I45" si="33">(SUM(E10:E14)-SUM(E25:E26))+SUM(E40:E41)+D45</f>
        <v>310899.80000000022</v>
      </c>
      <c r="F45" s="135">
        <f t="shared" si="33"/>
        <v>-146355.17999999976</v>
      </c>
      <c r="G45" s="53">
        <f t="shared" si="33"/>
        <v>-139394.19999999975</v>
      </c>
      <c r="H45" s="54">
        <f t="shared" si="33"/>
        <v>-122636.31999999975</v>
      </c>
      <c r="I45" s="135">
        <f t="shared" si="33"/>
        <v>-107851.86999999975</v>
      </c>
      <c r="J45" s="53">
        <f t="shared" ref="J45" si="34">(SUM(J10:J14)-SUM(J25:J26))+SUM(J40:J41)+I45</f>
        <v>-93964.497099999746</v>
      </c>
      <c r="K45" s="54">
        <f t="shared" ref="K45:L45" si="35">(SUM(K10:K14)-SUM(K25:K26))+SUM(K40:K41)+J45</f>
        <v>-79992.484999999753</v>
      </c>
      <c r="L45" s="77">
        <f t="shared" si="35"/>
        <v>-64993.808499999752</v>
      </c>
    </row>
    <row r="46" spans="1:13" x14ac:dyDescent="0.25">
      <c r="C46" s="147"/>
      <c r="D46" s="71"/>
      <c r="E46" s="19"/>
      <c r="F46" s="71"/>
      <c r="G46" s="12"/>
      <c r="H46" s="71"/>
      <c r="I46" s="17"/>
      <c r="J46" s="10"/>
      <c r="K46" s="17"/>
      <c r="L46" s="11"/>
    </row>
    <row r="47" spans="1:13" ht="15.75" thickBot="1" x14ac:dyDescent="0.3">
      <c r="A47" s="61"/>
      <c r="B47" s="17"/>
      <c r="C47" s="56"/>
      <c r="D47" s="57"/>
      <c r="E47" s="57"/>
      <c r="F47" s="57"/>
      <c r="G47" s="56"/>
      <c r="H47" s="57"/>
      <c r="I47" s="57"/>
      <c r="J47" s="56"/>
      <c r="K47" s="57"/>
      <c r="L47" s="58"/>
    </row>
    <row r="49" spans="1:14" x14ac:dyDescent="0.25">
      <c r="A49" s="85" t="s">
        <v>13</v>
      </c>
      <c r="B49" s="85"/>
      <c r="C49" s="85"/>
      <c r="D49" s="59"/>
      <c r="E49" s="59"/>
      <c r="I49" s="59"/>
      <c r="M49" s="59"/>
      <c r="N49" s="59"/>
    </row>
    <row r="50" spans="1:14" ht="30.75" customHeight="1" x14ac:dyDescent="0.25">
      <c r="A50" s="241" t="s">
        <v>127</v>
      </c>
      <c r="B50" s="241"/>
      <c r="C50" s="241"/>
      <c r="D50" s="241"/>
      <c r="E50" s="241"/>
      <c r="F50" s="241"/>
      <c r="G50" s="241"/>
      <c r="H50" s="241"/>
      <c r="I50" s="241"/>
      <c r="J50" s="170"/>
      <c r="K50" s="170"/>
      <c r="L50" s="117"/>
      <c r="M50" s="59"/>
      <c r="N50" s="59"/>
    </row>
    <row r="51" spans="1:14" ht="37.5" customHeight="1" x14ac:dyDescent="0.25">
      <c r="A51" s="242" t="s">
        <v>132</v>
      </c>
      <c r="B51" s="242"/>
      <c r="C51" s="242"/>
      <c r="D51" s="242"/>
      <c r="E51" s="242"/>
      <c r="F51" s="242"/>
      <c r="G51" s="242"/>
      <c r="H51" s="242"/>
      <c r="I51" s="242"/>
      <c r="J51" s="170"/>
      <c r="K51" s="170"/>
      <c r="L51" s="117"/>
      <c r="M51" s="59"/>
      <c r="N51" s="59"/>
    </row>
    <row r="52" spans="1:14" ht="39" customHeight="1" x14ac:dyDescent="0.25">
      <c r="A52" s="241" t="s">
        <v>133</v>
      </c>
      <c r="B52" s="241"/>
      <c r="C52" s="241"/>
      <c r="D52" s="241"/>
      <c r="E52" s="241"/>
      <c r="F52" s="241"/>
      <c r="G52" s="241"/>
      <c r="H52" s="241"/>
      <c r="I52" s="241"/>
      <c r="J52" s="170"/>
      <c r="K52" s="170"/>
      <c r="L52" s="117"/>
      <c r="M52" s="59"/>
      <c r="N52" s="59"/>
    </row>
    <row r="53" spans="1:14" x14ac:dyDescent="0.25">
      <c r="A53" s="3" t="s">
        <v>37</v>
      </c>
      <c r="B53" s="3"/>
      <c r="C53" s="3"/>
      <c r="D53" s="61"/>
      <c r="E53" s="61"/>
      <c r="I53" s="4"/>
      <c r="M53" s="59"/>
      <c r="N53" s="59"/>
    </row>
    <row r="54" spans="1:14" s="61" customFormat="1" x14ac:dyDescent="0.25">
      <c r="A54" s="3" t="s">
        <v>134</v>
      </c>
      <c r="B54" s="3"/>
      <c r="C54" s="3"/>
      <c r="I54" s="4"/>
    </row>
    <row r="55" spans="1:14" x14ac:dyDescent="0.25">
      <c r="A55" s="3" t="s">
        <v>67</v>
      </c>
      <c r="B55" s="3"/>
      <c r="C55" s="3"/>
      <c r="D55" s="61"/>
      <c r="E55" s="61"/>
      <c r="I55" s="4"/>
      <c r="M55" s="59"/>
      <c r="N55" s="59"/>
    </row>
    <row r="56" spans="1:14" x14ac:dyDescent="0.25">
      <c r="C56" s="62"/>
      <c r="D56" s="59"/>
      <c r="E56" s="59"/>
      <c r="I56" s="59"/>
      <c r="M56" s="59"/>
      <c r="N56" s="59"/>
    </row>
    <row r="57" spans="1:14" ht="37.5" customHeight="1" x14ac:dyDescent="0.25">
      <c r="A57" s="240"/>
      <c r="B57" s="240"/>
      <c r="C57" s="240"/>
      <c r="D57" s="240"/>
      <c r="E57" s="240"/>
      <c r="F57" s="240"/>
      <c r="G57" s="240"/>
      <c r="H57" s="240"/>
      <c r="I57" s="240"/>
      <c r="J57" s="240"/>
      <c r="K57" s="240"/>
      <c r="L57" s="240"/>
      <c r="M57" s="59"/>
      <c r="N57" s="59"/>
    </row>
    <row r="58" spans="1:14" x14ac:dyDescent="0.25">
      <c r="C58" s="62"/>
      <c r="D58" s="59"/>
      <c r="E58" s="59"/>
      <c r="I58" s="59"/>
      <c r="M58" s="59"/>
      <c r="N58" s="59"/>
    </row>
    <row r="59" spans="1:14" x14ac:dyDescent="0.25">
      <c r="D59" s="59"/>
      <c r="E59" s="59"/>
      <c r="I59" s="59"/>
      <c r="M59" s="59"/>
      <c r="N59" s="59"/>
    </row>
    <row r="60" spans="1:14" x14ac:dyDescent="0.25">
      <c r="D60" s="59"/>
      <c r="E60" s="59"/>
      <c r="I60" s="59"/>
      <c r="M60" s="59"/>
      <c r="N60" s="59"/>
    </row>
    <row r="61" spans="1:14" x14ac:dyDescent="0.25">
      <c r="D61" s="59"/>
      <c r="E61" s="59"/>
      <c r="I61" s="59"/>
      <c r="M61" s="59"/>
      <c r="N61" s="59"/>
    </row>
    <row r="62" spans="1:14" x14ac:dyDescent="0.25">
      <c r="D62" s="59"/>
      <c r="E62" s="59"/>
      <c r="I62" s="59"/>
      <c r="M62" s="59"/>
      <c r="N62" s="59"/>
    </row>
    <row r="63" spans="1:14" x14ac:dyDescent="0.25">
      <c r="D63" s="59"/>
      <c r="E63" s="59"/>
      <c r="I63" s="59"/>
      <c r="M63" s="59"/>
      <c r="N63" s="59"/>
    </row>
    <row r="65" spans="13:13" x14ac:dyDescent="0.25">
      <c r="M65" s="8"/>
    </row>
  </sheetData>
  <mergeCells count="7">
    <mergeCell ref="A57:L57"/>
    <mergeCell ref="A50:I50"/>
    <mergeCell ref="A51:I51"/>
    <mergeCell ref="A52:I52"/>
    <mergeCell ref="D8:F8"/>
    <mergeCell ref="G8:I8"/>
    <mergeCell ref="J8:L8"/>
  </mergeCells>
  <pageMargins left="0.2" right="0.2" top="0.75" bottom="0.25" header="0.3" footer="0.3"/>
  <pageSetup scale="54" orientation="landscape" r:id="rId1"/>
  <headerFooter>
    <oddHeader>&amp;C&amp;F &amp;A</oddHeader>
    <oddFooter>&amp;R&amp;1#&amp;"Calibri"&amp;10 Public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5"/>
  <sheetViews>
    <sheetView workbookViewId="0">
      <pane xSplit="2" ySplit="9" topLeftCell="L49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4.5703125" style="61" customWidth="1"/>
    <col min="2" max="2" width="14.7109375" style="61" customWidth="1"/>
    <col min="3" max="3" width="15" style="61" customWidth="1"/>
    <col min="4" max="4" width="13.85546875" style="61" customWidth="1"/>
    <col min="5" max="5" width="15.85546875" style="61" customWidth="1"/>
    <col min="6" max="6" width="17.5703125" style="61" customWidth="1"/>
    <col min="7" max="8" width="13.28515625" style="61" customWidth="1"/>
    <col min="9" max="9" width="14" style="61" customWidth="1"/>
    <col min="10" max="10" width="15.7109375" style="61" customWidth="1"/>
    <col min="11" max="11" width="12.5703125" style="61" bestFit="1" customWidth="1"/>
    <col min="12" max="12" width="16" style="61" customWidth="1"/>
    <col min="13" max="13" width="15" style="61" bestFit="1" customWidth="1"/>
    <col min="14" max="14" width="16.28515625" style="61" bestFit="1" customWidth="1"/>
    <col min="15" max="15" width="16.28515625" style="61" customWidth="1"/>
    <col min="16" max="16" width="16.140625" style="61" customWidth="1"/>
    <col min="17" max="17" width="17.42578125" style="61" customWidth="1"/>
    <col min="18" max="18" width="15.5703125" style="61" customWidth="1"/>
    <col min="19" max="19" width="13" style="61" customWidth="1"/>
    <col min="20" max="20" width="9.140625" style="61"/>
    <col min="21" max="21" width="14.28515625" style="61" bestFit="1" customWidth="1"/>
    <col min="22" max="16384" width="9.140625" style="61"/>
  </cols>
  <sheetData>
    <row r="1" spans="1:34" x14ac:dyDescent="0.25">
      <c r="A1" s="3" t="str">
        <f>+PPC!A1</f>
        <v>KCP&amp;L Greater Missouri Operations Company - DSIM Rider Update Filed 11/30/2018</v>
      </c>
      <c r="B1" s="3"/>
      <c r="C1" s="3"/>
    </row>
    <row r="2" spans="1:34" x14ac:dyDescent="0.25">
      <c r="D2" s="3" t="s">
        <v>80</v>
      </c>
    </row>
    <row r="3" spans="1:34" ht="30" x14ac:dyDescent="0.25">
      <c r="D3" s="63" t="s">
        <v>62</v>
      </c>
      <c r="E3" s="63" t="s">
        <v>61</v>
      </c>
      <c r="F3" s="86" t="s">
        <v>2</v>
      </c>
      <c r="G3" s="63" t="s">
        <v>3</v>
      </c>
      <c r="H3" s="86" t="s">
        <v>70</v>
      </c>
      <c r="I3" s="63" t="s">
        <v>11</v>
      </c>
      <c r="J3" s="63" t="s">
        <v>4</v>
      </c>
    </row>
    <row r="4" spans="1:34" x14ac:dyDescent="0.25">
      <c r="A4" s="61" t="s">
        <v>29</v>
      </c>
      <c r="D4" s="24">
        <f>SUM(C25:L25)</f>
        <v>5287215.6637331806</v>
      </c>
      <c r="E4" s="168">
        <f>SUM(C21:L21)</f>
        <v>2015855639.7705564</v>
      </c>
      <c r="F4" s="24">
        <f>SUM(C17:K17)</f>
        <v>3817729.5</v>
      </c>
      <c r="G4" s="24">
        <f>F4-D4</f>
        <v>-1469486.1637331806</v>
      </c>
      <c r="H4" s="24">
        <f>+B35</f>
        <v>-297600.36</v>
      </c>
      <c r="I4" s="24">
        <f>SUM(C40:K40)</f>
        <v>-10459.870000000001</v>
      </c>
      <c r="J4" s="36">
        <f>SUM(G4:I4)</f>
        <v>-1777546.3937331806</v>
      </c>
      <c r="K4" s="62">
        <f>+J4-L35</f>
        <v>0</v>
      </c>
    </row>
    <row r="5" spans="1:34" ht="15.75" thickBot="1" x14ac:dyDescent="0.3">
      <c r="A5" s="61" t="s">
        <v>30</v>
      </c>
      <c r="D5" s="24">
        <f>SUM(C26:L26)</f>
        <v>4388999.0021000002</v>
      </c>
      <c r="E5" s="168">
        <f>SUM(C22:L22)</f>
        <v>1895414789.4758999</v>
      </c>
      <c r="F5" s="24">
        <f>SUM(C18:K18)</f>
        <v>6154215.6699999999</v>
      </c>
      <c r="G5" s="24">
        <f>F5-D5</f>
        <v>1765216.6678999998</v>
      </c>
      <c r="H5" s="24">
        <f>+B36</f>
        <v>-1416682.58</v>
      </c>
      <c r="I5" s="24">
        <f>SUM(C41:K41)</f>
        <v>1813.4600000000005</v>
      </c>
      <c r="J5" s="36">
        <f>SUM(G5:I5)</f>
        <v>350347.54789999971</v>
      </c>
      <c r="K5" s="62">
        <f>+J5-L36</f>
        <v>0</v>
      </c>
    </row>
    <row r="6" spans="1:34" ht="16.5" thickTop="1" thickBot="1" x14ac:dyDescent="0.3">
      <c r="D6" s="40">
        <f t="shared" ref="D6" si="0">SUM(D4:D5)</f>
        <v>9676214.6658331808</v>
      </c>
      <c r="E6" s="169">
        <f t="shared" ref="E6:H6" si="1">SUM(E4:E5)</f>
        <v>3911270429.2464561</v>
      </c>
      <c r="F6" s="40">
        <f t="shared" si="1"/>
        <v>9971945.1699999999</v>
      </c>
      <c r="G6" s="40">
        <f t="shared" si="1"/>
        <v>295730.50416681916</v>
      </c>
      <c r="H6" s="40">
        <f t="shared" si="1"/>
        <v>-1714282.94</v>
      </c>
      <c r="I6" s="94">
        <f>SUM(I4:I5)</f>
        <v>-8646.41</v>
      </c>
      <c r="J6" s="40">
        <f>SUM(J4:J5)</f>
        <v>-1427198.8458331809</v>
      </c>
    </row>
    <row r="7" spans="1:34" ht="16.5" thickTop="1" thickBot="1" x14ac:dyDescent="0.3"/>
    <row r="8" spans="1:34" ht="75.75" thickBot="1" x14ac:dyDescent="0.3">
      <c r="B8" s="145" t="str">
        <f>+'PCR Cycle 1'!B8</f>
        <v>Cumulative Over/Under Carryover From 06/01/2018 Filing</v>
      </c>
      <c r="C8" s="220" t="str">
        <f>+'PCR Cycle 1'!C8</f>
        <v>Reverse May-18 - Jun-18  Forecast From 06/01/2018 Filing</v>
      </c>
      <c r="D8" s="243" t="s">
        <v>39</v>
      </c>
      <c r="E8" s="243"/>
      <c r="F8" s="244"/>
      <c r="G8" s="235" t="s">
        <v>39</v>
      </c>
      <c r="H8" s="236"/>
      <c r="I8" s="237"/>
      <c r="J8" s="245" t="s">
        <v>9</v>
      </c>
      <c r="K8" s="246"/>
      <c r="L8" s="247"/>
    </row>
    <row r="9" spans="1:34" x14ac:dyDescent="0.25">
      <c r="A9" s="61" t="s">
        <v>38</v>
      </c>
      <c r="C9" s="14"/>
      <c r="D9" s="20">
        <f>+'PCR Cycle 1'!D9</f>
        <v>43251</v>
      </c>
      <c r="E9" s="20">
        <f t="shared" ref="E9:L9" si="2">EOMONTH(D9,1)</f>
        <v>43281</v>
      </c>
      <c r="F9" s="20">
        <f t="shared" si="2"/>
        <v>43312</v>
      </c>
      <c r="G9" s="14">
        <f t="shared" si="2"/>
        <v>43343</v>
      </c>
      <c r="H9" s="20">
        <f t="shared" si="2"/>
        <v>43373</v>
      </c>
      <c r="I9" s="20">
        <f t="shared" si="2"/>
        <v>43404</v>
      </c>
      <c r="J9" s="14">
        <f t="shared" si="2"/>
        <v>43434</v>
      </c>
      <c r="K9" s="20">
        <f t="shared" si="2"/>
        <v>43465</v>
      </c>
      <c r="L9" s="122">
        <f t="shared" si="2"/>
        <v>43496</v>
      </c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A10" s="61" t="s">
        <v>29</v>
      </c>
      <c r="C10" s="124">
        <v>-1305295.81</v>
      </c>
      <c r="D10" s="136">
        <f>ROUND([5]Pivot!C26,2)</f>
        <v>553411.12</v>
      </c>
      <c r="E10" s="136">
        <f>ROUND([5]Pivot!D26,2)</f>
        <v>674906.82</v>
      </c>
      <c r="F10" s="137">
        <f>ROUND([5]Pivot!E26,2)</f>
        <v>488605.99</v>
      </c>
      <c r="G10" s="16">
        <f>ROUND([5]Pivot!F26,2)</f>
        <v>447040.71</v>
      </c>
      <c r="H10" s="70">
        <f>ROUND([5]Pivot!G26,2)</f>
        <v>779078.41</v>
      </c>
      <c r="I10" s="72">
        <f>ROUND([5]Pivot!H26,2)</f>
        <v>713884.02</v>
      </c>
      <c r="J10" s="180">
        <f>ROUND('[2]Program Costs - GMO'!AT153,2)</f>
        <v>772623.89</v>
      </c>
      <c r="K10" s="171">
        <f>ROUND('[2]Program Costs - GMO'!AU153,2)</f>
        <v>412891.82</v>
      </c>
      <c r="L10" s="95"/>
    </row>
    <row r="11" spans="1:34" x14ac:dyDescent="0.25">
      <c r="A11" s="61" t="s">
        <v>30</v>
      </c>
      <c r="C11" s="124">
        <v>-1514647.43</v>
      </c>
      <c r="D11" s="136">
        <f>ROUND([5]Pivot!C27,2)</f>
        <v>571556.59</v>
      </c>
      <c r="E11" s="136">
        <f>ROUND([5]Pivot!D27,2)</f>
        <v>779814.5</v>
      </c>
      <c r="F11" s="137">
        <f>ROUND([5]Pivot!E27,2)</f>
        <v>1411005.54</v>
      </c>
      <c r="G11" s="16">
        <f>ROUND([5]Pivot!F27,2)</f>
        <v>943579.35</v>
      </c>
      <c r="H11" s="70">
        <f>ROUND([5]Pivot!G27,2)</f>
        <v>1193039.48</v>
      </c>
      <c r="I11" s="72">
        <f>ROUND([5]Pivot!H27,2)</f>
        <v>451851.03</v>
      </c>
      <c r="J11" s="180">
        <f>ROUND('[2]Program Costs - GMO'!AT154,2)</f>
        <v>1172482.7</v>
      </c>
      <c r="K11" s="171">
        <f>ROUND('[2]Program Costs - GMO'!AU154,2)</f>
        <v>864951.38</v>
      </c>
      <c r="L11" s="95"/>
      <c r="M11" s="79" t="s">
        <v>32</v>
      </c>
    </row>
    <row r="12" spans="1:34" x14ac:dyDescent="0.25">
      <c r="A12" s="61" t="s">
        <v>0</v>
      </c>
      <c r="C12" s="124">
        <v>-149036.56</v>
      </c>
      <c r="D12" s="136">
        <f>ROUND([5]Pivot!C28,2)</f>
        <v>15178.88</v>
      </c>
      <c r="E12" s="136">
        <f>ROUND([5]Pivot!D28,2)</f>
        <v>37296.36</v>
      </c>
      <c r="F12" s="137">
        <f>ROUND([5]Pivot!E28,2)</f>
        <v>94972.52</v>
      </c>
      <c r="G12" s="16">
        <f>ROUND([5]Pivot!F28,2)</f>
        <v>82916.7</v>
      </c>
      <c r="H12" s="70">
        <f>ROUND([5]Pivot!G28,2)</f>
        <v>41156.04</v>
      </c>
      <c r="I12" s="72">
        <f>ROUND([5]Pivot!H28,2)</f>
        <v>51658.49</v>
      </c>
      <c r="J12" s="180">
        <f>ROUND('[2]Program Costs - GMO'!AT155,2)</f>
        <v>126191.26</v>
      </c>
      <c r="K12" s="171">
        <f>ROUND('[2]Program Costs - GMO'!AU155,2)</f>
        <v>138979.04</v>
      </c>
      <c r="L12" s="95"/>
      <c r="M12" s="89">
        <v>0.5</v>
      </c>
    </row>
    <row r="13" spans="1:34" x14ac:dyDescent="0.25">
      <c r="A13" s="61" t="s">
        <v>1</v>
      </c>
      <c r="C13" s="124">
        <v>0</v>
      </c>
      <c r="D13" s="136">
        <f>ROUND([5]Pivot!C29,2)</f>
        <v>0</v>
      </c>
      <c r="E13" s="136">
        <f>ROUND([5]Pivot!D29,2)</f>
        <v>0</v>
      </c>
      <c r="F13" s="137">
        <f>ROUND([5]Pivot!E29,2)</f>
        <v>43700</v>
      </c>
      <c r="G13" s="16">
        <f>ROUND([5]Pivot!F29,2)</f>
        <v>2798.6</v>
      </c>
      <c r="H13" s="70">
        <f>ROUND([5]Pivot!G29,2)</f>
        <v>17831.48</v>
      </c>
      <c r="I13" s="72">
        <f>ROUND([5]Pivot!H29,2)</f>
        <v>57522.25</v>
      </c>
      <c r="J13" s="180">
        <f>ROUND('[2]Program Costs - GMO'!AT156,2)</f>
        <v>0</v>
      </c>
      <c r="K13" s="171">
        <f>ROUND('[2]Program Costs - GMO'!AU156,2)</f>
        <v>0</v>
      </c>
      <c r="L13" s="95"/>
      <c r="M13" s="79"/>
    </row>
    <row r="14" spans="1:34" x14ac:dyDescent="0.25">
      <c r="C14" s="125"/>
      <c r="D14" s="44"/>
      <c r="E14" s="44"/>
      <c r="F14" s="44"/>
      <c r="G14" s="41"/>
      <c r="H14" s="44"/>
      <c r="I14" s="17"/>
      <c r="J14" s="41"/>
      <c r="K14" s="44"/>
      <c r="L14" s="42"/>
    </row>
    <row r="15" spans="1:34" x14ac:dyDescent="0.25">
      <c r="C15" s="125"/>
      <c r="D15" s="44"/>
      <c r="E15" s="44"/>
      <c r="F15" s="44"/>
      <c r="G15" s="41"/>
      <c r="H15" s="44"/>
      <c r="I15" s="17"/>
      <c r="J15" s="41"/>
      <c r="K15" s="44"/>
      <c r="L15" s="42"/>
    </row>
    <row r="16" spans="1:34" x14ac:dyDescent="0.25">
      <c r="A16" s="61" t="s">
        <v>41</v>
      </c>
      <c r="C16" s="126"/>
      <c r="D16" s="44"/>
      <c r="E16" s="44"/>
      <c r="F16" s="44"/>
      <c r="G16" s="41"/>
      <c r="H16" s="44"/>
      <c r="I16" s="18"/>
      <c r="J16" s="10"/>
      <c r="K16" s="17"/>
      <c r="L16" s="11"/>
    </row>
    <row r="17" spans="1:14" x14ac:dyDescent="0.25">
      <c r="A17" s="61" t="s">
        <v>29</v>
      </c>
      <c r="C17" s="53">
        <f t="shared" ref="C17:I17" si="3">C10+($M$12*C$12)+($M$12*C$13)</f>
        <v>-1379814.09</v>
      </c>
      <c r="D17" s="54">
        <f t="shared" si="3"/>
        <v>561000.55999999994</v>
      </c>
      <c r="E17" s="54">
        <f t="shared" si="3"/>
        <v>693555</v>
      </c>
      <c r="F17" s="135">
        <f t="shared" si="3"/>
        <v>557942.25</v>
      </c>
      <c r="G17" s="53">
        <f t="shared" si="3"/>
        <v>489898.36</v>
      </c>
      <c r="H17" s="54">
        <f t="shared" si="3"/>
        <v>808572.17</v>
      </c>
      <c r="I17" s="135">
        <f t="shared" si="3"/>
        <v>768474.39</v>
      </c>
      <c r="J17" s="53">
        <f t="shared" ref="J17:K17" si="4">J10+($M$12*J$12)+($M$12*J$13)</f>
        <v>835719.52</v>
      </c>
      <c r="K17" s="54">
        <f t="shared" si="4"/>
        <v>482381.34</v>
      </c>
      <c r="L17" s="77">
        <f t="shared" ref="L17" si="5">L10+($M$12*L$12)+($M$12*L$13)+L$14*(1-$M$14)</f>
        <v>0</v>
      </c>
    </row>
    <row r="18" spans="1:14" x14ac:dyDescent="0.25">
      <c r="A18" s="61" t="s">
        <v>30</v>
      </c>
      <c r="C18" s="53">
        <f t="shared" ref="C18:I18" si="6">(C$11+$M$12*C$12+C$13*$M$12)</f>
        <v>-1589165.71</v>
      </c>
      <c r="D18" s="54">
        <f t="shared" si="6"/>
        <v>579146.02999999991</v>
      </c>
      <c r="E18" s="54">
        <f t="shared" si="6"/>
        <v>798462.68</v>
      </c>
      <c r="F18" s="135">
        <f t="shared" si="6"/>
        <v>1480341.8</v>
      </c>
      <c r="G18" s="53">
        <f t="shared" si="6"/>
        <v>986437</v>
      </c>
      <c r="H18" s="54">
        <f t="shared" si="6"/>
        <v>1222533.24</v>
      </c>
      <c r="I18" s="135">
        <f t="shared" si="6"/>
        <v>506441.4</v>
      </c>
      <c r="J18" s="53">
        <f t="shared" ref="J18:K18" si="7">(J$11+$M$12*J$12+J$13*$M$12)</f>
        <v>1235578.3299999998</v>
      </c>
      <c r="K18" s="54">
        <f t="shared" si="7"/>
        <v>934440.9</v>
      </c>
      <c r="L18" s="77">
        <f t="shared" ref="L18" si="8">(L$11+$M$12*L$12+L$14*$M$14)+L$13*$M$12</f>
        <v>0</v>
      </c>
    </row>
    <row r="19" spans="1:14" x14ac:dyDescent="0.25">
      <c r="C19" s="126"/>
      <c r="D19" s="44"/>
      <c r="E19" s="44"/>
      <c r="F19" s="44"/>
      <c r="G19" s="41"/>
      <c r="H19" s="44"/>
      <c r="I19" s="17"/>
      <c r="J19" s="10"/>
      <c r="K19" s="17"/>
      <c r="L19" s="11"/>
    </row>
    <row r="20" spans="1:14" x14ac:dyDescent="0.25">
      <c r="A20" s="52" t="s">
        <v>63</v>
      </c>
      <c r="B20" s="52"/>
      <c r="C20" s="128"/>
      <c r="D20" s="44"/>
      <c r="E20" s="44"/>
      <c r="F20" s="44"/>
      <c r="G20" s="41"/>
      <c r="H20" s="44"/>
      <c r="I20" s="17"/>
      <c r="J20" s="10"/>
      <c r="K20" s="17"/>
      <c r="L20" s="11"/>
    </row>
    <row r="21" spans="1:14" x14ac:dyDescent="0.25">
      <c r="A21" s="61" t="s">
        <v>29</v>
      </c>
      <c r="C21" s="129">
        <v>-819017992.88111699</v>
      </c>
      <c r="D21" s="138">
        <f>+'[3]May 2018 Combined'!H55</f>
        <v>229407098.38009548</v>
      </c>
      <c r="E21" s="138">
        <f>+'[3]June 2018 Combined'!G55</f>
        <v>337037464.80760461</v>
      </c>
      <c r="F21" s="138">
        <f>+'[3]July 2018 Combined'!F55</f>
        <v>404151907.03860003</v>
      </c>
      <c r="G21" s="212">
        <f>+'[3]August 2018 Combined'!F55</f>
        <v>360532530.48110008</v>
      </c>
      <c r="H21" s="222">
        <f>+'[3]September 2018 Combined'!F55</f>
        <v>334683710.93520004</v>
      </c>
      <c r="I21" s="207">
        <f>+'[3]October 2018 Combined'!F55</f>
        <v>248869211.19950002</v>
      </c>
      <c r="J21" s="181">
        <f>+'PCR Cycle 1'!J21</f>
        <v>223093851.32780999</v>
      </c>
      <c r="K21" s="172">
        <f>+'PCR Cycle 1'!K21</f>
        <v>311998229.48176301</v>
      </c>
      <c r="L21" s="96">
        <f>+'PCR Cycle 1'!L21</f>
        <v>385099629</v>
      </c>
    </row>
    <row r="22" spans="1:14" x14ac:dyDescent="0.25">
      <c r="A22" s="61" t="s">
        <v>30</v>
      </c>
      <c r="C22" s="129">
        <v>-886127426</v>
      </c>
      <c r="D22" s="138">
        <f>+'[3]May 2018 Combined'!H56</f>
        <v>291892578.76426458</v>
      </c>
      <c r="E22" s="138">
        <f>+'[3]June 2018 Combined'!G56</f>
        <v>315085755.70883542</v>
      </c>
      <c r="F22" s="138">
        <f>+'[3]July 2018 Combined'!F56</f>
        <v>343358973.69809997</v>
      </c>
      <c r="G22" s="212">
        <f>+'[3]August 2018 Combined'!F56</f>
        <v>341864844.09129995</v>
      </c>
      <c r="H22" s="222">
        <f>+'[3]September 2018 Combined'!F56</f>
        <v>319642726.50090003</v>
      </c>
      <c r="I22" s="207">
        <f>+'[3]October 2018 Combined'!F56</f>
        <v>301482106.71250004</v>
      </c>
      <c r="J22" s="181">
        <f>+'PCR Cycle 1'!J22</f>
        <v>283684258</v>
      </c>
      <c r="K22" s="172">
        <f>+'PCR Cycle 1'!K22</f>
        <v>284557442</v>
      </c>
      <c r="L22" s="96">
        <f>+'PCR Cycle 1'!L22</f>
        <v>299973530</v>
      </c>
    </row>
    <row r="23" spans="1:14" x14ac:dyDescent="0.25">
      <c r="C23" s="126"/>
      <c r="D23" s="44"/>
      <c r="E23" s="44"/>
      <c r="F23" s="44"/>
      <c r="G23" s="41"/>
      <c r="H23" s="44"/>
      <c r="I23" s="17"/>
      <c r="J23" s="10"/>
      <c r="K23" s="17"/>
      <c r="L23" s="11"/>
    </row>
    <row r="24" spans="1:14" x14ac:dyDescent="0.25">
      <c r="A24" s="61" t="s">
        <v>40</v>
      </c>
      <c r="C24" s="126"/>
      <c r="D24" s="18"/>
      <c r="E24" s="18"/>
      <c r="F24" s="18"/>
      <c r="G24" s="118"/>
      <c r="H24" s="18"/>
      <c r="J24" s="182"/>
      <c r="K24" s="73"/>
      <c r="L24" s="74"/>
      <c r="M24" s="79" t="s">
        <v>66</v>
      </c>
      <c r="N24" s="52"/>
    </row>
    <row r="25" spans="1:14" x14ac:dyDescent="0.25">
      <c r="A25" s="61" t="s">
        <v>29</v>
      </c>
      <c r="C25" s="124">
        <v>-2579906.6775755184</v>
      </c>
      <c r="D25" s="136">
        <f>ROUND('[3]May 2018 Combined'!H28+'[3]May 2018 Combined'!H33,2)</f>
        <v>722638.84</v>
      </c>
      <c r="E25" s="136">
        <f>ROUND('[3]June 2018 Combined'!G28+'[3]June 2018 Combined'!G33,2)</f>
        <v>1061677.04</v>
      </c>
      <c r="F25" s="166">
        <f>ROUND('[3]July 2018 Combined'!F28+'[3]July 2018 Combined'!F33,2)</f>
        <v>1273068.58</v>
      </c>
      <c r="G25" s="221">
        <f>ROUND('[3]August 2018 Combined'!F28+'[3]August 2018 Combined'!F33,2)</f>
        <v>930042.68</v>
      </c>
      <c r="H25" s="70">
        <f>ROUND('[3]September 2018 Combined'!F28+'[3]September 2018 Combined'!F33,2)</f>
        <v>863513.59999999998</v>
      </c>
      <c r="I25" s="179">
        <f>ROUND('[3]October 2018 Combined'!F28+'[3]October 2018 Combined'!F33,2)</f>
        <v>642086.99</v>
      </c>
      <c r="J25" s="53">
        <f>J21*$M25</f>
        <v>575582.13642574975</v>
      </c>
      <c r="K25" s="54">
        <f t="shared" ref="J25:L26" si="9">K21*$M25</f>
        <v>804955.43206294847</v>
      </c>
      <c r="L25" s="64">
        <f t="shared" si="9"/>
        <v>993557.04281999997</v>
      </c>
      <c r="M25" s="88">
        <v>2.5799999999999998E-3</v>
      </c>
    </row>
    <row r="26" spans="1:14" x14ac:dyDescent="0.25">
      <c r="A26" s="61" t="str">
        <f>A22</f>
        <v>Non-Residential</v>
      </c>
      <c r="C26" s="124">
        <v>-3854654.3031000001</v>
      </c>
      <c r="D26" s="136">
        <f>ROUND('[3]May 2018 Combined'!H29+'[3]May 2018 Combined'!H34,2)</f>
        <v>1269669.47</v>
      </c>
      <c r="E26" s="136">
        <f>ROUND('[3]June 2018 Combined'!G29+'[3]June 2018 Combined'!G34,2)</f>
        <v>1376725.15</v>
      </c>
      <c r="F26" s="166">
        <f>ROUND('[3]July 2018 Combined'!F29+'[3]July 2018 Combined'!F34,2)</f>
        <v>1491590.48</v>
      </c>
      <c r="G26" s="221">
        <f>ROUND('[3]August 2018 Combined'!F29+'[3]August 2018 Combined'!F34,2)</f>
        <v>770242.21</v>
      </c>
      <c r="H26" s="70">
        <f>ROUND('[3]September 2018 Combined'!F29+'[3]September 2018 Combined'!F34,2)</f>
        <v>715340.91</v>
      </c>
      <c r="I26" s="179">
        <f>ROUND('[3]October 2018 Combined'!F29+'[3]October 2018 Combined'!F34,2)</f>
        <v>675282.97</v>
      </c>
      <c r="J26" s="53">
        <f t="shared" si="9"/>
        <v>635452.7379200001</v>
      </c>
      <c r="K26" s="54">
        <f t="shared" si="9"/>
        <v>637408.67008000007</v>
      </c>
      <c r="L26" s="64">
        <f t="shared" si="9"/>
        <v>671940.70720000006</v>
      </c>
      <c r="M26" s="88">
        <v>2.2400000000000002E-3</v>
      </c>
    </row>
    <row r="27" spans="1:14" x14ac:dyDescent="0.25">
      <c r="C27" s="83"/>
      <c r="D27" s="18"/>
      <c r="E27" s="18"/>
      <c r="F27" s="18"/>
      <c r="G27" s="118"/>
      <c r="H27" s="18"/>
      <c r="J27" s="12"/>
      <c r="K27" s="71"/>
      <c r="L27" s="13"/>
      <c r="M27" s="4"/>
    </row>
    <row r="28" spans="1:14" ht="15.75" thickBot="1" x14ac:dyDescent="0.3">
      <c r="A28" s="61" t="s">
        <v>16</v>
      </c>
      <c r="C28" s="130">
        <v>-6067.59</v>
      </c>
      <c r="D28" s="139">
        <v>3513.3</v>
      </c>
      <c r="E28" s="139">
        <v>1170.1399999999999</v>
      </c>
      <c r="F28" s="140">
        <v>-1142.3399999999999</v>
      </c>
      <c r="G28" s="39">
        <v>-2459.75</v>
      </c>
      <c r="H28" s="149">
        <v>-2216.7400000000002</v>
      </c>
      <c r="I28" s="208">
        <v>-1690.27</v>
      </c>
      <c r="J28" s="184">
        <v>-490.61999999999989</v>
      </c>
      <c r="K28" s="173">
        <v>737.48000000000025</v>
      </c>
      <c r="L28" s="100"/>
    </row>
    <row r="29" spans="1:14" x14ac:dyDescent="0.25">
      <c r="C29" s="126"/>
      <c r="D29" s="44"/>
      <c r="E29" s="44"/>
      <c r="F29" s="44"/>
      <c r="G29" s="41"/>
      <c r="H29" s="44"/>
      <c r="I29" s="17"/>
      <c r="J29" s="10"/>
      <c r="K29" s="17"/>
      <c r="L29" s="11"/>
    </row>
    <row r="30" spans="1:14" x14ac:dyDescent="0.25">
      <c r="A30" s="61" t="s">
        <v>68</v>
      </c>
      <c r="C30" s="126"/>
      <c r="D30" s="44"/>
      <c r="E30" s="44"/>
      <c r="F30" s="44"/>
      <c r="G30" s="41"/>
      <c r="H30" s="44"/>
      <c r="I30" s="17"/>
      <c r="J30" s="10"/>
      <c r="K30" s="17"/>
      <c r="L30" s="11"/>
    </row>
    <row r="31" spans="1:14" x14ac:dyDescent="0.25">
      <c r="A31" s="61" t="s">
        <v>29</v>
      </c>
      <c r="C31" s="53">
        <f t="shared" ref="C31:L32" si="10">C17-C25</f>
        <v>1200092.5875755183</v>
      </c>
      <c r="D31" s="54">
        <f t="shared" si="10"/>
        <v>-161638.28000000003</v>
      </c>
      <c r="E31" s="54">
        <f t="shared" si="10"/>
        <v>-368122.04000000004</v>
      </c>
      <c r="F31" s="135">
        <f t="shared" si="10"/>
        <v>-715126.33000000007</v>
      </c>
      <c r="G31" s="53">
        <f t="shared" si="10"/>
        <v>-440144.32000000007</v>
      </c>
      <c r="H31" s="54">
        <f t="shared" si="10"/>
        <v>-54941.429999999935</v>
      </c>
      <c r="I31" s="135">
        <f t="shared" si="10"/>
        <v>126387.40000000002</v>
      </c>
      <c r="J31" s="53">
        <f t="shared" si="10"/>
        <v>260137.38357425027</v>
      </c>
      <c r="K31" s="54">
        <f t="shared" si="10"/>
        <v>-322574.09206294845</v>
      </c>
      <c r="L31" s="64">
        <f t="shared" si="10"/>
        <v>-993557.04281999997</v>
      </c>
    </row>
    <row r="32" spans="1:14" x14ac:dyDescent="0.25">
      <c r="A32" s="61" t="s">
        <v>30</v>
      </c>
      <c r="C32" s="53">
        <f t="shared" si="10"/>
        <v>2265488.5931000002</v>
      </c>
      <c r="D32" s="54">
        <f t="shared" si="10"/>
        <v>-690523.44000000006</v>
      </c>
      <c r="E32" s="54">
        <f t="shared" si="10"/>
        <v>-578262.46999999986</v>
      </c>
      <c r="F32" s="135">
        <f t="shared" si="10"/>
        <v>-11248.679999999935</v>
      </c>
      <c r="G32" s="53">
        <f t="shared" si="10"/>
        <v>216194.79000000004</v>
      </c>
      <c r="H32" s="54">
        <f t="shared" si="10"/>
        <v>507192.32999999996</v>
      </c>
      <c r="I32" s="135">
        <f t="shared" si="10"/>
        <v>-168841.56999999995</v>
      </c>
      <c r="J32" s="53">
        <f t="shared" si="10"/>
        <v>600125.59207999974</v>
      </c>
      <c r="K32" s="54">
        <f t="shared" si="10"/>
        <v>297032.22991999995</v>
      </c>
      <c r="L32" s="64">
        <f t="shared" si="10"/>
        <v>-671940.70720000006</v>
      </c>
    </row>
    <row r="33" spans="1:13" x14ac:dyDescent="0.25">
      <c r="C33" s="126"/>
      <c r="D33" s="44"/>
      <c r="E33" s="44"/>
      <c r="F33" s="44"/>
      <c r="G33" s="41"/>
      <c r="H33" s="44"/>
      <c r="I33" s="17"/>
      <c r="J33" s="10"/>
      <c r="K33" s="17"/>
      <c r="L33" s="11"/>
    </row>
    <row r="34" spans="1:13" ht="15.75" thickBot="1" x14ac:dyDescent="0.3">
      <c r="A34" s="61" t="s">
        <v>69</v>
      </c>
      <c r="C34" s="131"/>
      <c r="D34" s="44"/>
      <c r="E34" s="44"/>
      <c r="F34" s="44"/>
      <c r="G34" s="41"/>
      <c r="H34" s="44"/>
      <c r="I34" s="17"/>
      <c r="J34" s="10"/>
      <c r="K34" s="17"/>
      <c r="L34" s="11"/>
    </row>
    <row r="35" spans="1:13" x14ac:dyDescent="0.25">
      <c r="A35" s="61" t="s">
        <v>29</v>
      </c>
      <c r="B35" s="196">
        <v>-297600.36</v>
      </c>
      <c r="C35" s="54">
        <f>B35+C31+B40</f>
        <v>902492.22757551831</v>
      </c>
      <c r="D35" s="54">
        <f t="shared" ref="D35:L35" si="11">C35+D31+C40</f>
        <v>736379.85757551831</v>
      </c>
      <c r="E35" s="54">
        <f t="shared" si="11"/>
        <v>370434.26757551829</v>
      </c>
      <c r="F35" s="135">
        <f t="shared" si="11"/>
        <v>-343159.58242448181</v>
      </c>
      <c r="G35" s="53">
        <f t="shared" si="11"/>
        <v>-783263.95242448198</v>
      </c>
      <c r="H35" s="54">
        <f t="shared" si="11"/>
        <v>-839765.20242448186</v>
      </c>
      <c r="I35" s="135">
        <f t="shared" si="11"/>
        <v>-715696.92242448183</v>
      </c>
      <c r="J35" s="53">
        <f t="shared" si="11"/>
        <v>-457854.14885023155</v>
      </c>
      <c r="K35" s="54">
        <f t="shared" si="11"/>
        <v>-782160.26091317995</v>
      </c>
      <c r="L35" s="64">
        <f t="shared" si="11"/>
        <v>-1777546.3937331799</v>
      </c>
    </row>
    <row r="36" spans="1:13" ht="15.75" thickBot="1" x14ac:dyDescent="0.3">
      <c r="A36" s="61" t="s">
        <v>30</v>
      </c>
      <c r="B36" s="197">
        <v>-1416682.58</v>
      </c>
      <c r="C36" s="54">
        <f>B36+C32+B41</f>
        <v>848806.0131000001</v>
      </c>
      <c r="D36" s="54">
        <f t="shared" ref="D36:L36" si="12">C36+D32+C41</f>
        <v>156689.07310000004</v>
      </c>
      <c r="E36" s="54">
        <f t="shared" si="12"/>
        <v>-420236.54689999984</v>
      </c>
      <c r="F36" s="135">
        <f t="shared" si="12"/>
        <v>-431847.5668999998</v>
      </c>
      <c r="G36" s="53">
        <f t="shared" si="12"/>
        <v>-216835.07689999975</v>
      </c>
      <c r="H36" s="54">
        <f t="shared" si="12"/>
        <v>289457.3131000002</v>
      </c>
      <c r="I36" s="135">
        <f t="shared" si="12"/>
        <v>120718.12310000026</v>
      </c>
      <c r="J36" s="53">
        <f t="shared" si="12"/>
        <v>721448.05518000002</v>
      </c>
      <c r="K36" s="54">
        <f t="shared" si="12"/>
        <v>1019721.6851</v>
      </c>
      <c r="L36" s="64">
        <f t="shared" si="12"/>
        <v>350347.54789999995</v>
      </c>
    </row>
    <row r="37" spans="1:13" x14ac:dyDescent="0.25">
      <c r="C37" s="126"/>
      <c r="D37" s="44"/>
      <c r="E37" s="44"/>
      <c r="F37" s="44"/>
      <c r="G37" s="41"/>
      <c r="H37" s="44"/>
      <c r="I37" s="17"/>
      <c r="J37" s="10"/>
      <c r="K37" s="17"/>
      <c r="L37" s="11"/>
    </row>
    <row r="38" spans="1:13" x14ac:dyDescent="0.25">
      <c r="A38" s="52" t="s">
        <v>65</v>
      </c>
      <c r="B38" s="52"/>
      <c r="C38" s="131"/>
      <c r="D38" s="103">
        <f>+'PCR Cycle 1'!D38</f>
        <v>2.6633099999999999E-3</v>
      </c>
      <c r="E38" s="103">
        <f>+'PCR Cycle 1'!E38</f>
        <v>2.7637299999999998E-3</v>
      </c>
      <c r="F38" s="103">
        <f>+'PCR Cycle 1'!F38</f>
        <v>2.7738900000000002E-3</v>
      </c>
      <c r="G38" s="105">
        <f>+'PCR Cycle 1'!G38</f>
        <v>2.76961E-3</v>
      </c>
      <c r="H38" s="103">
        <f>+'PCR Cycle 1'!H38</f>
        <v>2.8550200000000002E-3</v>
      </c>
      <c r="I38" s="103">
        <f>+'PCR Cycle 1'!I38</f>
        <v>2.9459999999999998E-3</v>
      </c>
      <c r="J38" s="105">
        <f>+I38</f>
        <v>2.9459999999999998E-3</v>
      </c>
      <c r="K38" s="103">
        <f>+J38</f>
        <v>2.9459999999999998E-3</v>
      </c>
      <c r="L38" s="119"/>
    </row>
    <row r="39" spans="1:13" x14ac:dyDescent="0.25">
      <c r="A39" s="52" t="s">
        <v>44</v>
      </c>
      <c r="B39" s="52"/>
      <c r="C39" s="126"/>
      <c r="D39" s="44"/>
      <c r="E39" s="44"/>
      <c r="F39" s="44"/>
      <c r="G39" s="41"/>
      <c r="H39" s="44"/>
      <c r="I39" s="17"/>
      <c r="J39" s="10"/>
      <c r="K39" s="17"/>
      <c r="L39" s="11"/>
      <c r="M39" s="87"/>
    </row>
    <row r="40" spans="1:13" x14ac:dyDescent="0.25">
      <c r="A40" s="61" t="s">
        <v>29</v>
      </c>
      <c r="C40" s="53">
        <v>-4474.09</v>
      </c>
      <c r="D40" s="54">
        <f t="shared" ref="D40" si="13">ROUND((C35+C40+D31/2)*D$38,2)</f>
        <v>2176.4499999999998</v>
      </c>
      <c r="E40" s="54">
        <f t="shared" ref="E40:E41" si="14">ROUND((D35+D40+E31/2)*E$38,2)</f>
        <v>1532.48</v>
      </c>
      <c r="F40" s="135">
        <f t="shared" ref="F40:F41" si="15">ROUND((E35+E40+F31/2)*F$38,2)</f>
        <v>39.950000000000003</v>
      </c>
      <c r="G40" s="53">
        <f t="shared" ref="G40:G41" si="16">ROUND((F35+F40+G31/2)*G$38,2)</f>
        <v>-1559.82</v>
      </c>
      <c r="H40" s="150">
        <f t="shared" ref="H40:I41" si="17">ROUND((G35+G40+H31/2)*H$38,2)</f>
        <v>-2319.12</v>
      </c>
      <c r="I40" s="135">
        <f t="shared" si="17"/>
        <v>-2294.61</v>
      </c>
      <c r="J40" s="53">
        <f t="shared" ref="J40:J41" si="18">ROUND((I35+I40+J31/2)*J$38,2)</f>
        <v>-1732.02</v>
      </c>
      <c r="K40" s="150">
        <f t="shared" ref="K40:K41" si="19">ROUND((J35+J40+K31/2)*K$38,2)</f>
        <v>-1829.09</v>
      </c>
      <c r="L40" s="64"/>
    </row>
    <row r="41" spans="1:13" ht="15.75" thickBot="1" x14ac:dyDescent="0.3">
      <c r="A41" s="61" t="s">
        <v>30</v>
      </c>
      <c r="C41" s="141">
        <v>-1593.5</v>
      </c>
      <c r="D41" s="54">
        <f>ROUND((C36+C41+D32/2)*D$38,2)</f>
        <v>1336.85</v>
      </c>
      <c r="E41" s="54">
        <f t="shared" si="14"/>
        <v>-362.34</v>
      </c>
      <c r="F41" s="135">
        <f t="shared" si="15"/>
        <v>-1182.3</v>
      </c>
      <c r="G41" s="53">
        <f t="shared" si="16"/>
        <v>-899.94</v>
      </c>
      <c r="H41" s="150">
        <f t="shared" si="17"/>
        <v>102.38</v>
      </c>
      <c r="I41" s="135">
        <f t="shared" si="17"/>
        <v>604.34</v>
      </c>
      <c r="J41" s="53">
        <f t="shared" si="18"/>
        <v>1241.4000000000001</v>
      </c>
      <c r="K41" s="150">
        <f t="shared" si="19"/>
        <v>2566.5700000000002</v>
      </c>
      <c r="L41" s="64"/>
    </row>
    <row r="42" spans="1:13" ht="16.5" thickTop="1" thickBot="1" x14ac:dyDescent="0.3">
      <c r="A42" s="69" t="s">
        <v>25</v>
      </c>
      <c r="B42" s="69"/>
      <c r="C42" s="142">
        <v>0</v>
      </c>
      <c r="D42" s="45">
        <f t="shared" ref="D42:L42" si="20">SUM(D40:D41)+SUM(D35:D36)-D45</f>
        <v>0</v>
      </c>
      <c r="E42" s="45">
        <f t="shared" si="20"/>
        <v>1.6007106751203537E-10</v>
      </c>
      <c r="F42" s="65">
        <f t="shared" si="20"/>
        <v>0</v>
      </c>
      <c r="G42" s="151">
        <f t="shared" si="20"/>
        <v>0</v>
      </c>
      <c r="H42" s="45">
        <f t="shared" si="20"/>
        <v>0</v>
      </c>
      <c r="I42" s="65">
        <f t="shared" si="20"/>
        <v>0</v>
      </c>
      <c r="J42" s="66">
        <f t="shared" si="20"/>
        <v>0</v>
      </c>
      <c r="K42" s="45">
        <f t="shared" si="20"/>
        <v>2.3283064365386963E-10</v>
      </c>
      <c r="L42" s="123">
        <f t="shared" si="20"/>
        <v>0</v>
      </c>
    </row>
    <row r="43" spans="1:13" ht="16.5" thickTop="1" thickBot="1" x14ac:dyDescent="0.3">
      <c r="A43" s="69" t="s">
        <v>26</v>
      </c>
      <c r="B43" s="69"/>
      <c r="C43" s="134">
        <v>0</v>
      </c>
      <c r="D43" s="45">
        <f t="shared" ref="D43:I43" si="21">SUM(D40:D41)-D28</f>
        <v>0</v>
      </c>
      <c r="E43" s="45">
        <f t="shared" si="21"/>
        <v>0</v>
      </c>
      <c r="F43" s="65">
        <f t="shared" ref="F43:H43" si="22">SUM(F40:F41)-F28</f>
        <v>-9.9999999999909051E-3</v>
      </c>
      <c r="G43" s="66">
        <f t="shared" si="22"/>
        <v>-1.0000000000218279E-2</v>
      </c>
      <c r="H43" s="45">
        <f t="shared" si="22"/>
        <v>0</v>
      </c>
      <c r="I43" s="65">
        <f t="shared" si="21"/>
        <v>0</v>
      </c>
      <c r="J43" s="66">
        <f t="shared" ref="J43:L43" si="23">SUM(J40:J41)-J28</f>
        <v>0</v>
      </c>
      <c r="K43" s="45">
        <f t="shared" si="23"/>
        <v>0</v>
      </c>
      <c r="L43" s="123">
        <f t="shared" si="23"/>
        <v>0</v>
      </c>
    </row>
    <row r="44" spans="1:13" ht="16.5" thickTop="1" thickBot="1" x14ac:dyDescent="0.3">
      <c r="C44" s="126"/>
      <c r="D44" s="17"/>
      <c r="E44" s="17"/>
      <c r="F44" s="17"/>
      <c r="G44" s="10"/>
      <c r="H44" s="17"/>
      <c r="I44" s="17"/>
      <c r="J44" s="10"/>
      <c r="K44" s="17"/>
      <c r="L44" s="11"/>
    </row>
    <row r="45" spans="1:13" ht="15.75" thickBot="1" x14ac:dyDescent="0.3">
      <c r="A45" s="61" t="s">
        <v>42</v>
      </c>
      <c r="B45" s="146">
        <f>+B35+B36</f>
        <v>-1714282.94</v>
      </c>
      <c r="C45" s="53">
        <f t="shared" ref="C45:I45" si="24">(SUM(C10:C14)-SUM(C25:C26))+SUM(C40:C41)+B45</f>
        <v>1745230.6506755184</v>
      </c>
      <c r="D45" s="54">
        <f t="shared" si="24"/>
        <v>896582.23067551828</v>
      </c>
      <c r="E45" s="54">
        <f t="shared" si="24"/>
        <v>-48632.139324481715</v>
      </c>
      <c r="F45" s="135">
        <f t="shared" si="24"/>
        <v>-776149.4993244817</v>
      </c>
      <c r="G45" s="53">
        <f t="shared" si="24"/>
        <v>-1002558.7893244817</v>
      </c>
      <c r="H45" s="54">
        <f t="shared" si="24"/>
        <v>-552524.62932448159</v>
      </c>
      <c r="I45" s="135">
        <f t="shared" si="24"/>
        <v>-596669.06932448153</v>
      </c>
      <c r="J45" s="53">
        <f t="shared" ref="J45" si="25">(SUM(J10:J14)-SUM(J25:J26))+SUM(J40:J41)+I45</f>
        <v>263103.28632976848</v>
      </c>
      <c r="K45" s="54">
        <f t="shared" ref="K45:L45" si="26">(SUM(K10:K14)-SUM(K25:K26))+SUM(K40:K41)+J45</f>
        <v>238298.90418681983</v>
      </c>
      <c r="L45" s="77">
        <f t="shared" si="26"/>
        <v>-1427198.8458331802</v>
      </c>
    </row>
    <row r="46" spans="1:13" x14ac:dyDescent="0.25">
      <c r="A46" s="61" t="s">
        <v>14</v>
      </c>
      <c r="C46" s="147"/>
      <c r="D46" s="71"/>
      <c r="E46" s="71"/>
      <c r="F46" s="71"/>
      <c r="G46" s="12"/>
      <c r="H46" s="71"/>
      <c r="I46" s="17"/>
      <c r="J46" s="10"/>
      <c r="K46" s="17"/>
      <c r="L46" s="11"/>
    </row>
    <row r="47" spans="1:13" ht="15.75" thickBot="1" x14ac:dyDescent="0.3">
      <c r="B47" s="17"/>
      <c r="C47" s="56"/>
      <c r="D47" s="57"/>
      <c r="E47" s="57"/>
      <c r="F47" s="57"/>
      <c r="G47" s="56"/>
      <c r="H47" s="57"/>
      <c r="I47" s="57"/>
      <c r="J47" s="56"/>
      <c r="K47" s="57"/>
      <c r="L47" s="58"/>
    </row>
    <row r="49" spans="1:12" x14ac:dyDescent="0.25">
      <c r="A49" s="85" t="s">
        <v>13</v>
      </c>
      <c r="B49" s="85"/>
      <c r="C49" s="85"/>
    </row>
    <row r="50" spans="1:12" ht="39.75" customHeight="1" x14ac:dyDescent="0.25">
      <c r="A50" s="242" t="s">
        <v>141</v>
      </c>
      <c r="B50" s="242"/>
      <c r="C50" s="242"/>
      <c r="D50" s="242"/>
      <c r="E50" s="242"/>
      <c r="F50" s="242"/>
      <c r="G50" s="242"/>
      <c r="H50" s="242"/>
      <c r="I50" s="242"/>
      <c r="J50" s="242"/>
      <c r="K50" s="242"/>
      <c r="L50" s="242"/>
    </row>
    <row r="51" spans="1:12" ht="39" customHeight="1" x14ac:dyDescent="0.25">
      <c r="A51" s="241" t="s">
        <v>132</v>
      </c>
      <c r="B51" s="241"/>
      <c r="C51" s="241"/>
      <c r="D51" s="241"/>
      <c r="E51" s="241"/>
      <c r="F51" s="241"/>
      <c r="G51" s="241"/>
      <c r="H51" s="241"/>
      <c r="I51" s="241"/>
      <c r="J51" s="225"/>
      <c r="K51" s="225"/>
      <c r="L51" s="225"/>
    </row>
    <row r="52" spans="1:12" ht="33" customHeight="1" x14ac:dyDescent="0.25">
      <c r="A52" s="241" t="s">
        <v>135</v>
      </c>
      <c r="B52" s="241"/>
      <c r="C52" s="241"/>
      <c r="D52" s="241"/>
      <c r="E52" s="241"/>
      <c r="F52" s="241"/>
      <c r="G52" s="241"/>
      <c r="H52" s="241"/>
      <c r="I52" s="241"/>
      <c r="J52" s="225"/>
      <c r="K52" s="225"/>
      <c r="L52" s="225"/>
    </row>
    <row r="53" spans="1:12" x14ac:dyDescent="0.25">
      <c r="A53" s="3" t="s">
        <v>37</v>
      </c>
      <c r="B53" s="3"/>
      <c r="C53" s="3"/>
      <c r="I53" s="4"/>
    </row>
    <row r="54" spans="1:12" x14ac:dyDescent="0.25">
      <c r="A54" s="3" t="s">
        <v>134</v>
      </c>
      <c r="B54" s="3"/>
      <c r="C54" s="3"/>
      <c r="I54" s="4"/>
    </row>
    <row r="55" spans="1:12" x14ac:dyDescent="0.25">
      <c r="A55" s="3" t="s">
        <v>67</v>
      </c>
      <c r="B55" s="3"/>
      <c r="C55" s="3"/>
      <c r="I55" s="4"/>
    </row>
    <row r="65" spans="13:13" x14ac:dyDescent="0.25">
      <c r="M65" s="8"/>
    </row>
  </sheetData>
  <mergeCells count="6">
    <mergeCell ref="A52:I52"/>
    <mergeCell ref="D8:F8"/>
    <mergeCell ref="A51:I51"/>
    <mergeCell ref="A50:L50"/>
    <mergeCell ref="G8:I8"/>
    <mergeCell ref="J8:L8"/>
  </mergeCells>
  <pageMargins left="0.2" right="0.2" top="0.75" bottom="0.25" header="0.3" footer="0.3"/>
  <pageSetup scale="54" orientation="landscape" r:id="rId1"/>
  <headerFooter>
    <oddHeader>&amp;C&amp;F &amp;A</oddHeader>
    <oddFooter>&amp;R&amp;1#&amp;"Calibri"&amp;10 Public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workbookViewId="0"/>
  </sheetViews>
  <sheetFormatPr defaultRowHeight="15" x14ac:dyDescent="0.25"/>
  <cols>
    <col min="1" max="1" width="17.5703125" customWidth="1"/>
    <col min="2" max="2" width="16.140625" customWidth="1"/>
    <col min="3" max="3" width="15.140625" customWidth="1"/>
  </cols>
  <sheetData>
    <row r="1" spans="1:23" s="61" customFormat="1" x14ac:dyDescent="0.25">
      <c r="A1" s="3" t="str">
        <f>+PPC!A1</f>
        <v>KCP&amp;L Greater Missouri Operations Company - DSIM Rider Update Filed 11/30/2018</v>
      </c>
    </row>
    <row r="2" spans="1:23" x14ac:dyDescent="0.25">
      <c r="A2" s="9" t="str">
        <f>+PPC!A2</f>
        <v>Projections for Cycle 2 January - June 2019 DSIM</v>
      </c>
    </row>
    <row r="3" spans="1:23" s="61" customFormat="1" x14ac:dyDescent="0.25">
      <c r="A3" s="9"/>
    </row>
    <row r="4" spans="1:23" ht="40.5" customHeight="1" x14ac:dyDescent="0.25">
      <c r="B4" s="234" t="s">
        <v>84</v>
      </c>
      <c r="C4" s="234"/>
    </row>
    <row r="5" spans="1:23" ht="45" x14ac:dyDescent="0.25">
      <c r="B5" s="86" t="s">
        <v>88</v>
      </c>
      <c r="C5" s="6" t="s">
        <v>34</v>
      </c>
    </row>
    <row r="6" spans="1:23" x14ac:dyDescent="0.25">
      <c r="A6" s="22" t="s">
        <v>29</v>
      </c>
      <c r="B6" s="34">
        <f>+'[2]GMO Monthly TD Calc'!AO343</f>
        <v>12956058.555980619</v>
      </c>
      <c r="C6" s="107">
        <f>ROUND('[2]GMO Monthly TD Calc'!AO321,2)</f>
        <v>572592.46</v>
      </c>
    </row>
    <row r="7" spans="1:23" x14ac:dyDescent="0.25">
      <c r="A7" s="43" t="s">
        <v>30</v>
      </c>
      <c r="B7" s="34">
        <f>+'[2]GMO Monthly TD Calc'!AO344</f>
        <v>22744563.873251583</v>
      </c>
      <c r="C7" s="107">
        <f>ROUND('[2]GMO Monthly TD Calc'!AO322,2)</f>
        <v>708232.21</v>
      </c>
    </row>
    <row r="8" spans="1:23" x14ac:dyDescent="0.25">
      <c r="A8" s="22" t="s">
        <v>6</v>
      </c>
      <c r="B8" s="35">
        <f>SUM(B6:B7)</f>
        <v>35700622.429232202</v>
      </c>
      <c r="C8" s="24">
        <f>SUM(C6:C7)</f>
        <v>1280824.67</v>
      </c>
    </row>
    <row r="9" spans="1:23" x14ac:dyDescent="0.25">
      <c r="B9" s="33"/>
      <c r="C9" s="61"/>
    </row>
    <row r="10" spans="1:23" x14ac:dyDescent="0.25">
      <c r="A10" s="61"/>
      <c r="B10" s="61"/>
      <c r="C10" s="61"/>
    </row>
    <row r="11" spans="1:23" x14ac:dyDescent="0.25">
      <c r="A11" s="85" t="s">
        <v>35</v>
      </c>
      <c r="B11" s="22"/>
      <c r="C11" s="23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5">
      <c r="A12" s="239" t="s">
        <v>142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</row>
    <row r="13" spans="1:23" x14ac:dyDescent="0.25">
      <c r="A13" s="239" t="s">
        <v>143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</row>
    <row r="33" spans="2:3" x14ac:dyDescent="0.25">
      <c r="B33" s="8"/>
      <c r="C33" s="8"/>
    </row>
    <row r="37" spans="2:3" x14ac:dyDescent="0.25">
      <c r="B37" s="8"/>
      <c r="C37" s="8"/>
    </row>
  </sheetData>
  <mergeCells count="3">
    <mergeCell ref="B4:C4"/>
    <mergeCell ref="A12:L12"/>
    <mergeCell ref="A13:L13"/>
  </mergeCells>
  <pageMargins left="0.2" right="0.2" top="0.75" bottom="0.25" header="0.3" footer="0.3"/>
  <pageSetup orientation="landscape" r:id="rId1"/>
  <headerFooter>
    <oddHeader>&amp;C&amp;F &amp;A</oddHeader>
    <oddFooter>&amp;R&amp;1#&amp;"Calibri"&amp;10 Public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5"/>
  <sheetViews>
    <sheetView zoomScaleNormal="100" workbookViewId="0">
      <pane xSplit="3" ySplit="11" topLeftCell="H51" activePane="bottomRight" state="frozen"/>
      <selection pane="topRight"/>
      <selection pane="bottomLeft"/>
      <selection pane="bottomRight"/>
    </sheetView>
  </sheetViews>
  <sheetFormatPr defaultRowHeight="15" outlineLevelRow="1" x14ac:dyDescent="0.25"/>
  <cols>
    <col min="1" max="1" width="37.7109375" customWidth="1"/>
    <col min="2" max="2" width="12.28515625" style="61" bestFit="1" customWidth="1"/>
    <col min="3" max="3" width="12.42578125" style="61" customWidth="1"/>
    <col min="4" max="4" width="15.42578125" customWidth="1"/>
    <col min="5" max="5" width="15.85546875" customWidth="1"/>
    <col min="6" max="6" width="12.28515625" style="61" customWidth="1"/>
    <col min="7" max="8" width="13.28515625" style="61" customWidth="1"/>
    <col min="9" max="9" width="12.28515625" bestFit="1" customWidth="1"/>
    <col min="10" max="10" width="12.28515625" style="61" bestFit="1" customWidth="1"/>
    <col min="11" max="11" width="13" style="61" customWidth="1"/>
    <col min="12" max="12" width="16" style="61" customWidth="1"/>
    <col min="13" max="13" width="15" bestFit="1" customWidth="1"/>
    <col min="14" max="14" width="16" bestFit="1" customWidth="1"/>
    <col min="15" max="15" width="15.28515625" bestFit="1" customWidth="1"/>
    <col min="16" max="16" width="17.42578125" bestFit="1" customWidth="1"/>
    <col min="17" max="17" width="16.28515625" bestFit="1" customWidth="1"/>
    <col min="18" max="18" width="15.28515625" bestFit="1" customWidth="1"/>
    <col min="19" max="19" width="12.42578125" customWidth="1"/>
    <col min="20" max="21" width="14.28515625" bestFit="1" customWidth="1"/>
  </cols>
  <sheetData>
    <row r="1" spans="1:34" x14ac:dyDescent="0.25">
      <c r="A1" s="3" t="str">
        <f>+PPC!A1</f>
        <v>KCP&amp;L Greater Missouri Operations Company - DSIM Rider Update Filed 11/30/2018</v>
      </c>
      <c r="B1" s="3"/>
      <c r="C1" s="3"/>
    </row>
    <row r="2" spans="1:34" x14ac:dyDescent="0.25">
      <c r="J2" s="3" t="s">
        <v>86</v>
      </c>
      <c r="K2"/>
      <c r="M2" s="61"/>
      <c r="O2" s="61"/>
      <c r="P2" s="61"/>
    </row>
    <row r="3" spans="1:34" ht="30" x14ac:dyDescent="0.25">
      <c r="D3" s="6" t="s">
        <v>62</v>
      </c>
      <c r="E3" s="86" t="s">
        <v>45</v>
      </c>
      <c r="F3" s="86" t="s">
        <v>46</v>
      </c>
      <c r="G3" s="6" t="s">
        <v>3</v>
      </c>
      <c r="H3" s="86" t="s">
        <v>70</v>
      </c>
      <c r="I3" s="6" t="s">
        <v>11</v>
      </c>
      <c r="J3" s="6" t="s">
        <v>10</v>
      </c>
      <c r="R3" s="6"/>
    </row>
    <row r="4" spans="1:34" x14ac:dyDescent="0.25">
      <c r="A4" s="22" t="s">
        <v>29</v>
      </c>
      <c r="B4" s="22"/>
      <c r="C4" s="22"/>
      <c r="D4" s="24">
        <f>SUM(C15:L15)</f>
        <v>-21200.799999999996</v>
      </c>
      <c r="E4" s="168">
        <f>M19</f>
        <v>0</v>
      </c>
      <c r="F4" s="24">
        <f>SUM(C23:K23)</f>
        <v>0</v>
      </c>
      <c r="G4" s="24">
        <f>F4-D4</f>
        <v>21200.799999999996</v>
      </c>
      <c r="H4" s="24">
        <f>+B33+B38</f>
        <v>-1109.9500000000698</v>
      </c>
      <c r="I4" s="24">
        <f>SUM(C38:K38)</f>
        <v>2171.04</v>
      </c>
      <c r="J4" s="36">
        <f>SUM(G4:I4)</f>
        <v>22261.889999999927</v>
      </c>
      <c r="K4" s="4">
        <f>+J4-L33-M38</f>
        <v>0</v>
      </c>
    </row>
    <row r="5" spans="1:34" ht="15.75" thickBot="1" x14ac:dyDescent="0.3">
      <c r="A5" s="22" t="s">
        <v>30</v>
      </c>
      <c r="B5" s="22"/>
      <c r="C5" s="22"/>
      <c r="D5" s="24">
        <f>SUM(C16:L16)</f>
        <v>11733.73</v>
      </c>
      <c r="E5" s="168">
        <f>M20</f>
        <v>0</v>
      </c>
      <c r="F5" s="24">
        <f>SUM(C24:K24)</f>
        <v>0</v>
      </c>
      <c r="G5" s="24">
        <f>F5-D5</f>
        <v>-11733.73</v>
      </c>
      <c r="H5" s="24">
        <f>+B34+B39</f>
        <v>-614.68000000005122</v>
      </c>
      <c r="I5" s="24">
        <f>SUM(C39:K39)</f>
        <v>1410.85</v>
      </c>
      <c r="J5" s="36">
        <f>SUM(G5:I5)</f>
        <v>-10937.56000000005</v>
      </c>
      <c r="K5" s="62">
        <f>+J5-L34-M39</f>
        <v>0</v>
      </c>
    </row>
    <row r="6" spans="1:34" ht="16.5" thickTop="1" thickBot="1" x14ac:dyDescent="0.3">
      <c r="D6" s="40">
        <f t="shared" ref="D6" si="0">SUM(D4:D5)</f>
        <v>-9467.0699999999961</v>
      </c>
      <c r="E6" s="169">
        <f t="shared" ref="E6:H6" si="1">SUM(E4:E5)</f>
        <v>0</v>
      </c>
      <c r="F6" s="40">
        <f t="shared" si="1"/>
        <v>0</v>
      </c>
      <c r="G6" s="40">
        <f t="shared" si="1"/>
        <v>9467.0699999999961</v>
      </c>
      <c r="H6" s="40">
        <f t="shared" si="1"/>
        <v>-1724.6300000001211</v>
      </c>
      <c r="I6" s="40">
        <f>SUM(I4:I5)</f>
        <v>3581.89</v>
      </c>
      <c r="J6" s="40">
        <f>SUM(J4:J5)</f>
        <v>11324.329999999876</v>
      </c>
      <c r="K6"/>
      <c r="S6" s="5"/>
    </row>
    <row r="7" spans="1:34" ht="15.75" thickTop="1" x14ac:dyDescent="0.25"/>
    <row r="8" spans="1:34" x14ac:dyDescent="0.25">
      <c r="I8" s="4"/>
      <c r="U8" s="4"/>
    </row>
    <row r="9" spans="1:34" ht="15.75" thickBot="1" x14ac:dyDescent="0.3">
      <c r="U9" s="4"/>
      <c r="V9" s="5"/>
    </row>
    <row r="10" spans="1:34" ht="90.75" thickBot="1" x14ac:dyDescent="0.3">
      <c r="B10" s="145" t="str">
        <f>+'PCR Cycle 1'!B8</f>
        <v>Cumulative Over/Under Carryover From 06/01/2018 Filing</v>
      </c>
      <c r="C10" s="220" t="str">
        <f>+'PCR Cycle 1'!C8</f>
        <v>Reverse May-18 - Jun-18  Forecast From 06/01/2018 Filing</v>
      </c>
      <c r="D10" s="243" t="s">
        <v>39</v>
      </c>
      <c r="E10" s="243"/>
      <c r="F10" s="244"/>
      <c r="G10" s="248" t="s">
        <v>39</v>
      </c>
      <c r="H10" s="249"/>
      <c r="I10" s="250"/>
      <c r="J10" s="245" t="s">
        <v>9</v>
      </c>
      <c r="K10" s="246"/>
      <c r="L10" s="247"/>
    </row>
    <row r="11" spans="1:34" x14ac:dyDescent="0.25">
      <c r="A11" t="s">
        <v>43</v>
      </c>
      <c r="C11" s="132"/>
      <c r="D11" s="20">
        <f>+'PCR Cycle 1'!D9</f>
        <v>43251</v>
      </c>
      <c r="E11" s="20">
        <f t="shared" ref="E11:L11" si="2">EOMONTH(D11,1)</f>
        <v>43281</v>
      </c>
      <c r="F11" s="20">
        <f t="shared" si="2"/>
        <v>43312</v>
      </c>
      <c r="G11" s="14">
        <f t="shared" si="2"/>
        <v>43343</v>
      </c>
      <c r="H11" s="20">
        <f t="shared" si="2"/>
        <v>43373</v>
      </c>
      <c r="I11" s="20">
        <f t="shared" si="2"/>
        <v>43404</v>
      </c>
      <c r="J11" s="14">
        <f t="shared" si="2"/>
        <v>43434</v>
      </c>
      <c r="K11" s="20">
        <f t="shared" si="2"/>
        <v>43465</v>
      </c>
      <c r="L11" s="15">
        <f t="shared" si="2"/>
        <v>43496</v>
      </c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x14ac:dyDescent="0.25">
      <c r="A12" t="s">
        <v>6</v>
      </c>
      <c r="C12" s="124">
        <v>0</v>
      </c>
      <c r="D12" s="136">
        <f t="shared" ref="D12:H12" si="3">+D23+D24</f>
        <v>0</v>
      </c>
      <c r="E12" s="136">
        <f t="shared" si="3"/>
        <v>0</v>
      </c>
      <c r="F12" s="137">
        <f t="shared" si="3"/>
        <v>0</v>
      </c>
      <c r="G12" s="16">
        <f t="shared" si="3"/>
        <v>0</v>
      </c>
      <c r="H12" s="70">
        <f t="shared" si="3"/>
        <v>0</v>
      </c>
      <c r="I12" s="72">
        <f>+I23+I24</f>
        <v>0</v>
      </c>
      <c r="J12" s="186">
        <f t="shared" ref="J12:K12" si="4">+J23+J24</f>
        <v>0</v>
      </c>
      <c r="K12" s="97">
        <f t="shared" si="4"/>
        <v>0</v>
      </c>
      <c r="L12" s="98"/>
    </row>
    <row r="13" spans="1:34" x14ac:dyDescent="0.25">
      <c r="C13" s="126"/>
      <c r="D13" s="17"/>
      <c r="E13" s="17"/>
      <c r="F13" s="17"/>
      <c r="G13" s="10"/>
      <c r="H13" s="17"/>
      <c r="I13" s="17"/>
      <c r="J13" s="41"/>
      <c r="K13" s="44"/>
      <c r="L13" s="42"/>
    </row>
    <row r="14" spans="1:34" x14ac:dyDescent="0.25">
      <c r="A14" t="s">
        <v>17</v>
      </c>
      <c r="C14" s="126"/>
      <c r="D14" s="18"/>
      <c r="E14" s="18"/>
      <c r="F14" s="18"/>
      <c r="G14" s="118"/>
      <c r="H14" s="18"/>
      <c r="I14" s="18"/>
      <c r="J14" s="41"/>
      <c r="K14" s="44"/>
      <c r="L14" s="42"/>
      <c r="M14" s="3" t="s">
        <v>93</v>
      </c>
      <c r="N14" s="52"/>
    </row>
    <row r="15" spans="1:34" x14ac:dyDescent="0.25">
      <c r="A15" t="s">
        <v>29</v>
      </c>
      <c r="C15" s="124">
        <v>114662.52</v>
      </c>
      <c r="D15" s="166">
        <f>ROUND('[3]May 2018 Combined'!H18,2)</f>
        <v>-32117.11</v>
      </c>
      <c r="E15" s="166">
        <f>ROUND('[3]June 2018 Combined'!G18,2)</f>
        <v>-47187.42</v>
      </c>
      <c r="F15" s="223">
        <f>ROUND('[3]July 2018 Combined'!F18,2)</f>
        <v>-56578.400000000001</v>
      </c>
      <c r="G15" s="16">
        <f>ROUND('[3]August 2018 Combined'!F18,2)</f>
        <v>38.99</v>
      </c>
      <c r="H15" s="148">
        <f>ROUND('[3]September 2018 Combined'!F18,2)</f>
        <v>-17.84</v>
      </c>
      <c r="I15" s="210">
        <f>ROUND('[3]October 2018 Combined'!F18,2)</f>
        <v>-1.54</v>
      </c>
      <c r="J15" s="187">
        <f>'PCR Cycle 1'!J21*'TDR Cycle 1'!$M15</f>
        <v>0</v>
      </c>
      <c r="K15" s="175">
        <f>'PCR Cycle 1'!K21*'TDR Cycle 1'!$M15</f>
        <v>0</v>
      </c>
      <c r="L15" s="102">
        <f>'PCR Cycle 1'!L21*'TDR Cycle 1'!$M15</f>
        <v>0</v>
      </c>
      <c r="M15" s="88">
        <v>0</v>
      </c>
      <c r="N15" s="4"/>
    </row>
    <row r="16" spans="1:34" x14ac:dyDescent="0.25">
      <c r="A16" t="s">
        <v>30</v>
      </c>
      <c r="C16" s="124">
        <v>-150641.66</v>
      </c>
      <c r="D16" s="166">
        <f>ROUND('[3]May 2018 Combined'!H19,2)</f>
        <v>49553.83</v>
      </c>
      <c r="E16" s="166">
        <f>ROUND('[3]June 2018 Combined'!G19,2)</f>
        <v>53804.66</v>
      </c>
      <c r="F16" s="223">
        <f>ROUND('[3]July 2018 Combined'!F19,2)</f>
        <v>58289.35</v>
      </c>
      <c r="G16" s="16">
        <f>ROUND('[3]August 2018 Combined'!F19,2)</f>
        <v>825.85</v>
      </c>
      <c r="H16" s="148">
        <f>ROUND('[3]September 2018 Combined'!F19,2)</f>
        <v>-94.52</v>
      </c>
      <c r="I16" s="210">
        <f>ROUND('[3]October 2018 Combined'!F19,2)</f>
        <v>-3.78</v>
      </c>
      <c r="J16" s="187">
        <f>'PCR Cycle 1'!J22*'TDR Cycle 1'!$M16</f>
        <v>0</v>
      </c>
      <c r="K16" s="175">
        <f>'PCR Cycle 1'!K22*'TDR Cycle 1'!$M16</f>
        <v>0</v>
      </c>
      <c r="L16" s="102">
        <f>'PCR Cycle 1'!L22*'TDR Cycle 1'!$M16</f>
        <v>0</v>
      </c>
      <c r="M16" s="88">
        <v>0</v>
      </c>
      <c r="N16" s="4"/>
    </row>
    <row r="17" spans="1:14" x14ac:dyDescent="0.25">
      <c r="C17" s="83"/>
      <c r="D17" s="84"/>
      <c r="E17" s="84"/>
      <c r="F17" s="84"/>
      <c r="G17" s="83"/>
      <c r="H17" s="84"/>
      <c r="I17" s="84"/>
      <c r="J17" s="12"/>
      <c r="K17" s="71"/>
      <c r="L17" s="13"/>
      <c r="N17" s="4"/>
    </row>
    <row r="18" spans="1:14" x14ac:dyDescent="0.25">
      <c r="A18" s="52" t="s">
        <v>36</v>
      </c>
      <c r="B18" s="52"/>
      <c r="C18" s="83"/>
      <c r="D18" s="71"/>
      <c r="E18" s="71"/>
      <c r="F18" s="71"/>
      <c r="G18" s="12"/>
      <c r="H18" s="71"/>
      <c r="I18" s="111"/>
      <c r="J18" s="12"/>
      <c r="K18" s="71"/>
      <c r="L18" s="13"/>
      <c r="M18" s="7"/>
      <c r="N18" s="61"/>
    </row>
    <row r="19" spans="1:14" x14ac:dyDescent="0.25">
      <c r="A19" s="61" t="s">
        <v>29</v>
      </c>
      <c r="C19" s="129">
        <v>0</v>
      </c>
      <c r="D19" s="138">
        <v>0</v>
      </c>
      <c r="E19" s="138">
        <v>0</v>
      </c>
      <c r="F19" s="152">
        <v>0</v>
      </c>
      <c r="G19" s="92">
        <v>0</v>
      </c>
      <c r="H19" s="93">
        <v>0</v>
      </c>
      <c r="I19" s="207">
        <v>0</v>
      </c>
      <c r="J19" s="188">
        <v>0</v>
      </c>
      <c r="K19" s="176">
        <v>0</v>
      </c>
      <c r="L19" s="99"/>
      <c r="M19" s="75">
        <f>SUM(C19:K19)</f>
        <v>0</v>
      </c>
      <c r="N19" s="61"/>
    </row>
    <row r="20" spans="1:14" x14ac:dyDescent="0.25">
      <c r="A20" t="s">
        <v>30</v>
      </c>
      <c r="C20" s="129">
        <v>0</v>
      </c>
      <c r="D20" s="138">
        <v>0</v>
      </c>
      <c r="E20" s="138">
        <v>0</v>
      </c>
      <c r="F20" s="152">
        <v>0</v>
      </c>
      <c r="G20" s="92">
        <v>0</v>
      </c>
      <c r="H20" s="93">
        <v>0</v>
      </c>
      <c r="I20" s="207">
        <v>0</v>
      </c>
      <c r="J20" s="188">
        <v>0</v>
      </c>
      <c r="K20" s="176">
        <v>0</v>
      </c>
      <c r="L20" s="99"/>
      <c r="M20" s="75">
        <f>SUM(C20:K20)</f>
        <v>0</v>
      </c>
      <c r="N20" s="61"/>
    </row>
    <row r="21" spans="1:14" s="61" customFormat="1" x14ac:dyDescent="0.25">
      <c r="C21" s="83"/>
      <c r="D21" s="84"/>
      <c r="E21" s="84"/>
      <c r="F21" s="84"/>
      <c r="G21" s="83"/>
      <c r="H21" s="84"/>
      <c r="I21" s="84"/>
      <c r="J21" s="12"/>
      <c r="K21" s="71"/>
      <c r="L21" s="13"/>
    </row>
    <row r="22" spans="1:14" x14ac:dyDescent="0.25">
      <c r="A22" s="61" t="s">
        <v>89</v>
      </c>
      <c r="C22" s="49"/>
      <c r="D22" s="50"/>
      <c r="E22" s="50"/>
      <c r="F22" s="50"/>
      <c r="G22" s="49"/>
      <c r="H22" s="50"/>
      <c r="I22" s="50"/>
      <c r="J22" s="189"/>
      <c r="K22" s="67"/>
      <c r="L22" s="51"/>
      <c r="M22" s="61"/>
      <c r="N22" s="61"/>
    </row>
    <row r="23" spans="1:14" x14ac:dyDescent="0.25">
      <c r="A23" s="61" t="s">
        <v>29</v>
      </c>
      <c r="C23" s="124">
        <v>0</v>
      </c>
      <c r="D23" s="136">
        <v>0</v>
      </c>
      <c r="E23" s="136">
        <v>0</v>
      </c>
      <c r="F23" s="137">
        <v>0</v>
      </c>
      <c r="G23" s="16">
        <v>0</v>
      </c>
      <c r="H23" s="70">
        <v>0</v>
      </c>
      <c r="I23" s="72">
        <v>0</v>
      </c>
      <c r="J23" s="190">
        <v>0</v>
      </c>
      <c r="K23" s="174">
        <v>0</v>
      </c>
      <c r="L23" s="98"/>
    </row>
    <row r="24" spans="1:14" x14ac:dyDescent="0.25">
      <c r="A24" s="61" t="s">
        <v>30</v>
      </c>
      <c r="C24" s="124">
        <v>0</v>
      </c>
      <c r="D24" s="136">
        <v>0</v>
      </c>
      <c r="E24" s="136">
        <v>0</v>
      </c>
      <c r="F24" s="137">
        <v>0</v>
      </c>
      <c r="G24" s="16">
        <v>0</v>
      </c>
      <c r="H24" s="70">
        <v>0</v>
      </c>
      <c r="I24" s="72">
        <v>0</v>
      </c>
      <c r="J24" s="190">
        <v>0</v>
      </c>
      <c r="K24" s="174">
        <v>0</v>
      </c>
      <c r="L24" s="98"/>
      <c r="N24" s="62"/>
    </row>
    <row r="25" spans="1:14" s="61" customFormat="1" x14ac:dyDescent="0.25">
      <c r="C25" s="126"/>
      <c r="D25" s="18"/>
      <c r="E25" s="18"/>
      <c r="F25" s="18"/>
      <c r="G25" s="118"/>
      <c r="H25" s="18"/>
      <c r="I25" s="18"/>
      <c r="J25" s="12"/>
      <c r="K25" s="71"/>
      <c r="L25" s="13"/>
    </row>
    <row r="26" spans="1:14" ht="15.75" thickBot="1" x14ac:dyDescent="0.3">
      <c r="A26" s="3" t="s">
        <v>18</v>
      </c>
      <c r="B26" s="3"/>
      <c r="C26" s="130">
        <v>-1232.3499999999999</v>
      </c>
      <c r="D26" s="166">
        <v>630.58000000000004</v>
      </c>
      <c r="E26" s="166">
        <v>606.88</v>
      </c>
      <c r="F26" s="167">
        <v>598.68000000000006</v>
      </c>
      <c r="G26" s="39">
        <v>596.14</v>
      </c>
      <c r="H26" s="149">
        <v>595.39</v>
      </c>
      <c r="I26" s="211">
        <v>595.5</v>
      </c>
      <c r="J26" s="191">
        <v>595.52</v>
      </c>
      <c r="K26" s="177">
        <v>595.52</v>
      </c>
      <c r="L26" s="101"/>
    </row>
    <row r="27" spans="1:14" x14ac:dyDescent="0.25">
      <c r="C27" s="80"/>
      <c r="D27" s="82"/>
      <c r="E27" s="82"/>
      <c r="F27" s="46"/>
      <c r="G27" s="80"/>
      <c r="H27" s="46"/>
      <c r="I27" s="46"/>
      <c r="J27" s="192"/>
      <c r="K27" s="47"/>
      <c r="L27" s="76"/>
    </row>
    <row r="28" spans="1:14" x14ac:dyDescent="0.25">
      <c r="A28" t="s">
        <v>68</v>
      </c>
      <c r="C28" s="81"/>
      <c r="D28" s="48"/>
      <c r="E28" s="48"/>
      <c r="F28" s="48"/>
      <c r="G28" s="81"/>
      <c r="H28" s="48"/>
      <c r="I28" s="48"/>
      <c r="J28" s="192"/>
      <c r="K28" s="47"/>
      <c r="L28" s="76"/>
    </row>
    <row r="29" spans="1:14" x14ac:dyDescent="0.25">
      <c r="A29" s="61" t="s">
        <v>29</v>
      </c>
      <c r="C29" s="127">
        <f t="shared" ref="C29:C30" si="5">C23-C15</f>
        <v>-114662.52</v>
      </c>
      <c r="D29" s="54">
        <f t="shared" ref="D29:I30" si="6">D23-D15</f>
        <v>32117.11</v>
      </c>
      <c r="E29" s="54">
        <f t="shared" si="6"/>
        <v>47187.42</v>
      </c>
      <c r="F29" s="135">
        <f t="shared" ref="F29:H29" si="7">F23-F15</f>
        <v>56578.400000000001</v>
      </c>
      <c r="G29" s="53">
        <f t="shared" si="7"/>
        <v>-38.99</v>
      </c>
      <c r="H29" s="54">
        <f t="shared" si="7"/>
        <v>17.84</v>
      </c>
      <c r="I29" s="135">
        <f t="shared" si="6"/>
        <v>1.54</v>
      </c>
      <c r="J29" s="53">
        <f t="shared" ref="J29:K29" si="8">J23-J15</f>
        <v>0</v>
      </c>
      <c r="K29" s="54">
        <f t="shared" si="8"/>
        <v>0</v>
      </c>
      <c r="L29" s="77">
        <f t="shared" ref="L29" si="9">L23-L15</f>
        <v>0</v>
      </c>
    </row>
    <row r="30" spans="1:14" x14ac:dyDescent="0.25">
      <c r="A30" t="s">
        <v>30</v>
      </c>
      <c r="C30" s="127">
        <f t="shared" si="5"/>
        <v>150641.66</v>
      </c>
      <c r="D30" s="54">
        <f t="shared" si="6"/>
        <v>-49553.83</v>
      </c>
      <c r="E30" s="54">
        <f t="shared" si="6"/>
        <v>-53804.66</v>
      </c>
      <c r="F30" s="135">
        <f t="shared" ref="F30:H30" si="10">F24-F16</f>
        <v>-58289.35</v>
      </c>
      <c r="G30" s="53">
        <f t="shared" si="10"/>
        <v>-825.85</v>
      </c>
      <c r="H30" s="54">
        <f t="shared" si="10"/>
        <v>94.52</v>
      </c>
      <c r="I30" s="135">
        <f t="shared" si="6"/>
        <v>3.78</v>
      </c>
      <c r="J30" s="53">
        <f t="shared" ref="J30:K30" si="11">J24-J16</f>
        <v>0</v>
      </c>
      <c r="K30" s="54">
        <f t="shared" si="11"/>
        <v>0</v>
      </c>
      <c r="L30" s="77">
        <f t="shared" ref="L30" si="12">L24-L16</f>
        <v>0</v>
      </c>
    </row>
    <row r="31" spans="1:14" x14ac:dyDescent="0.25">
      <c r="C31" s="126"/>
      <c r="D31" s="17"/>
      <c r="E31" s="17"/>
      <c r="F31" s="17"/>
      <c r="G31" s="10"/>
      <c r="H31" s="17"/>
      <c r="I31" s="17"/>
      <c r="J31" s="10"/>
      <c r="K31" s="17"/>
      <c r="L31" s="11"/>
    </row>
    <row r="32" spans="1:14" ht="15.75" thickBot="1" x14ac:dyDescent="0.3">
      <c r="A32" t="s">
        <v>69</v>
      </c>
      <c r="C32" s="126"/>
      <c r="D32" s="17"/>
      <c r="E32" s="17"/>
      <c r="F32" s="17"/>
      <c r="G32" s="10"/>
      <c r="H32" s="17"/>
      <c r="I32" s="17"/>
      <c r="J32" s="10"/>
      <c r="K32" s="17"/>
      <c r="L32" s="11"/>
    </row>
    <row r="33" spans="1:35" x14ac:dyDescent="0.25">
      <c r="A33" s="61" t="s">
        <v>29</v>
      </c>
      <c r="B33" s="143">
        <v>165476</v>
      </c>
      <c r="C33" s="127">
        <f>B33+C29</f>
        <v>50813.479999999996</v>
      </c>
      <c r="D33" s="54">
        <f t="shared" ref="D33:L33" si="13">C33+D29</f>
        <v>82930.59</v>
      </c>
      <c r="E33" s="54">
        <f t="shared" si="13"/>
        <v>130118.01</v>
      </c>
      <c r="F33" s="135">
        <f t="shared" si="13"/>
        <v>186696.41</v>
      </c>
      <c r="G33" s="53">
        <f t="shared" si="13"/>
        <v>186657.42</v>
      </c>
      <c r="H33" s="54">
        <f t="shared" si="13"/>
        <v>186675.26</v>
      </c>
      <c r="I33" s="135">
        <f t="shared" si="13"/>
        <v>186676.80000000002</v>
      </c>
      <c r="J33" s="53">
        <f t="shared" si="13"/>
        <v>186676.80000000002</v>
      </c>
      <c r="K33" s="54">
        <f t="shared" si="13"/>
        <v>186676.80000000002</v>
      </c>
      <c r="L33" s="77">
        <f t="shared" si="13"/>
        <v>186676.80000000002</v>
      </c>
    </row>
    <row r="34" spans="1:35" ht="15.75" thickBot="1" x14ac:dyDescent="0.3">
      <c r="A34" t="s">
        <v>30</v>
      </c>
      <c r="B34" s="144">
        <v>127255.6</v>
      </c>
      <c r="C34" s="127">
        <f>B34+C30</f>
        <v>277897.26</v>
      </c>
      <c r="D34" s="54">
        <f t="shared" ref="D34:L34" si="14">C34+D30</f>
        <v>228343.43</v>
      </c>
      <c r="E34" s="54">
        <f t="shared" si="14"/>
        <v>174538.77</v>
      </c>
      <c r="F34" s="135">
        <f t="shared" si="14"/>
        <v>116249.41999999998</v>
      </c>
      <c r="G34" s="53">
        <f t="shared" si="14"/>
        <v>115423.56999999998</v>
      </c>
      <c r="H34" s="54">
        <f t="shared" si="14"/>
        <v>115518.08999999998</v>
      </c>
      <c r="I34" s="135">
        <f t="shared" si="14"/>
        <v>115521.86999999998</v>
      </c>
      <c r="J34" s="53">
        <f t="shared" si="14"/>
        <v>115521.86999999998</v>
      </c>
      <c r="K34" s="54">
        <f t="shared" si="14"/>
        <v>115521.86999999998</v>
      </c>
      <c r="L34" s="77">
        <f t="shared" si="14"/>
        <v>115521.86999999998</v>
      </c>
    </row>
    <row r="35" spans="1:35" x14ac:dyDescent="0.25">
      <c r="C35" s="126"/>
      <c r="D35" s="17"/>
      <c r="E35" s="17"/>
      <c r="F35" s="17"/>
      <c r="G35" s="10"/>
      <c r="H35" s="17"/>
      <c r="I35" s="17"/>
      <c r="J35" s="10"/>
      <c r="K35" s="17"/>
      <c r="L35" s="11"/>
    </row>
    <row r="36" spans="1:35" x14ac:dyDescent="0.25">
      <c r="A36" s="52" t="s">
        <v>91</v>
      </c>
      <c r="B36" s="52"/>
      <c r="C36" s="131"/>
      <c r="D36" s="201">
        <f>+'[6]GMO May thru Oct 2018'!$F$33</f>
        <v>1.9706129475639913E-3</v>
      </c>
      <c r="E36" s="201">
        <f>+'[6]GMO May thru Oct 2018'!$F$33</f>
        <v>1.9706129475639913E-3</v>
      </c>
      <c r="F36" s="201">
        <f>+'[6]GMO May thru Oct 2018'!$F$33</f>
        <v>1.9706129475639913E-3</v>
      </c>
      <c r="G36" s="202">
        <f>+'[6]GMO May thru Oct 2018'!$F$33</f>
        <v>1.9706129475639913E-3</v>
      </c>
      <c r="H36" s="201">
        <f>+'[6]GMO May thru Oct 2018'!$F$33</f>
        <v>1.9706129475639913E-3</v>
      </c>
      <c r="I36" s="201">
        <f>+'[6]GMO May thru Oct 2018'!$F$33</f>
        <v>1.9706129475639913E-3</v>
      </c>
      <c r="J36" s="105">
        <f>+I36</f>
        <v>1.9706129475639913E-3</v>
      </c>
      <c r="K36" s="103">
        <f>+J36</f>
        <v>1.9706129475639913E-3</v>
      </c>
      <c r="L36" s="106"/>
    </row>
    <row r="37" spans="1:35" s="61" customFormat="1" ht="15.75" thickBot="1" x14ac:dyDescent="0.3">
      <c r="A37" s="52" t="s">
        <v>113</v>
      </c>
      <c r="B37" s="52"/>
      <c r="C37" s="133"/>
      <c r="D37" s="103"/>
      <c r="E37" s="103"/>
      <c r="F37" s="103"/>
      <c r="G37" s="105"/>
      <c r="H37" s="103"/>
      <c r="I37" s="103"/>
      <c r="J37" s="105"/>
      <c r="K37" s="103"/>
      <c r="L37" s="106"/>
    </row>
    <row r="38" spans="1:35" x14ac:dyDescent="0.25">
      <c r="A38" s="61" t="s">
        <v>29</v>
      </c>
      <c r="B38" s="143">
        <v>-166585.95000000007</v>
      </c>
      <c r="C38" s="127">
        <v>-322.14999999999998</v>
      </c>
      <c r="D38" s="54">
        <f t="shared" ref="D38:D39" si="15">ROUND((C33+D29/2)*D$36,2)</f>
        <v>131.78</v>
      </c>
      <c r="E38" s="54">
        <f t="shared" ref="E38:E39" si="16">ROUND((D33+E29/2)*E$36,2)</f>
        <v>209.92</v>
      </c>
      <c r="F38" s="135">
        <f t="shared" ref="F38:F39" si="17">ROUND((E33+F29/2)*F$36,2)</f>
        <v>312.16000000000003</v>
      </c>
      <c r="G38" s="53">
        <f t="shared" ref="G38:G39" si="18">ROUND((F33+G29/2)*G$36,2)</f>
        <v>367.87</v>
      </c>
      <c r="H38" s="150">
        <f t="shared" ref="H38:I39" si="19">ROUND((G33+H29/2)*H$36,2)</f>
        <v>367.85</v>
      </c>
      <c r="I38" s="209">
        <f t="shared" si="19"/>
        <v>367.87</v>
      </c>
      <c r="J38" s="183">
        <f t="shared" ref="J38:L38" si="20">ROUND((I33+J29/2)*J$36,2)</f>
        <v>367.87</v>
      </c>
      <c r="K38" s="135">
        <f t="shared" si="20"/>
        <v>367.87</v>
      </c>
      <c r="L38" s="77">
        <f t="shared" si="20"/>
        <v>0</v>
      </c>
      <c r="M38" s="195">
        <f>SUM(B38:L38)</f>
        <v>-164414.91000000006</v>
      </c>
    </row>
    <row r="39" spans="1:35" ht="15.75" thickBot="1" x14ac:dyDescent="0.3">
      <c r="A39" t="s">
        <v>30</v>
      </c>
      <c r="B39" s="144">
        <v>-127870.28000000006</v>
      </c>
      <c r="C39" s="127">
        <v>-910.2</v>
      </c>
      <c r="D39" s="54">
        <f t="shared" si="15"/>
        <v>498.8</v>
      </c>
      <c r="E39" s="54">
        <f t="shared" si="16"/>
        <v>396.96</v>
      </c>
      <c r="F39" s="135">
        <f t="shared" si="17"/>
        <v>286.52</v>
      </c>
      <c r="G39" s="53">
        <f t="shared" si="18"/>
        <v>228.27</v>
      </c>
      <c r="H39" s="150">
        <f t="shared" si="19"/>
        <v>227.55</v>
      </c>
      <c r="I39" s="209">
        <f t="shared" si="19"/>
        <v>227.65</v>
      </c>
      <c r="J39" s="183">
        <f t="shared" ref="J39:L39" si="21">ROUND((I34+J30/2)*J$36,2)</f>
        <v>227.65</v>
      </c>
      <c r="K39" s="135">
        <f t="shared" si="21"/>
        <v>227.65</v>
      </c>
      <c r="L39" s="77">
        <f t="shared" si="21"/>
        <v>0</v>
      </c>
      <c r="M39" s="195">
        <f>SUM(B39:L39)</f>
        <v>-126459.43000000005</v>
      </c>
    </row>
    <row r="40" spans="1:35" ht="16.5" thickTop="1" thickBot="1" x14ac:dyDescent="0.3">
      <c r="A40" s="69" t="s">
        <v>25</v>
      </c>
      <c r="B40" s="69"/>
      <c r="C40" s="134">
        <v>0</v>
      </c>
      <c r="D40" s="55">
        <f>SUM($B38:D39)+SUM(D33:D34)-D43</f>
        <v>5.0931703299283981E-11</v>
      </c>
      <c r="E40" s="55">
        <f>SUM($B38:E39)+SUM(E33:E34)-E43</f>
        <v>0</v>
      </c>
      <c r="F40" s="65">
        <f>SUM($B38:F39)+SUM(F33:F34)-F43</f>
        <v>0</v>
      </c>
      <c r="G40" s="185">
        <f>SUM($B38:G39)+SUM(G33:G34)-G43</f>
        <v>3.637978807091713E-11</v>
      </c>
      <c r="H40" s="65">
        <f>SUM($B38:H39)+SUM(H33:H34)-H43</f>
        <v>4.5474735088646412E-11</v>
      </c>
      <c r="I40" s="65">
        <f>SUM($B38:I39)+SUM(I33:I34)-I43</f>
        <v>7.0940586738288403E-11</v>
      </c>
      <c r="J40" s="193">
        <f>SUM($B38:J39)+SUM(J33:J34)-J43</f>
        <v>8.9130480773746967E-11</v>
      </c>
      <c r="K40" s="65">
        <f>SUM($B38:K39)+SUM(K33:K34)-K43</f>
        <v>1.0732037480920553E-10</v>
      </c>
      <c r="L40" s="78">
        <f>SUM($B38:L39)+SUM(L33:L34)-L43</f>
        <v>1.0732037480920553E-10</v>
      </c>
    </row>
    <row r="41" spans="1:35" s="61" customFormat="1" ht="16.5" thickTop="1" thickBot="1" x14ac:dyDescent="0.3">
      <c r="A41" s="69" t="s">
        <v>26</v>
      </c>
      <c r="B41" s="69"/>
      <c r="C41" s="134">
        <v>0</v>
      </c>
      <c r="D41" s="55">
        <f t="shared" ref="D41:I41" si="22">SUM(D38:D39)-D26</f>
        <v>0</v>
      </c>
      <c r="E41" s="55">
        <f t="shared" si="22"/>
        <v>0</v>
      </c>
      <c r="F41" s="65">
        <f t="shared" ref="F41:H41" si="23">SUM(F38:F39)-F26</f>
        <v>0</v>
      </c>
      <c r="G41" s="185">
        <f t="shared" si="23"/>
        <v>0</v>
      </c>
      <c r="H41" s="65">
        <f t="shared" si="23"/>
        <v>1.0000000000104592E-2</v>
      </c>
      <c r="I41" s="65">
        <f t="shared" si="22"/>
        <v>1.999999999998181E-2</v>
      </c>
      <c r="J41" s="66">
        <f t="shared" ref="J41:L41" si="24">SUM(J38:J39)-J26</f>
        <v>0</v>
      </c>
      <c r="K41" s="55">
        <f t="shared" si="24"/>
        <v>0</v>
      </c>
      <c r="L41" s="55">
        <f t="shared" si="24"/>
        <v>0</v>
      </c>
    </row>
    <row r="42" spans="1:35" ht="16.5" thickTop="1" thickBot="1" x14ac:dyDescent="0.3">
      <c r="C42" s="126"/>
      <c r="D42" s="17"/>
      <c r="E42" s="17"/>
      <c r="F42" s="17"/>
      <c r="G42" s="10"/>
      <c r="H42" s="17"/>
      <c r="I42" s="17"/>
      <c r="J42" s="10"/>
      <c r="K42" s="17"/>
      <c r="L42" s="11"/>
    </row>
    <row r="43" spans="1:35" ht="15.75" thickBot="1" x14ac:dyDescent="0.3">
      <c r="A43" t="s">
        <v>42</v>
      </c>
      <c r="B43" s="146">
        <f>SUM(B33:B34,B38:B39)</f>
        <v>-1724.6300000001502</v>
      </c>
      <c r="C43" s="127">
        <f t="shared" ref="C43" si="25">(C12-SUM(C15:C16))+SUM(C38:C39)+B43</f>
        <v>33022.159999999851</v>
      </c>
      <c r="D43" s="54">
        <f t="shared" ref="D43:I43" si="26">(D12-SUM(D15:D16))+SUM(D38:D39)+C43</f>
        <v>16216.019999999851</v>
      </c>
      <c r="E43" s="54">
        <f t="shared" si="26"/>
        <v>10205.659999999847</v>
      </c>
      <c r="F43" s="135">
        <f t="shared" si="26"/>
        <v>9093.3899999998503</v>
      </c>
      <c r="G43" s="53">
        <f t="shared" si="26"/>
        <v>8824.6899999998495</v>
      </c>
      <c r="H43" s="54">
        <f t="shared" si="26"/>
        <v>9532.4499999998498</v>
      </c>
      <c r="I43" s="135">
        <f t="shared" si="26"/>
        <v>10133.28999999985</v>
      </c>
      <c r="J43" s="183">
        <f t="shared" ref="J43" si="27">(J12-SUM(J15:J16))+SUM(J38:J39)+I43</f>
        <v>10728.80999999985</v>
      </c>
      <c r="K43" s="135">
        <f t="shared" ref="K43" si="28">(K12-SUM(K15:K16))+SUM(K38:K39)+J43</f>
        <v>11324.329999999851</v>
      </c>
      <c r="L43" s="77">
        <f t="shared" ref="L43" si="29">(L12-SUM(L15:L16))+SUM(L38:L39)+K43</f>
        <v>11324.329999999851</v>
      </c>
    </row>
    <row r="44" spans="1:35" x14ac:dyDescent="0.25">
      <c r="A44" t="s">
        <v>14</v>
      </c>
      <c r="C44" s="147"/>
      <c r="D44" s="17"/>
      <c r="E44" s="226"/>
      <c r="F44" s="17"/>
      <c r="G44" s="10"/>
      <c r="H44" s="17"/>
      <c r="I44" s="226"/>
      <c r="J44" s="10"/>
      <c r="K44" s="17"/>
      <c r="L44" s="11"/>
    </row>
    <row r="45" spans="1:35" ht="15.75" thickBot="1" x14ac:dyDescent="0.3">
      <c r="A45" s="50"/>
      <c r="B45" s="50"/>
      <c r="C45" s="194"/>
      <c r="D45" s="57"/>
      <c r="E45" s="57"/>
      <c r="F45" s="57"/>
      <c r="G45" s="56"/>
      <c r="H45" s="57"/>
      <c r="I45" s="57"/>
      <c r="J45" s="56"/>
      <c r="K45" s="57"/>
      <c r="L45" s="58"/>
    </row>
    <row r="46" spans="1:35" x14ac:dyDescent="0.25">
      <c r="A46" s="61"/>
      <c r="D46" s="61"/>
      <c r="E46" s="61"/>
      <c r="I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</row>
    <row r="47" spans="1:35" x14ac:dyDescent="0.25">
      <c r="A47" s="85" t="s">
        <v>13</v>
      </c>
      <c r="B47" s="85"/>
      <c r="C47" s="85"/>
      <c r="D47" s="61"/>
      <c r="E47" s="61"/>
      <c r="I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</row>
    <row r="48" spans="1:35" ht="23.25" customHeight="1" outlineLevel="1" x14ac:dyDescent="0.25">
      <c r="A48" s="241" t="s">
        <v>114</v>
      </c>
      <c r="B48" s="241"/>
      <c r="C48" s="241"/>
      <c r="D48" s="241"/>
      <c r="E48" s="241"/>
      <c r="F48" s="241"/>
      <c r="G48" s="241"/>
      <c r="H48" s="241"/>
      <c r="I48" s="241"/>
      <c r="J48" s="170"/>
      <c r="K48" s="170"/>
      <c r="L48" s="117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</row>
    <row r="49" spans="1:35" ht="43.5" customHeight="1" outlineLevel="1" x14ac:dyDescent="0.25">
      <c r="A49" s="242" t="s">
        <v>136</v>
      </c>
      <c r="B49" s="242"/>
      <c r="C49" s="242"/>
      <c r="D49" s="242"/>
      <c r="E49" s="242"/>
      <c r="F49" s="242"/>
      <c r="G49" s="242"/>
      <c r="H49" s="242"/>
      <c r="I49" s="242"/>
      <c r="J49" s="170"/>
      <c r="K49" s="170"/>
      <c r="L49" s="117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</row>
    <row r="50" spans="1:35" ht="29.25" customHeight="1" outlineLevel="1" x14ac:dyDescent="0.25">
      <c r="A50" s="241" t="s">
        <v>137</v>
      </c>
      <c r="B50" s="241"/>
      <c r="C50" s="241"/>
      <c r="D50" s="241"/>
      <c r="E50" s="241"/>
      <c r="F50" s="241"/>
      <c r="G50" s="241"/>
      <c r="H50" s="241"/>
      <c r="I50" s="241"/>
      <c r="J50" s="170"/>
      <c r="K50" s="170"/>
      <c r="L50" s="117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</row>
    <row r="51" spans="1:35" outlineLevel="1" x14ac:dyDescent="0.25">
      <c r="A51" s="3" t="s">
        <v>90</v>
      </c>
      <c r="B51" s="3"/>
      <c r="C51" s="3"/>
      <c r="D51" s="61"/>
      <c r="E51" s="61"/>
      <c r="I51" s="61"/>
    </row>
    <row r="52" spans="1:35" outlineLevel="1" x14ac:dyDescent="0.25">
      <c r="A52" s="79" t="s">
        <v>138</v>
      </c>
      <c r="B52" s="3"/>
      <c r="C52" s="3"/>
      <c r="D52" s="61"/>
      <c r="E52" s="61"/>
      <c r="I52" s="61"/>
    </row>
    <row r="53" spans="1:35" outlineLevel="1" x14ac:dyDescent="0.25">
      <c r="A53" s="3" t="s">
        <v>92</v>
      </c>
      <c r="B53" s="3"/>
      <c r="C53" s="3"/>
      <c r="D53" s="61"/>
      <c r="E53" s="61"/>
      <c r="I53" s="61"/>
    </row>
    <row r="54" spans="1:35" outlineLevel="1" x14ac:dyDescent="0.25">
      <c r="A54" s="3"/>
      <c r="B54" s="3"/>
      <c r="C54" s="3"/>
    </row>
    <row r="55" spans="1:35" ht="36" customHeight="1" x14ac:dyDescent="0.25">
      <c r="A55" s="240"/>
      <c r="B55" s="240"/>
      <c r="C55" s="240"/>
      <c r="D55" s="240"/>
      <c r="E55" s="240"/>
      <c r="F55" s="240"/>
      <c r="G55" s="240"/>
      <c r="H55" s="240"/>
      <c r="I55" s="240"/>
      <c r="J55" s="240"/>
      <c r="K55" s="240"/>
      <c r="L55" s="240"/>
    </row>
  </sheetData>
  <mergeCells count="7">
    <mergeCell ref="A55:L55"/>
    <mergeCell ref="A48:I48"/>
    <mergeCell ref="A49:I49"/>
    <mergeCell ref="A50:I50"/>
    <mergeCell ref="D10:F10"/>
    <mergeCell ref="G10:I10"/>
    <mergeCell ref="J10:L10"/>
  </mergeCells>
  <pageMargins left="0.2" right="0.2" top="0.75" bottom="0.25" header="0.3" footer="0.3"/>
  <pageSetup scale="55" orientation="landscape" r:id="rId1"/>
  <headerFooter>
    <oddHeader>&amp;C&amp;F &amp;A</oddHeader>
    <oddFooter>&amp;R&amp;1#&amp;"Calibri"&amp;10 Public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7"/>
  <sheetViews>
    <sheetView zoomScaleNormal="100" workbookViewId="0">
      <pane xSplit="1" ySplit="2" topLeftCell="B39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5.28515625" style="61" customWidth="1"/>
    <col min="2" max="2" width="13.28515625" style="61" customWidth="1"/>
    <col min="3" max="3" width="14.85546875" style="61" customWidth="1"/>
    <col min="4" max="4" width="15.42578125" style="61" customWidth="1"/>
    <col min="5" max="5" width="15.85546875" style="61" customWidth="1"/>
    <col min="6" max="6" width="12.28515625" style="61" customWidth="1"/>
    <col min="7" max="8" width="13.28515625" style="61" customWidth="1"/>
    <col min="9" max="9" width="11.28515625" style="61" bestFit="1" customWidth="1"/>
    <col min="10" max="10" width="12.7109375" style="61" customWidth="1"/>
    <col min="11" max="11" width="11.5703125" style="61" bestFit="1" customWidth="1"/>
    <col min="12" max="12" width="16" style="61" customWidth="1"/>
    <col min="13" max="13" width="15" style="61" bestFit="1" customWidth="1"/>
    <col min="14" max="14" width="16" style="61" bestFit="1" customWidth="1"/>
    <col min="15" max="15" width="15.28515625" style="61" bestFit="1" customWidth="1"/>
    <col min="16" max="16" width="17.42578125" style="61" bestFit="1" customWidth="1"/>
    <col min="17" max="17" width="16.28515625" style="61" bestFit="1" customWidth="1"/>
    <col min="18" max="18" width="15.28515625" style="61" bestFit="1" customWidth="1"/>
    <col min="19" max="19" width="12.42578125" style="61" customWidth="1"/>
    <col min="20" max="21" width="14.28515625" style="61" bestFit="1" customWidth="1"/>
    <col min="22" max="16384" width="9.140625" style="61"/>
  </cols>
  <sheetData>
    <row r="1" spans="1:34" x14ac:dyDescent="0.25">
      <c r="A1" s="3" t="str">
        <f>+PPC!A1</f>
        <v>KCP&amp;L Greater Missouri Operations Company - DSIM Rider Update Filed 11/30/2018</v>
      </c>
      <c r="B1" s="3"/>
      <c r="C1" s="3"/>
    </row>
    <row r="2" spans="1:34" x14ac:dyDescent="0.25">
      <c r="D2" s="3" t="s">
        <v>81</v>
      </c>
    </row>
    <row r="3" spans="1:34" ht="30" x14ac:dyDescent="0.25">
      <c r="D3" s="63" t="s">
        <v>62</v>
      </c>
      <c r="E3" s="86" t="s">
        <v>98</v>
      </c>
      <c r="F3" s="86" t="s">
        <v>99</v>
      </c>
      <c r="G3" s="63" t="s">
        <v>3</v>
      </c>
      <c r="H3" s="86" t="s">
        <v>70</v>
      </c>
      <c r="I3" s="63" t="s">
        <v>11</v>
      </c>
      <c r="J3" s="63" t="s">
        <v>10</v>
      </c>
      <c r="R3" s="63"/>
    </row>
    <row r="4" spans="1:34" x14ac:dyDescent="0.25">
      <c r="A4" s="22" t="s">
        <v>29</v>
      </c>
      <c r="B4" s="22"/>
      <c r="C4" s="22"/>
      <c r="D4" s="24">
        <f>SUM(C15:L15)</f>
        <v>3312940.8795781787</v>
      </c>
      <c r="E4" s="168">
        <f>M19</f>
        <v>35440903.56471733</v>
      </c>
      <c r="F4" s="24">
        <f>SUM(C23:K23)</f>
        <v>2536166.61</v>
      </c>
      <c r="G4" s="24">
        <f>F4-D4</f>
        <v>-776774.26957817888</v>
      </c>
      <c r="H4" s="24">
        <f>+B33</f>
        <v>189487.94</v>
      </c>
      <c r="I4" s="24">
        <f>SUM(C38:K38)</f>
        <v>9634.2400000000016</v>
      </c>
      <c r="J4" s="36">
        <f>SUM(G4:I4)</f>
        <v>-577652.08957817894</v>
      </c>
      <c r="K4" s="62">
        <f>+J4-L33</f>
        <v>0</v>
      </c>
    </row>
    <row r="5" spans="1:34" ht="15.75" thickBot="1" x14ac:dyDescent="0.3">
      <c r="A5" s="22" t="s">
        <v>30</v>
      </c>
      <c r="B5" s="22"/>
      <c r="C5" s="22"/>
      <c r="D5" s="24">
        <f>SUM(C16:L16)</f>
        <v>2013157.7714999998</v>
      </c>
      <c r="E5" s="168">
        <f>M20</f>
        <v>49370557.21462702</v>
      </c>
      <c r="F5" s="24">
        <f>SUM(C24:K24)</f>
        <v>2124845.06</v>
      </c>
      <c r="G5" s="24">
        <f>F5-D5</f>
        <v>111687.28850000026</v>
      </c>
      <c r="H5" s="24">
        <f>+B34</f>
        <v>-132952.32999999999</v>
      </c>
      <c r="I5" s="24">
        <f>SUM(C39:K39)</f>
        <v>6403.57</v>
      </c>
      <c r="J5" s="36">
        <f>SUM(G5:I5)</f>
        <v>-14861.47149999973</v>
      </c>
      <c r="K5" s="62">
        <f>+J5-L34</f>
        <v>3.1286617740988731E-10</v>
      </c>
    </row>
    <row r="6" spans="1:34" ht="16.5" thickTop="1" thickBot="1" x14ac:dyDescent="0.3">
      <c r="D6" s="40">
        <f t="shared" ref="D6" si="0">SUM(D4:D5)</f>
        <v>5326098.6510781785</v>
      </c>
      <c r="E6" s="169">
        <f t="shared" ref="E6:H6" si="1">SUM(E4:E5)</f>
        <v>84811460.77934435</v>
      </c>
      <c r="F6" s="40">
        <f t="shared" si="1"/>
        <v>4661011.67</v>
      </c>
      <c r="G6" s="40">
        <f t="shared" si="1"/>
        <v>-665086.98107817862</v>
      </c>
      <c r="H6" s="40">
        <f t="shared" si="1"/>
        <v>56535.610000000015</v>
      </c>
      <c r="I6" s="40">
        <f>SUM(I4:I5)</f>
        <v>16037.810000000001</v>
      </c>
      <c r="J6" s="40">
        <f>SUM(J4:J5)</f>
        <v>-592513.5610781787</v>
      </c>
      <c r="S6" s="5"/>
    </row>
    <row r="7" spans="1:34" ht="15.75" thickTop="1" x14ac:dyDescent="0.25"/>
    <row r="8" spans="1:34" x14ac:dyDescent="0.25">
      <c r="I8" s="4"/>
      <c r="U8" s="4"/>
    </row>
    <row r="9" spans="1:34" ht="15.75" thickBot="1" x14ac:dyDescent="0.3">
      <c r="U9" s="4"/>
      <c r="V9" s="5"/>
    </row>
    <row r="10" spans="1:34" ht="90.75" thickBot="1" x14ac:dyDescent="0.3">
      <c r="B10" s="145" t="str">
        <f>+'PCR Cycle 1'!B8</f>
        <v>Cumulative Over/Under Carryover From 06/01/2018 Filing</v>
      </c>
      <c r="C10" s="220" t="str">
        <f>+'PCR Cycle 1'!C8</f>
        <v>Reverse May-18 - Jun-18  Forecast From 06/01/2018 Filing</v>
      </c>
      <c r="D10" s="243" t="s">
        <v>39</v>
      </c>
      <c r="E10" s="243"/>
      <c r="F10" s="244"/>
      <c r="G10" s="248" t="s">
        <v>39</v>
      </c>
      <c r="H10" s="249"/>
      <c r="I10" s="250"/>
      <c r="J10" s="245" t="s">
        <v>9</v>
      </c>
      <c r="K10" s="246"/>
      <c r="L10" s="247"/>
    </row>
    <row r="11" spans="1:34" x14ac:dyDescent="0.25">
      <c r="A11" s="61" t="s">
        <v>83</v>
      </c>
      <c r="C11" s="132"/>
      <c r="D11" s="20">
        <f>+'PCR Cycle 1'!D9</f>
        <v>43251</v>
      </c>
      <c r="E11" s="20">
        <f t="shared" ref="E11:L11" si="2">EOMONTH(D11,1)</f>
        <v>43281</v>
      </c>
      <c r="F11" s="20">
        <f t="shared" si="2"/>
        <v>43312</v>
      </c>
      <c r="G11" s="14">
        <f t="shared" si="2"/>
        <v>43343</v>
      </c>
      <c r="H11" s="20">
        <f t="shared" si="2"/>
        <v>43373</v>
      </c>
      <c r="I11" s="20">
        <f t="shared" si="2"/>
        <v>43404</v>
      </c>
      <c r="J11" s="14">
        <f t="shared" si="2"/>
        <v>43434</v>
      </c>
      <c r="K11" s="20">
        <f t="shared" si="2"/>
        <v>43465</v>
      </c>
      <c r="L11" s="15">
        <f t="shared" si="2"/>
        <v>43496</v>
      </c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x14ac:dyDescent="0.25">
      <c r="A12" s="61" t="s">
        <v>6</v>
      </c>
      <c r="C12" s="124">
        <v>-1663595.08</v>
      </c>
      <c r="D12" s="136">
        <f t="shared" ref="D12:H12" si="3">+D23+D24</f>
        <v>600037.21</v>
      </c>
      <c r="E12" s="136">
        <f t="shared" si="3"/>
        <v>987514.94</v>
      </c>
      <c r="F12" s="137">
        <f t="shared" si="3"/>
        <v>1150497.67</v>
      </c>
      <c r="G12" s="16">
        <f t="shared" si="3"/>
        <v>1154942.7</v>
      </c>
      <c r="H12" s="70">
        <f t="shared" si="3"/>
        <v>1001005.96</v>
      </c>
      <c r="I12" s="72">
        <f t="shared" ref="I12:K12" si="4">+I23+I24</f>
        <v>630258.68999999994</v>
      </c>
      <c r="J12" s="186">
        <f t="shared" si="4"/>
        <v>626563.23</v>
      </c>
      <c r="K12" s="97">
        <f t="shared" si="4"/>
        <v>173786.35</v>
      </c>
      <c r="L12" s="98"/>
    </row>
    <row r="13" spans="1:34" x14ac:dyDescent="0.25">
      <c r="C13" s="126"/>
      <c r="D13" s="17"/>
      <c r="E13" s="17"/>
      <c r="F13" s="17"/>
      <c r="G13" s="10"/>
      <c r="H13" s="17"/>
      <c r="I13" s="17"/>
      <c r="J13" s="41"/>
      <c r="K13" s="44"/>
      <c r="L13" s="42"/>
    </row>
    <row r="14" spans="1:34" x14ac:dyDescent="0.25">
      <c r="A14" s="61" t="s">
        <v>82</v>
      </c>
      <c r="C14" s="126"/>
      <c r="D14" s="18"/>
      <c r="E14" s="18"/>
      <c r="F14" s="18"/>
      <c r="G14" s="118"/>
      <c r="H14" s="18"/>
      <c r="I14" s="18"/>
      <c r="J14" s="41"/>
      <c r="K14" s="44"/>
      <c r="L14" s="42"/>
      <c r="M14" s="3" t="s">
        <v>93</v>
      </c>
      <c r="N14" s="52"/>
    </row>
    <row r="15" spans="1:34" x14ac:dyDescent="0.25">
      <c r="A15" s="61" t="s">
        <v>29</v>
      </c>
      <c r="C15" s="124">
        <v>-876349.25</v>
      </c>
      <c r="D15" s="166">
        <f>ROUND('[3]May 2018 Combined'!H38,2)</f>
        <v>245466.18</v>
      </c>
      <c r="E15" s="166">
        <f>ROUND('[3]June 2018 Combined'!G38,2)</f>
        <v>360633.7</v>
      </c>
      <c r="F15" s="166">
        <f>ROUND('[3]July 2018 Combined'!F38,2)</f>
        <v>432440.98</v>
      </c>
      <c r="G15" s="16">
        <f>ROUND('[3]August 2018 Combined'!F38,2)</f>
        <v>609468.80000000005</v>
      </c>
      <c r="H15" s="148">
        <f>ROUND('[3]September 2018 Combined'!F38,2)</f>
        <v>565566.92000000004</v>
      </c>
      <c r="I15" s="210">
        <f>ROUND('[3]October 2018 Combined'!F38,2)</f>
        <v>420589.56</v>
      </c>
      <c r="J15" s="53">
        <f>'PCR Cycle 1'!J21*'TDR Cycle 2'!$M15</f>
        <v>377028.60874399892</v>
      </c>
      <c r="K15" s="54">
        <f>'PCR Cycle 1'!K21*'TDR Cycle 2'!$M15</f>
        <v>527277.00782417948</v>
      </c>
      <c r="L15" s="77">
        <f>'PCR Cycle 1'!L21*'TDR Cycle 2'!$M15</f>
        <v>650818.37300999998</v>
      </c>
      <c r="M15" s="88">
        <v>1.6900000000000001E-3</v>
      </c>
      <c r="N15" s="4"/>
    </row>
    <row r="16" spans="1:34" x14ac:dyDescent="0.25">
      <c r="A16" s="61" t="s">
        <v>30</v>
      </c>
      <c r="C16" s="124">
        <v>-1240578.3999999999</v>
      </c>
      <c r="D16" s="166">
        <f>ROUND('[3]May 2018 Combined'!H39,2)</f>
        <v>408816.76</v>
      </c>
      <c r="E16" s="166">
        <f>ROUND('[3]June 2018 Combined'!G39,2)</f>
        <v>443075.98</v>
      </c>
      <c r="F16" s="166">
        <f>ROUND('[3]July 2018 Combined'!F39,2)</f>
        <v>480065.44</v>
      </c>
      <c r="G16" s="16">
        <f>ROUND('[3]August 2018 Combined'!F39,2)</f>
        <v>357944.23</v>
      </c>
      <c r="H16" s="148">
        <f>ROUND('[3]September 2018 Combined'!F39,2)</f>
        <v>335653.71</v>
      </c>
      <c r="I16" s="210">
        <f>ROUND('[3]October 2018 Combined'!F39,2)</f>
        <v>316554.06</v>
      </c>
      <c r="J16" s="53">
        <f>'PCR Cycle 1'!J22*'TDR Cycle 2'!$M16</f>
        <v>297868.47089999996</v>
      </c>
      <c r="K16" s="54">
        <f>'PCR Cycle 1'!K22*'TDR Cycle 2'!$M16</f>
        <v>298785.31409999996</v>
      </c>
      <c r="L16" s="77">
        <f>'PCR Cycle 1'!L22*'TDR Cycle 2'!$M16</f>
        <v>314972.20649999997</v>
      </c>
      <c r="M16" s="88">
        <v>1.0499999999999999E-3</v>
      </c>
      <c r="N16" s="4"/>
    </row>
    <row r="17" spans="1:14" x14ac:dyDescent="0.25">
      <c r="C17" s="83"/>
      <c r="D17" s="84"/>
      <c r="E17" s="84"/>
      <c r="F17" s="84"/>
      <c r="G17" s="83"/>
      <c r="H17" s="84"/>
      <c r="I17" s="84"/>
      <c r="J17" s="12"/>
      <c r="K17" s="71"/>
      <c r="L17" s="13"/>
      <c r="N17" s="4"/>
    </row>
    <row r="18" spans="1:14" x14ac:dyDescent="0.25">
      <c r="A18" s="52" t="s">
        <v>97</v>
      </c>
      <c r="B18" s="52"/>
      <c r="C18" s="83"/>
      <c r="D18" s="71"/>
      <c r="E18" s="71"/>
      <c r="F18" s="71"/>
      <c r="G18" s="12"/>
      <c r="H18" s="71"/>
      <c r="I18" s="111"/>
      <c r="J18" s="12"/>
      <c r="K18" s="71"/>
      <c r="L18" s="13"/>
      <c r="M18" s="7"/>
    </row>
    <row r="19" spans="1:14" x14ac:dyDescent="0.25">
      <c r="A19" s="61" t="s">
        <v>29</v>
      </c>
      <c r="C19" s="129">
        <v>-14156003.865788069</v>
      </c>
      <c r="D19" s="138">
        <f>+'[7]Monthly TD Calc'!AB285</f>
        <v>5874702.5389139643</v>
      </c>
      <c r="E19" s="138">
        <f>+'[7]Monthly TD Calc'!AC285</f>
        <v>6826818.65890879</v>
      </c>
      <c r="F19" s="152">
        <f>+'[7]Monthly TD Calc'!AD285</f>
        <v>8463629.2162172087</v>
      </c>
      <c r="G19" s="92">
        <f>+'[7]Monthly TD Calc'!AE285</f>
        <v>8194210.520824071</v>
      </c>
      <c r="H19" s="93">
        <f>+'[7]Monthly TD Calc'!AF285</f>
        <v>6632896.2123881001</v>
      </c>
      <c r="I19" s="207">
        <f>+'[7]Monthly TD Calc'!AG285</f>
        <v>5412054.5221607443</v>
      </c>
      <c r="J19" s="188">
        <f>+'[2]GMO Monthly TD Calc'!AH338</f>
        <v>5938618.939130892</v>
      </c>
      <c r="K19" s="176">
        <f>+'[2]GMO Monthly TD Calc'!AI338</f>
        <v>2253976.8219616306</v>
      </c>
      <c r="L19" s="99"/>
      <c r="M19" s="75">
        <f>SUM(C19:K19)</f>
        <v>35440903.56471733</v>
      </c>
    </row>
    <row r="20" spans="1:14" x14ac:dyDescent="0.25">
      <c r="A20" s="61" t="s">
        <v>30</v>
      </c>
      <c r="C20" s="129">
        <v>-15213479.195789415</v>
      </c>
      <c r="D20" s="138">
        <f>+'[7]Monthly TD Calc'!AB286</f>
        <v>7821052.3265781105</v>
      </c>
      <c r="E20" s="138">
        <f>+'[7]Monthly TD Calc'!AC286</f>
        <v>7984659.1826580362</v>
      </c>
      <c r="F20" s="152">
        <f>+'[7]Monthly TD Calc'!AD286</f>
        <v>8772235.2920276392</v>
      </c>
      <c r="G20" s="92">
        <f>+'[7]Monthly TD Calc'!AE286</f>
        <v>9425656.9915323853</v>
      </c>
      <c r="H20" s="93">
        <f>+'[7]Monthly TD Calc'!AF286</f>
        <v>8977917.026647795</v>
      </c>
      <c r="I20" s="207">
        <f>+'[7]Monthly TD Calc'!AG286</f>
        <v>9646305.5916071478</v>
      </c>
      <c r="J20" s="188">
        <f>+'[2]GMO Monthly TD Calc'!AH339</f>
        <v>9162602.2143805772</v>
      </c>
      <c r="K20" s="176">
        <f>+'[2]GMO Monthly TD Calc'!AI339</f>
        <v>2793607.7849847451</v>
      </c>
      <c r="L20" s="99"/>
      <c r="M20" s="75">
        <f>SUM(C20:K20)</f>
        <v>49370557.21462702</v>
      </c>
    </row>
    <row r="21" spans="1:14" x14ac:dyDescent="0.25">
      <c r="C21" s="83"/>
      <c r="D21" s="84"/>
      <c r="E21" s="84"/>
      <c r="F21" s="84"/>
      <c r="G21" s="83"/>
      <c r="H21" s="84"/>
      <c r="I21" s="84"/>
      <c r="J21" s="12"/>
      <c r="K21" s="71"/>
      <c r="L21" s="13"/>
    </row>
    <row r="22" spans="1:14" x14ac:dyDescent="0.25">
      <c r="A22" s="61" t="s">
        <v>94</v>
      </c>
      <c r="C22" s="49"/>
      <c r="D22" s="50"/>
      <c r="E22" s="50"/>
      <c r="F22" s="50"/>
      <c r="G22" s="49"/>
      <c r="H22" s="50"/>
      <c r="I22" s="50"/>
      <c r="J22" s="189"/>
      <c r="K22" s="67"/>
      <c r="L22" s="51"/>
    </row>
    <row r="23" spans="1:14" x14ac:dyDescent="0.25">
      <c r="A23" s="61" t="s">
        <v>29</v>
      </c>
      <c r="C23" s="124">
        <v>-964275.51</v>
      </c>
      <c r="D23" s="136">
        <f>ROUND('[7]Monthly TD Calc'!AB318,2)</f>
        <v>315938.57</v>
      </c>
      <c r="E23" s="136">
        <f>ROUND('[7]Monthly TD Calc'!AC318,2)</f>
        <v>571865.53</v>
      </c>
      <c r="F23" s="137">
        <f>ROUND('[7]Monthly TD Calc'!AD318,2)</f>
        <v>709049.01</v>
      </c>
      <c r="G23" s="16">
        <f>ROUND('[7]Monthly TD Calc'!AE318,2)</f>
        <v>686617.48</v>
      </c>
      <c r="H23" s="70">
        <f>ROUND('[7]Monthly TD Calc'!AF318,2)</f>
        <v>555621.13</v>
      </c>
      <c r="I23" s="207">
        <f>ROUND('[7]Monthly TD Calc'!AG318,2)</f>
        <v>282869.15000000002</v>
      </c>
      <c r="J23" s="190">
        <f>ROUND('[2]GMO Monthly TD Calc'!AH317,2)</f>
        <v>283654.53000000003</v>
      </c>
      <c r="K23" s="174">
        <f>ROUND('[2]GMO Monthly TD Calc'!AI317,2)</f>
        <v>94826.72</v>
      </c>
      <c r="L23" s="98"/>
    </row>
    <row r="24" spans="1:14" x14ac:dyDescent="0.25">
      <c r="A24" s="61" t="s">
        <v>30</v>
      </c>
      <c r="C24" s="124">
        <v>-699319.57000000007</v>
      </c>
      <c r="D24" s="136">
        <f>ROUND('[7]Monthly TD Calc'!AB319,2)</f>
        <v>284098.64</v>
      </c>
      <c r="E24" s="136">
        <f>ROUND('[7]Monthly TD Calc'!AC319,2)</f>
        <v>415649.41</v>
      </c>
      <c r="F24" s="137">
        <f>ROUND('[7]Monthly TD Calc'!AD319,2)</f>
        <v>441448.66</v>
      </c>
      <c r="G24" s="16">
        <f>ROUND('[7]Monthly TD Calc'!AE319,2)</f>
        <v>468325.22</v>
      </c>
      <c r="H24" s="70">
        <f>ROUND('[7]Monthly TD Calc'!AF319,2)</f>
        <v>445384.83</v>
      </c>
      <c r="I24" s="207">
        <f>ROUND('[7]Monthly TD Calc'!AG319,2)</f>
        <v>347389.54</v>
      </c>
      <c r="J24" s="190">
        <f>ROUND('[2]GMO Monthly TD Calc'!AH318,2)</f>
        <v>342908.7</v>
      </c>
      <c r="K24" s="174">
        <f>ROUND('[2]GMO Monthly TD Calc'!AI318,2)</f>
        <v>78959.63</v>
      </c>
      <c r="L24" s="98"/>
      <c r="N24" s="62"/>
    </row>
    <row r="25" spans="1:14" x14ac:dyDescent="0.25">
      <c r="C25" s="126"/>
      <c r="D25" s="214"/>
      <c r="E25" s="214"/>
      <c r="F25" s="214"/>
      <c r="G25" s="118"/>
      <c r="H25" s="18"/>
      <c r="I25" s="18"/>
      <c r="J25" s="12"/>
      <c r="K25" s="71"/>
      <c r="L25" s="13"/>
    </row>
    <row r="26" spans="1:14" ht="15.75" thickBot="1" x14ac:dyDescent="0.3">
      <c r="A26" s="3" t="s">
        <v>18</v>
      </c>
      <c r="B26" s="3"/>
      <c r="C26" s="130">
        <v>-3168.27</v>
      </c>
      <c r="D26" s="166">
        <v>1277.26</v>
      </c>
      <c r="E26" s="166">
        <v>1507.98</v>
      </c>
      <c r="F26" s="167">
        <v>2102.7200000000003</v>
      </c>
      <c r="G26" s="39">
        <v>2694.57</v>
      </c>
      <c r="H26" s="149">
        <v>3195.5</v>
      </c>
      <c r="I26" s="211">
        <v>3296.29</v>
      </c>
      <c r="J26" s="191">
        <v>3077.3599999999997</v>
      </c>
      <c r="K26" s="177">
        <v>2054.42</v>
      </c>
      <c r="L26" s="101"/>
    </row>
    <row r="27" spans="1:14" x14ac:dyDescent="0.25">
      <c r="C27" s="80"/>
      <c r="D27" s="82"/>
      <c r="E27" s="82"/>
      <c r="F27" s="46"/>
      <c r="G27" s="80"/>
      <c r="H27" s="46"/>
      <c r="I27" s="46"/>
      <c r="J27" s="192"/>
      <c r="K27" s="47"/>
      <c r="L27" s="76"/>
    </row>
    <row r="28" spans="1:14" x14ac:dyDescent="0.25">
      <c r="A28" s="61" t="s">
        <v>68</v>
      </c>
      <c r="C28" s="81"/>
      <c r="D28" s="204"/>
      <c r="E28" s="204"/>
      <c r="F28" s="204"/>
      <c r="G28" s="205"/>
      <c r="H28" s="204"/>
      <c r="I28" s="204"/>
      <c r="J28" s="192"/>
      <c r="K28" s="47"/>
      <c r="L28" s="76"/>
    </row>
    <row r="29" spans="1:14" x14ac:dyDescent="0.25">
      <c r="A29" s="61" t="s">
        <v>29</v>
      </c>
      <c r="C29" s="127">
        <f>(C23-C15)-0</f>
        <v>-87926.260000000009</v>
      </c>
      <c r="D29" s="54">
        <f t="shared" ref="D29:L30" si="5">D23-D15</f>
        <v>70472.390000000014</v>
      </c>
      <c r="E29" s="54">
        <f t="shared" si="5"/>
        <v>211231.83000000002</v>
      </c>
      <c r="F29" s="135">
        <f t="shared" si="5"/>
        <v>276608.03000000003</v>
      </c>
      <c r="G29" s="53">
        <f t="shared" si="5"/>
        <v>77148.679999999935</v>
      </c>
      <c r="H29" s="54">
        <f t="shared" si="5"/>
        <v>-9945.7900000000373</v>
      </c>
      <c r="I29" s="135">
        <f t="shared" si="5"/>
        <v>-137720.40999999997</v>
      </c>
      <c r="J29" s="53">
        <f t="shared" si="5"/>
        <v>-93374.078743998893</v>
      </c>
      <c r="K29" s="54">
        <f t="shared" si="5"/>
        <v>-432450.28782417951</v>
      </c>
      <c r="L29" s="77">
        <f>L23-L15</f>
        <v>-650818.37300999998</v>
      </c>
    </row>
    <row r="30" spans="1:14" x14ac:dyDescent="0.25">
      <c r="A30" s="61" t="s">
        <v>30</v>
      </c>
      <c r="C30" s="127">
        <f>(C24-C16)-0</f>
        <v>541258.82999999984</v>
      </c>
      <c r="D30" s="54">
        <f t="shared" si="5"/>
        <v>-124718.12</v>
      </c>
      <c r="E30" s="54">
        <f t="shared" si="5"/>
        <v>-27426.570000000007</v>
      </c>
      <c r="F30" s="135">
        <f t="shared" si="5"/>
        <v>-38616.780000000028</v>
      </c>
      <c r="G30" s="53">
        <f t="shared" si="5"/>
        <v>110380.98999999999</v>
      </c>
      <c r="H30" s="54">
        <f t="shared" si="5"/>
        <v>109731.12</v>
      </c>
      <c r="I30" s="135">
        <f t="shared" si="5"/>
        <v>30835.479999999981</v>
      </c>
      <c r="J30" s="53">
        <f t="shared" si="5"/>
        <v>45040.229100000055</v>
      </c>
      <c r="K30" s="54">
        <f t="shared" si="5"/>
        <v>-219825.68409999995</v>
      </c>
      <c r="L30" s="77">
        <f t="shared" si="5"/>
        <v>-314972.20649999997</v>
      </c>
    </row>
    <row r="31" spans="1:14" x14ac:dyDescent="0.25">
      <c r="C31" s="126"/>
      <c r="D31" s="71"/>
      <c r="E31" s="71"/>
      <c r="F31" s="71"/>
      <c r="G31" s="10"/>
      <c r="H31" s="17"/>
      <c r="I31" s="17"/>
      <c r="J31" s="10"/>
      <c r="K31" s="17"/>
      <c r="L31" s="11"/>
    </row>
    <row r="32" spans="1:14" ht="15.75" thickBot="1" x14ac:dyDescent="0.3">
      <c r="A32" s="61" t="s">
        <v>69</v>
      </c>
      <c r="C32" s="126"/>
      <c r="D32" s="17"/>
      <c r="E32" s="17"/>
      <c r="F32" s="17"/>
      <c r="G32" s="10"/>
      <c r="H32" s="17"/>
      <c r="I32" s="17"/>
      <c r="J32" s="10"/>
      <c r="K32" s="17"/>
      <c r="L32" s="11"/>
    </row>
    <row r="33" spans="1:12" x14ac:dyDescent="0.25">
      <c r="A33" s="61" t="s">
        <v>29</v>
      </c>
      <c r="B33" s="143">
        <v>189487.94</v>
      </c>
      <c r="C33" s="127">
        <f>(B33+B38+C29)-0</f>
        <v>101561.68</v>
      </c>
      <c r="D33" s="54">
        <f t="shared" ref="D33:L33" si="6">C33+C38+D29</f>
        <v>170636.32</v>
      </c>
      <c r="E33" s="54">
        <f t="shared" si="6"/>
        <v>382228.76</v>
      </c>
      <c r="F33" s="135">
        <f t="shared" si="6"/>
        <v>659601.27</v>
      </c>
      <c r="G33" s="53">
        <f t="shared" si="6"/>
        <v>738195.97</v>
      </c>
      <c r="H33" s="54">
        <f t="shared" si="6"/>
        <v>730187.86</v>
      </c>
      <c r="I33" s="135">
        <f t="shared" si="6"/>
        <v>594566.35000000009</v>
      </c>
      <c r="J33" s="53">
        <f t="shared" si="6"/>
        <v>503146.72125600115</v>
      </c>
      <c r="K33" s="54">
        <f t="shared" si="6"/>
        <v>72316.24343182164</v>
      </c>
      <c r="L33" s="77">
        <f t="shared" si="6"/>
        <v>-577652.08957817836</v>
      </c>
    </row>
    <row r="34" spans="1:12" ht="15.75" thickBot="1" x14ac:dyDescent="0.3">
      <c r="A34" s="61" t="s">
        <v>30</v>
      </c>
      <c r="B34" s="144">
        <v>-132952.32999999999</v>
      </c>
      <c r="C34" s="127">
        <f>(B34+B39+C30)-0</f>
        <v>408306.49999999988</v>
      </c>
      <c r="D34" s="54">
        <f t="shared" ref="D34:L34" si="7">C34+C39+D30</f>
        <v>281817.85999999987</v>
      </c>
      <c r="E34" s="54">
        <f t="shared" si="7"/>
        <v>255307.93999999989</v>
      </c>
      <c r="F34" s="135">
        <f t="shared" si="7"/>
        <v>217434.65999999986</v>
      </c>
      <c r="G34" s="53">
        <f t="shared" si="7"/>
        <v>328472.34999999986</v>
      </c>
      <c r="H34" s="54">
        <f t="shared" si="7"/>
        <v>438960.34999999986</v>
      </c>
      <c r="I34" s="135">
        <f t="shared" si="7"/>
        <v>470892.42999999982</v>
      </c>
      <c r="J34" s="53">
        <f t="shared" si="7"/>
        <v>517274.48909999989</v>
      </c>
      <c r="K34" s="54">
        <f t="shared" si="7"/>
        <v>298906.35499999992</v>
      </c>
      <c r="L34" s="77">
        <f t="shared" si="7"/>
        <v>-14861.471500000043</v>
      </c>
    </row>
    <row r="35" spans="1:12" x14ac:dyDescent="0.25">
      <c r="C35" s="126"/>
      <c r="D35" s="17"/>
      <c r="E35" s="17"/>
      <c r="F35" s="17"/>
      <c r="G35" s="10"/>
      <c r="H35" s="17"/>
      <c r="I35" s="17"/>
      <c r="J35" s="10"/>
      <c r="K35" s="17"/>
      <c r="L35" s="11"/>
    </row>
    <row r="36" spans="1:12" x14ac:dyDescent="0.25">
      <c r="A36" s="52" t="s">
        <v>96</v>
      </c>
      <c r="B36" s="52"/>
      <c r="C36" s="131"/>
      <c r="D36" s="103">
        <f>+'PCR Cycle 2'!D38</f>
        <v>2.6633099999999999E-3</v>
      </c>
      <c r="E36" s="103">
        <f>+'PCR Cycle 2'!E38</f>
        <v>2.7637299999999998E-3</v>
      </c>
      <c r="F36" s="103">
        <f>+'PCR Cycle 2'!F38</f>
        <v>2.7738900000000002E-3</v>
      </c>
      <c r="G36" s="105">
        <f>+'PCR Cycle 2'!G38</f>
        <v>2.76961E-3</v>
      </c>
      <c r="H36" s="103">
        <f>+'PCR Cycle 2'!H38</f>
        <v>2.8550200000000002E-3</v>
      </c>
      <c r="I36" s="104">
        <f>+'PCR Cycle 2'!I38</f>
        <v>2.9459999999999998E-3</v>
      </c>
      <c r="J36" s="105">
        <f>+'PCR Cycle 2'!J38</f>
        <v>2.9459999999999998E-3</v>
      </c>
      <c r="K36" s="103">
        <f>+'PCR Cycle 2'!K38</f>
        <v>2.9459999999999998E-3</v>
      </c>
      <c r="L36" s="106"/>
    </row>
    <row r="37" spans="1:12" x14ac:dyDescent="0.25">
      <c r="A37" s="52" t="s">
        <v>44</v>
      </c>
      <c r="B37" s="52"/>
      <c r="C37" s="133"/>
      <c r="D37" s="103"/>
      <c r="E37" s="103"/>
      <c r="F37" s="103"/>
      <c r="G37" s="105"/>
      <c r="H37" s="103"/>
      <c r="I37" s="103"/>
      <c r="J37" s="105"/>
      <c r="K37" s="103"/>
      <c r="L37" s="106"/>
    </row>
    <row r="38" spans="1:12" x14ac:dyDescent="0.25">
      <c r="A38" s="61" t="s">
        <v>29</v>
      </c>
      <c r="C38" s="127">
        <v>-1397.75</v>
      </c>
      <c r="D38" s="215">
        <f>ROUND((C33+C38+D29/2)*D$36,2)</f>
        <v>360.61</v>
      </c>
      <c r="E38" s="215">
        <f t="shared" ref="E38:L38" si="8">ROUND((D33+D38+E29/2)*E$36,2)</f>
        <v>764.48</v>
      </c>
      <c r="F38" s="218">
        <f t="shared" si="8"/>
        <v>1446.02</v>
      </c>
      <c r="G38" s="53">
        <f t="shared" si="8"/>
        <v>1937.68</v>
      </c>
      <c r="H38" s="150">
        <f t="shared" si="8"/>
        <v>2098.9</v>
      </c>
      <c r="I38" s="135">
        <f t="shared" si="8"/>
        <v>1954.45</v>
      </c>
      <c r="J38" s="183">
        <f t="shared" si="8"/>
        <v>1619.81</v>
      </c>
      <c r="K38" s="135">
        <f t="shared" si="8"/>
        <v>850.04</v>
      </c>
      <c r="L38" s="77">
        <f t="shared" si="8"/>
        <v>0</v>
      </c>
    </row>
    <row r="39" spans="1:12" ht="15.75" thickBot="1" x14ac:dyDescent="0.3">
      <c r="A39" s="61" t="s">
        <v>30</v>
      </c>
      <c r="C39" s="127">
        <v>-1770.52</v>
      </c>
      <c r="D39" s="215">
        <f>ROUND((C34+C39+D30/2)*D$36,2)</f>
        <v>916.65</v>
      </c>
      <c r="E39" s="215">
        <f t="shared" ref="E39:L39" si="9">ROUND((D34+D39+E30/2)*E$36,2)</f>
        <v>743.5</v>
      </c>
      <c r="F39" s="218">
        <f t="shared" si="9"/>
        <v>656.7</v>
      </c>
      <c r="G39" s="53">
        <f t="shared" si="9"/>
        <v>756.88</v>
      </c>
      <c r="H39" s="150">
        <f t="shared" si="9"/>
        <v>1096.5999999999999</v>
      </c>
      <c r="I39" s="135">
        <f t="shared" si="9"/>
        <v>1341.83</v>
      </c>
      <c r="J39" s="183">
        <f t="shared" si="9"/>
        <v>1457.55</v>
      </c>
      <c r="K39" s="135">
        <f t="shared" si="9"/>
        <v>1204.3800000000001</v>
      </c>
      <c r="L39" s="77">
        <f t="shared" si="9"/>
        <v>0</v>
      </c>
    </row>
    <row r="40" spans="1:12" ht="16.5" thickTop="1" thickBot="1" x14ac:dyDescent="0.3">
      <c r="A40" s="69" t="s">
        <v>25</v>
      </c>
      <c r="B40" s="69"/>
      <c r="C40" s="134">
        <v>0</v>
      </c>
      <c r="D40" s="55">
        <f>SUM(D38:D39)+SUM(D33:D34)-D43</f>
        <v>0</v>
      </c>
      <c r="E40" s="55">
        <f t="shared" ref="E40:L40" si="10">SUM(E38:E39)+SUM(E33:E34)-E43</f>
        <v>0</v>
      </c>
      <c r="F40" s="65">
        <f t="shared" si="10"/>
        <v>0</v>
      </c>
      <c r="G40" s="66">
        <f t="shared" si="10"/>
        <v>0</v>
      </c>
      <c r="H40" s="55">
        <f t="shared" si="10"/>
        <v>0</v>
      </c>
      <c r="I40" s="65">
        <f t="shared" si="10"/>
        <v>0</v>
      </c>
      <c r="J40" s="193">
        <f t="shared" si="10"/>
        <v>0</v>
      </c>
      <c r="K40" s="65">
        <f t="shared" si="10"/>
        <v>5.2386894822120667E-10</v>
      </c>
      <c r="L40" s="78">
        <f t="shared" si="10"/>
        <v>0</v>
      </c>
    </row>
    <row r="41" spans="1:12" ht="16.5" thickTop="1" thickBot="1" x14ac:dyDescent="0.3">
      <c r="A41" s="69" t="s">
        <v>26</v>
      </c>
      <c r="B41" s="69"/>
      <c r="C41" s="134">
        <v>0</v>
      </c>
      <c r="D41" s="55">
        <f>SUM(D38:D39)-D26</f>
        <v>0</v>
      </c>
      <c r="E41" s="55">
        <f t="shared" ref="E41:I41" si="11">SUM(E38:E39)-E26</f>
        <v>0</v>
      </c>
      <c r="F41" s="65">
        <f t="shared" ref="F41:H41" si="12">SUM(F38:F39)-F26</f>
        <v>0</v>
      </c>
      <c r="G41" s="66">
        <f t="shared" si="12"/>
        <v>-1.0000000000218279E-2</v>
      </c>
      <c r="H41" s="55">
        <f t="shared" si="12"/>
        <v>0</v>
      </c>
      <c r="I41" s="65">
        <f t="shared" si="11"/>
        <v>-1.0000000000218279E-2</v>
      </c>
      <c r="J41" s="66">
        <f t="shared" ref="J41:L41" si="13">SUM(J38:J39)-J26</f>
        <v>0</v>
      </c>
      <c r="K41" s="55">
        <f t="shared" si="13"/>
        <v>0</v>
      </c>
      <c r="L41" s="55">
        <f t="shared" si="13"/>
        <v>0</v>
      </c>
    </row>
    <row r="42" spans="1:12" ht="16.5" thickTop="1" thickBot="1" x14ac:dyDescent="0.3">
      <c r="C42" s="126"/>
      <c r="D42" s="17"/>
      <c r="E42" s="17"/>
      <c r="F42" s="17"/>
      <c r="G42" s="10"/>
      <c r="H42" s="17"/>
      <c r="I42" s="17"/>
      <c r="J42" s="10"/>
      <c r="K42" s="17"/>
      <c r="L42" s="11"/>
    </row>
    <row r="43" spans="1:12" ht="15.75" thickBot="1" x14ac:dyDescent="0.3">
      <c r="A43" s="61" t="s">
        <v>42</v>
      </c>
      <c r="B43" s="146">
        <f>+B33+B34</f>
        <v>56535.610000000015</v>
      </c>
      <c r="C43" s="127">
        <f t="shared" ref="C43" si="14">(C12-SUM(C15:C16))+SUM(C38:C39)+B43</f>
        <v>506699.9099999998</v>
      </c>
      <c r="D43" s="54">
        <f t="shared" ref="D43:L43" si="15">(D12-SUM(D15:D16))+SUM(D38:D39)+C43</f>
        <v>453731.43999999983</v>
      </c>
      <c r="E43" s="54">
        <f t="shared" si="15"/>
        <v>639044.67999999982</v>
      </c>
      <c r="F43" s="135">
        <f t="shared" si="15"/>
        <v>879138.64999999979</v>
      </c>
      <c r="G43" s="53">
        <f t="shared" si="15"/>
        <v>1069362.8799999997</v>
      </c>
      <c r="H43" s="54">
        <f t="shared" si="15"/>
        <v>1172343.7099999995</v>
      </c>
      <c r="I43" s="135">
        <f t="shared" si="15"/>
        <v>1068755.0599999994</v>
      </c>
      <c r="J43" s="183">
        <f t="shared" si="15"/>
        <v>1023498.5703560004</v>
      </c>
      <c r="K43" s="135">
        <f t="shared" si="15"/>
        <v>373277.01843182102</v>
      </c>
      <c r="L43" s="77">
        <f t="shared" si="15"/>
        <v>-592513.56107817893</v>
      </c>
    </row>
    <row r="44" spans="1:12" x14ac:dyDescent="0.25">
      <c r="A44" s="61" t="s">
        <v>14</v>
      </c>
      <c r="C44" s="147"/>
      <c r="D44" s="17"/>
      <c r="E44" s="17"/>
      <c r="F44" s="17"/>
      <c r="G44" s="10"/>
      <c r="H44" s="17"/>
      <c r="I44" s="17"/>
      <c r="J44" s="10"/>
      <c r="K44" s="17"/>
      <c r="L44" s="11"/>
    </row>
    <row r="45" spans="1:12" ht="15.75" thickBot="1" x14ac:dyDescent="0.3">
      <c r="A45" s="50"/>
      <c r="B45" s="50"/>
      <c r="C45" s="194"/>
      <c r="D45" s="57"/>
      <c r="E45" s="57"/>
      <c r="F45" s="57"/>
      <c r="G45" s="56"/>
      <c r="H45" s="57"/>
      <c r="I45" s="57"/>
      <c r="J45" s="56"/>
      <c r="K45" s="57"/>
      <c r="L45" s="58"/>
    </row>
    <row r="47" spans="1:12" x14ac:dyDescent="0.25">
      <c r="A47" s="85" t="s">
        <v>13</v>
      </c>
      <c r="B47" s="85"/>
      <c r="C47" s="85"/>
    </row>
    <row r="48" spans="1:12" ht="43.5" customHeight="1" x14ac:dyDescent="0.25">
      <c r="A48" s="242" t="s">
        <v>144</v>
      </c>
      <c r="B48" s="242"/>
      <c r="C48" s="242"/>
      <c r="D48" s="242"/>
      <c r="E48" s="242"/>
      <c r="F48" s="242"/>
      <c r="G48" s="242"/>
      <c r="H48" s="242"/>
      <c r="I48" s="242"/>
      <c r="J48" s="242"/>
      <c r="K48" s="242"/>
      <c r="L48" s="242"/>
    </row>
    <row r="49" spans="1:12" ht="35.25" customHeight="1" x14ac:dyDescent="0.25">
      <c r="A49" s="241" t="s">
        <v>132</v>
      </c>
      <c r="B49" s="241"/>
      <c r="C49" s="241"/>
      <c r="D49" s="241"/>
      <c r="E49" s="241"/>
      <c r="F49" s="241"/>
      <c r="G49" s="241"/>
      <c r="H49" s="241"/>
      <c r="I49" s="241"/>
      <c r="J49" s="241"/>
      <c r="K49" s="241"/>
      <c r="L49" s="241"/>
    </row>
    <row r="50" spans="1:12" ht="33" customHeight="1" x14ac:dyDescent="0.25">
      <c r="A50" s="242" t="s">
        <v>145</v>
      </c>
      <c r="B50" s="242"/>
      <c r="C50" s="242"/>
      <c r="D50" s="242"/>
      <c r="E50" s="242"/>
      <c r="F50" s="242"/>
      <c r="G50" s="242"/>
      <c r="H50" s="242"/>
      <c r="I50" s="242"/>
      <c r="J50" s="242"/>
      <c r="K50" s="242"/>
      <c r="L50" s="242"/>
    </row>
    <row r="51" spans="1:12" x14ac:dyDescent="0.25">
      <c r="A51" s="3" t="s">
        <v>90</v>
      </c>
      <c r="B51" s="3"/>
      <c r="C51" s="3"/>
    </row>
    <row r="52" spans="1:12" x14ac:dyDescent="0.25">
      <c r="A52" s="3" t="s">
        <v>134</v>
      </c>
      <c r="B52" s="3"/>
      <c r="C52" s="3"/>
    </row>
    <row r="53" spans="1:12" x14ac:dyDescent="0.25">
      <c r="A53" s="3" t="s">
        <v>95</v>
      </c>
      <c r="B53" s="3"/>
      <c r="C53" s="3"/>
    </row>
    <row r="54" spans="1:12" x14ac:dyDescent="0.25">
      <c r="A54" s="3"/>
      <c r="B54" s="3"/>
      <c r="C54" s="3"/>
    </row>
    <row r="55" spans="1:12" x14ac:dyDescent="0.25">
      <c r="G55" s="213"/>
      <c r="H55" s="213"/>
      <c r="I55" s="213"/>
    </row>
    <row r="56" spans="1:12" x14ac:dyDescent="0.25">
      <c r="I56" s="216"/>
      <c r="J56" s="216"/>
    </row>
    <row r="57" spans="1:12" x14ac:dyDescent="0.25">
      <c r="I57" s="216"/>
      <c r="J57" s="216"/>
      <c r="K57" s="217"/>
      <c r="L57" s="217"/>
    </row>
  </sheetData>
  <mergeCells count="6">
    <mergeCell ref="A50:L50"/>
    <mergeCell ref="D10:F10"/>
    <mergeCell ref="A48:L48"/>
    <mergeCell ref="A49:L49"/>
    <mergeCell ref="G10:I10"/>
    <mergeCell ref="J10:L10"/>
  </mergeCells>
  <pageMargins left="0.2" right="0.2" top="0.75" bottom="0.25" header="0.3" footer="0.3"/>
  <pageSetup scale="57" orientation="landscape" r:id="rId1"/>
  <headerFooter>
    <oddHeader>&amp;C&amp;F &amp;A</oddHeader>
    <oddFooter>&amp;R&amp;1#&amp;"Calibri"&amp;10 Public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workbookViewId="0"/>
  </sheetViews>
  <sheetFormatPr defaultRowHeight="15" x14ac:dyDescent="0.25"/>
  <cols>
    <col min="1" max="1" width="27.42578125" customWidth="1"/>
    <col min="2" max="2" width="14.28515625" bestFit="1" customWidth="1"/>
    <col min="3" max="3" width="11.85546875" customWidth="1"/>
    <col min="4" max="4" width="11.5703125" bestFit="1" customWidth="1"/>
    <col min="5" max="5" width="11.85546875" customWidth="1"/>
    <col min="6" max="6" width="12.7109375" customWidth="1"/>
    <col min="7" max="7" width="14.42578125" customWidth="1"/>
    <col min="15" max="15" width="12" bestFit="1" customWidth="1"/>
  </cols>
  <sheetData>
    <row r="1" spans="1:7" x14ac:dyDescent="0.25">
      <c r="A1" s="79" t="str">
        <f>+PPC!A1</f>
        <v>KCP&amp;L Greater Missouri Operations Company - DSIM Rider Update Filed 11/30/2018</v>
      </c>
      <c r="B1" s="61"/>
      <c r="C1" s="61"/>
      <c r="D1" s="61"/>
    </row>
    <row r="2" spans="1:7" x14ac:dyDescent="0.25">
      <c r="A2" s="9" t="str">
        <f>+PPC!A2</f>
        <v>Projections for Cycle 2 January - June 2019 DSIM</v>
      </c>
      <c r="B2" s="61"/>
      <c r="C2" s="61"/>
      <c r="D2" s="61"/>
    </row>
    <row r="3" spans="1:7" x14ac:dyDescent="0.25">
      <c r="A3" s="61"/>
      <c r="B3" s="234" t="s">
        <v>100</v>
      </c>
      <c r="C3" s="234"/>
      <c r="D3" s="234"/>
    </row>
    <row r="4" spans="1:7" ht="75" x14ac:dyDescent="0.25">
      <c r="A4" s="61"/>
      <c r="B4" s="86" t="s">
        <v>103</v>
      </c>
      <c r="C4" s="86" t="s">
        <v>104</v>
      </c>
      <c r="D4" s="63"/>
      <c r="E4" s="86" t="s">
        <v>105</v>
      </c>
      <c r="F4" s="86" t="s">
        <v>106</v>
      </c>
      <c r="G4" s="86" t="s">
        <v>87</v>
      </c>
    </row>
    <row r="5" spans="1:7" x14ac:dyDescent="0.25">
      <c r="A5" s="22" t="s">
        <v>102</v>
      </c>
      <c r="B5" s="86"/>
      <c r="C5" s="86"/>
      <c r="D5" s="198">
        <f>+'[8]PI Allocation'!$B$5</f>
        <v>5461152.9000000004</v>
      </c>
    </row>
    <row r="6" spans="1:7" x14ac:dyDescent="0.25">
      <c r="A6" s="22"/>
      <c r="B6" s="86"/>
      <c r="C6" s="86"/>
      <c r="D6" s="199"/>
    </row>
    <row r="7" spans="1:7" x14ac:dyDescent="0.25">
      <c r="A7" s="22"/>
      <c r="B7" s="86"/>
      <c r="C7" s="86"/>
      <c r="D7" s="199"/>
    </row>
    <row r="8" spans="1:7" x14ac:dyDescent="0.25">
      <c r="A8" s="22" t="s">
        <v>29</v>
      </c>
      <c r="B8" s="93">
        <f>+'[8]PI Allocation'!$B$28</f>
        <v>85567046</v>
      </c>
      <c r="C8" s="200">
        <f>+B8/$B$10</f>
        <v>0.39907902980160825</v>
      </c>
      <c r="D8" s="36">
        <f>ROUND($D$5*C8,2)</f>
        <v>2179431.6</v>
      </c>
      <c r="E8" s="178">
        <f>+'[8]GMO PI Cycle 1'!$K$65</f>
        <v>41263.03</v>
      </c>
      <c r="F8" s="24">
        <f>SUM(D8:E8)</f>
        <v>2220694.63</v>
      </c>
      <c r="G8" s="36">
        <f>ROUND(F8/4,2)*0</f>
        <v>0</v>
      </c>
    </row>
    <row r="9" spans="1:7" x14ac:dyDescent="0.25">
      <c r="A9" s="22" t="s">
        <v>30</v>
      </c>
      <c r="B9" s="93">
        <f>+'[8]PI Allocation'!$B$29</f>
        <v>128844235</v>
      </c>
      <c r="C9" s="200">
        <f>+B9/$B$10</f>
        <v>0.60092097019839175</v>
      </c>
      <c r="D9" s="36">
        <f>ROUND($D$5*C9,2)</f>
        <v>3281721.3</v>
      </c>
      <c r="E9" s="178">
        <f>+'[8]GMO PI Cycle 1'!$X$65</f>
        <v>62132.61</v>
      </c>
      <c r="F9" s="24">
        <f>SUM(D9:E9)</f>
        <v>3343853.9099999997</v>
      </c>
      <c r="G9" s="36">
        <f>ROUND(F9/4,2)*0</f>
        <v>0</v>
      </c>
    </row>
    <row r="10" spans="1:7" ht="15.75" thickBot="1" x14ac:dyDescent="0.3">
      <c r="A10" s="22" t="s">
        <v>6</v>
      </c>
      <c r="B10" s="35">
        <f t="shared" ref="B10:G10" si="0">SUM(B8:B9)</f>
        <v>214411281</v>
      </c>
      <c r="C10" s="200">
        <f t="shared" si="0"/>
        <v>1</v>
      </c>
      <c r="D10" s="24">
        <f t="shared" si="0"/>
        <v>5461152.9000000004</v>
      </c>
      <c r="E10" s="203">
        <f t="shared" si="0"/>
        <v>103395.64</v>
      </c>
      <c r="F10" s="24">
        <f t="shared" si="0"/>
        <v>5564548.5399999991</v>
      </c>
      <c r="G10" s="24">
        <f t="shared" si="0"/>
        <v>0</v>
      </c>
    </row>
    <row r="11" spans="1:7" ht="16.5" thickTop="1" thickBot="1" x14ac:dyDescent="0.3">
      <c r="A11" s="61"/>
      <c r="B11" s="33" t="s">
        <v>12</v>
      </c>
      <c r="C11" s="33"/>
      <c r="D11" s="21">
        <f>ROUND(D5,2)-D10</f>
        <v>0</v>
      </c>
    </row>
    <row r="12" spans="1:7" ht="15.75" thickTop="1" x14ac:dyDescent="0.25">
      <c r="A12" s="61"/>
      <c r="B12" s="61"/>
      <c r="C12" s="61"/>
      <c r="D12" s="61"/>
    </row>
    <row r="13" spans="1:7" x14ac:dyDescent="0.25">
      <c r="A13" s="61"/>
      <c r="B13" s="61"/>
      <c r="C13" s="61"/>
      <c r="D13" s="61"/>
    </row>
    <row r="14" spans="1:7" x14ac:dyDescent="0.25">
      <c r="A14" s="61"/>
      <c r="B14" s="61"/>
      <c r="C14" s="61"/>
      <c r="D14" s="61"/>
    </row>
    <row r="15" spans="1:7" x14ac:dyDescent="0.25">
      <c r="A15" s="61"/>
      <c r="B15" s="61"/>
      <c r="C15" s="61"/>
      <c r="D15" s="61"/>
    </row>
    <row r="16" spans="1:7" x14ac:dyDescent="0.25">
      <c r="A16" s="61"/>
      <c r="B16" s="61"/>
      <c r="C16" s="61"/>
      <c r="D16" s="61"/>
    </row>
    <row r="17" spans="1:4" x14ac:dyDescent="0.25">
      <c r="A17" s="68" t="s">
        <v>13</v>
      </c>
      <c r="B17" s="61"/>
      <c r="C17" s="61"/>
      <c r="D17" s="61"/>
    </row>
    <row r="18" spans="1:4" x14ac:dyDescent="0.25">
      <c r="A18" s="3" t="s">
        <v>107</v>
      </c>
      <c r="B18" s="61"/>
      <c r="C18" s="61"/>
      <c r="D18" s="61"/>
    </row>
    <row r="19" spans="1:4" x14ac:dyDescent="0.25">
      <c r="A19" s="3" t="s">
        <v>108</v>
      </c>
      <c r="B19" s="61"/>
      <c r="C19" s="61"/>
      <c r="D19" s="61"/>
    </row>
    <row r="20" spans="1:4" x14ac:dyDescent="0.25">
      <c r="A20" s="3" t="s">
        <v>109</v>
      </c>
    </row>
    <row r="21" spans="1:4" x14ac:dyDescent="0.25">
      <c r="A21" s="3" t="s">
        <v>110</v>
      </c>
    </row>
    <row r="22" spans="1:4" x14ac:dyDescent="0.25">
      <c r="A22" s="3" t="s">
        <v>111</v>
      </c>
    </row>
  </sheetData>
  <mergeCells count="1">
    <mergeCell ref="B3:D3"/>
  </mergeCells>
  <pageMargins left="0.45" right="0.45" top="0.5" bottom="0.5" header="0.3" footer="0.3"/>
  <pageSetup orientation="landscape" r:id="rId1"/>
  <headerFooter>
    <oddHeader>&amp;C&amp;F &amp;A</oddHeader>
    <oddFooter>&amp;R&amp;1#&amp;"Calibri"&amp;10 Public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4"/>
  <sheetViews>
    <sheetView workbookViewId="0">
      <pane xSplit="2" ySplit="9" topLeftCell="K19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4.5703125" style="61" customWidth="1"/>
    <col min="2" max="2" width="14.7109375" style="61" bestFit="1" customWidth="1"/>
    <col min="3" max="3" width="15" style="61" customWidth="1"/>
    <col min="4" max="4" width="13.85546875" style="61" customWidth="1"/>
    <col min="5" max="5" width="15.85546875" style="61" customWidth="1"/>
    <col min="6" max="6" width="17.5703125" style="61" customWidth="1"/>
    <col min="7" max="8" width="13.28515625" style="61" customWidth="1"/>
    <col min="9" max="9" width="16" style="61" customWidth="1"/>
    <col min="10" max="10" width="15.85546875" style="61" bestFit="1" customWidth="1"/>
    <col min="11" max="11" width="12.5703125" style="61" bestFit="1" customWidth="1"/>
    <col min="12" max="12" width="16" style="61" customWidth="1"/>
    <col min="13" max="13" width="15" style="61" bestFit="1" customWidth="1"/>
    <col min="14" max="14" width="16.28515625" style="61" bestFit="1" customWidth="1"/>
    <col min="15" max="15" width="16.140625" style="61" customWidth="1"/>
    <col min="16" max="16" width="17.28515625" style="61" bestFit="1" customWidth="1"/>
    <col min="17" max="17" width="17.42578125" style="61" customWidth="1"/>
    <col min="18" max="18" width="15.5703125" style="61" customWidth="1"/>
    <col min="19" max="19" width="13" style="61" customWidth="1"/>
    <col min="20" max="20" width="9.140625" style="61"/>
    <col min="21" max="21" width="14.28515625" style="61" bestFit="1" customWidth="1"/>
    <col min="22" max="16384" width="9.140625" style="61"/>
  </cols>
  <sheetData>
    <row r="1" spans="1:34" x14ac:dyDescent="0.25">
      <c r="A1" s="3" t="str">
        <f>+PPC!A1</f>
        <v>KCP&amp;L Greater Missouri Operations Company - DSIM Rider Update Filed 11/30/2018</v>
      </c>
      <c r="B1" s="3"/>
      <c r="C1" s="3"/>
    </row>
    <row r="2" spans="1:34" x14ac:dyDescent="0.25">
      <c r="D2" s="3" t="s">
        <v>112</v>
      </c>
    </row>
    <row r="3" spans="1:34" ht="30" x14ac:dyDescent="0.25">
      <c r="D3" s="63" t="s">
        <v>62</v>
      </c>
      <c r="E3" s="86" t="s">
        <v>2</v>
      </c>
      <c r="F3" s="63" t="s">
        <v>3</v>
      </c>
      <c r="G3" s="86" t="s">
        <v>70</v>
      </c>
      <c r="H3" s="63" t="s">
        <v>11</v>
      </c>
      <c r="I3" s="63" t="s">
        <v>77</v>
      </c>
      <c r="K3" s="230"/>
      <c r="L3" s="230"/>
      <c r="M3" s="230"/>
      <c r="N3" s="231"/>
    </row>
    <row r="4" spans="1:34" x14ac:dyDescent="0.25">
      <c r="A4" s="61" t="s">
        <v>29</v>
      </c>
      <c r="D4" s="24">
        <f>SUM(C16:L16)</f>
        <v>349785.73356953164</v>
      </c>
      <c r="E4" s="24">
        <f>SUM(C12:K12)</f>
        <v>0</v>
      </c>
      <c r="F4" s="24">
        <f>E4-D4</f>
        <v>-349785.73356953164</v>
      </c>
      <c r="G4" s="24">
        <f>+B26</f>
        <v>592488.36</v>
      </c>
      <c r="H4" s="24">
        <f>SUM(C31:K31)</f>
        <v>7826.0400000000009</v>
      </c>
      <c r="I4" s="36">
        <f>SUM(F4:H4)</f>
        <v>250528.66643046835</v>
      </c>
      <c r="J4" s="62">
        <f>+I4-L26</f>
        <v>0</v>
      </c>
      <c r="K4" s="232"/>
      <c r="L4" s="232"/>
      <c r="M4" s="232"/>
      <c r="N4" s="231"/>
    </row>
    <row r="5" spans="1:34" ht="15.75" thickBot="1" x14ac:dyDescent="0.3">
      <c r="A5" s="61" t="s">
        <v>30</v>
      </c>
      <c r="D5" s="24">
        <f>SUM(C17:L17)</f>
        <v>472655.33519999997</v>
      </c>
      <c r="E5" s="24">
        <f>SUM(C13:K13)</f>
        <v>0</v>
      </c>
      <c r="F5" s="24">
        <f>E5-D5</f>
        <v>-472655.33519999997</v>
      </c>
      <c r="G5" s="24">
        <f>+B27</f>
        <v>845974.37</v>
      </c>
      <c r="H5" s="24">
        <f>SUM(C32:K32)</f>
        <v>11694.83</v>
      </c>
      <c r="I5" s="36">
        <f>SUM(F5:H5)</f>
        <v>385013.86480000004</v>
      </c>
      <c r="J5" s="62">
        <f>+I5-L27</f>
        <v>0</v>
      </c>
      <c r="K5" s="232"/>
      <c r="L5" s="232"/>
      <c r="M5" s="232"/>
      <c r="N5" s="231"/>
    </row>
    <row r="6" spans="1:34" ht="16.5" thickTop="1" thickBot="1" x14ac:dyDescent="0.3">
      <c r="D6" s="40">
        <f t="shared" ref="D6" si="0">SUM(D4:D5)</f>
        <v>822441.06876953156</v>
      </c>
      <c r="E6" s="40">
        <f>SUM(E4:E5)</f>
        <v>0</v>
      </c>
      <c r="F6" s="40">
        <f>SUM(F4:F5)</f>
        <v>-822441.06876953156</v>
      </c>
      <c r="G6" s="40">
        <f>SUM(G4:G5)</f>
        <v>1438462.73</v>
      </c>
      <c r="H6" s="94">
        <f>SUM(H4:H5)</f>
        <v>19520.870000000003</v>
      </c>
      <c r="I6" s="40">
        <f>SUM(I4:I5)</f>
        <v>635542.53123046842</v>
      </c>
      <c r="K6" s="231"/>
      <c r="L6" s="231"/>
      <c r="M6" s="231"/>
      <c r="N6" s="231"/>
    </row>
    <row r="7" spans="1:34" ht="16.5" thickTop="1" thickBot="1" x14ac:dyDescent="0.3"/>
    <row r="8" spans="1:34" ht="75.75" thickBot="1" x14ac:dyDescent="0.3">
      <c r="B8" s="145" t="str">
        <f>+'PCR Cycle 1'!B8</f>
        <v>Cumulative Over/Under Carryover From 06/01/2018 Filing</v>
      </c>
      <c r="C8" s="220" t="str">
        <f>+'PCR Cycle 1'!C8</f>
        <v>Reverse May-18 - Jun-18  Forecast From 06/01/2018 Filing</v>
      </c>
      <c r="D8" s="243" t="s">
        <v>39</v>
      </c>
      <c r="E8" s="243"/>
      <c r="F8" s="244"/>
      <c r="G8" s="235" t="s">
        <v>39</v>
      </c>
      <c r="H8" s="236"/>
      <c r="I8" s="237"/>
      <c r="J8" s="245" t="s">
        <v>9</v>
      </c>
      <c r="K8" s="246"/>
      <c r="L8" s="247"/>
    </row>
    <row r="9" spans="1:34" x14ac:dyDescent="0.25">
      <c r="C9" s="14"/>
      <c r="D9" s="20">
        <f>+'PCR Cycle 1'!D9</f>
        <v>43251</v>
      </c>
      <c r="E9" s="20">
        <f t="shared" ref="E9:L9" si="1">EOMONTH(D9,1)</f>
        <v>43281</v>
      </c>
      <c r="F9" s="20">
        <f t="shared" si="1"/>
        <v>43312</v>
      </c>
      <c r="G9" s="14">
        <f t="shared" si="1"/>
        <v>43343</v>
      </c>
      <c r="H9" s="20">
        <f t="shared" si="1"/>
        <v>43373</v>
      </c>
      <c r="I9" s="20">
        <f t="shared" si="1"/>
        <v>43404</v>
      </c>
      <c r="J9" s="14">
        <f t="shared" si="1"/>
        <v>43434</v>
      </c>
      <c r="K9" s="20">
        <f t="shared" si="1"/>
        <v>43465</v>
      </c>
      <c r="L9" s="122">
        <f t="shared" si="1"/>
        <v>43496</v>
      </c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C10" s="125"/>
      <c r="D10" s="44"/>
      <c r="E10" s="44"/>
      <c r="F10" s="44"/>
      <c r="G10" s="41"/>
      <c r="H10" s="44"/>
      <c r="I10" s="17"/>
      <c r="J10" s="41"/>
      <c r="K10" s="44"/>
      <c r="L10" s="42"/>
    </row>
    <row r="11" spans="1:34" x14ac:dyDescent="0.25">
      <c r="A11" s="61" t="s">
        <v>115</v>
      </c>
      <c r="C11" s="126"/>
      <c r="D11" s="44"/>
      <c r="E11" s="44"/>
      <c r="F11" s="44"/>
      <c r="G11" s="41"/>
      <c r="H11" s="44"/>
      <c r="I11" s="18"/>
      <c r="J11" s="10"/>
      <c r="K11" s="17"/>
      <c r="L11" s="11"/>
    </row>
    <row r="12" spans="1:34" x14ac:dyDescent="0.25">
      <c r="A12" s="61" t="s">
        <v>29</v>
      </c>
      <c r="C12" s="53">
        <v>0</v>
      </c>
      <c r="D12" s="54">
        <v>0</v>
      </c>
      <c r="E12" s="54">
        <v>0</v>
      </c>
      <c r="F12" s="135">
        <v>0</v>
      </c>
      <c r="G12" s="53">
        <v>0</v>
      </c>
      <c r="H12" s="54">
        <v>0</v>
      </c>
      <c r="I12" s="135">
        <v>0</v>
      </c>
      <c r="J12" s="53">
        <v>0</v>
      </c>
      <c r="K12" s="54">
        <v>0</v>
      </c>
      <c r="L12" s="54">
        <v>0</v>
      </c>
    </row>
    <row r="13" spans="1:34" x14ac:dyDescent="0.25">
      <c r="A13" s="61" t="s">
        <v>30</v>
      </c>
      <c r="C13" s="53">
        <v>0</v>
      </c>
      <c r="D13" s="54">
        <v>0</v>
      </c>
      <c r="E13" s="54">
        <v>0</v>
      </c>
      <c r="F13" s="135">
        <v>0</v>
      </c>
      <c r="G13" s="53">
        <v>0</v>
      </c>
      <c r="H13" s="54">
        <v>0</v>
      </c>
      <c r="I13" s="135">
        <v>0</v>
      </c>
      <c r="J13" s="53">
        <v>0</v>
      </c>
      <c r="K13" s="54">
        <v>0</v>
      </c>
      <c r="L13" s="54">
        <v>0</v>
      </c>
    </row>
    <row r="14" spans="1:34" x14ac:dyDescent="0.25">
      <c r="C14" s="126"/>
      <c r="D14" s="44"/>
      <c r="E14" s="44"/>
      <c r="F14" s="44"/>
      <c r="G14" s="41"/>
      <c r="H14" s="44"/>
      <c r="I14" s="17"/>
      <c r="J14" s="10"/>
      <c r="K14" s="17"/>
      <c r="L14" s="11"/>
    </row>
    <row r="15" spans="1:34" x14ac:dyDescent="0.25">
      <c r="A15" s="61" t="s">
        <v>117</v>
      </c>
      <c r="C15" s="126"/>
      <c r="D15" s="18"/>
      <c r="E15" s="18"/>
      <c r="F15" s="18"/>
      <c r="G15" s="118"/>
      <c r="H15" s="18"/>
      <c r="J15" s="182"/>
      <c r="K15" s="73"/>
      <c r="L15" s="74"/>
      <c r="M15" s="79" t="s">
        <v>66</v>
      </c>
      <c r="N15" s="52"/>
    </row>
    <row r="16" spans="1:34" x14ac:dyDescent="0.25">
      <c r="A16" s="61" t="s">
        <v>29</v>
      </c>
      <c r="C16" s="124">
        <v>-278466.12</v>
      </c>
      <c r="D16" s="136">
        <f>ROUND('[3]May 2018 Combined'!H23,2)</f>
        <v>77998.570000000007</v>
      </c>
      <c r="E16" s="136">
        <f>ROUND('[3]June 2018 Combined'!G23,2)</f>
        <v>114593.12</v>
      </c>
      <c r="F16" s="137">
        <f>ROUND('[3]July 2018 Combined'!F23,2)</f>
        <v>137410.43</v>
      </c>
      <c r="G16" s="221">
        <f>ROUND('[3]August 2018 Combined'!F23,2)</f>
        <v>57639.47</v>
      </c>
      <c r="H16" s="178">
        <f>ROUND('[3]September 2018 Combined'!F23,2)</f>
        <v>53560.28</v>
      </c>
      <c r="I16" s="179">
        <f>ROUND('[3]October 2018 Combined'!F23,2)</f>
        <v>39819.31</v>
      </c>
      <c r="J16" s="53">
        <f>+$M16*'PCR Cycle 1'!J21</f>
        <v>35695.016212449598</v>
      </c>
      <c r="K16" s="54">
        <f>+$M16*'PCR Cycle 1'!K21</f>
        <v>49919.716717082076</v>
      </c>
      <c r="L16" s="54">
        <f>+$M16*'PCR Cycle 1'!L21</f>
        <v>61615.940639999993</v>
      </c>
      <c r="M16" s="88">
        <v>1.5999999999999999E-4</v>
      </c>
    </row>
    <row r="17" spans="1:13" x14ac:dyDescent="0.25">
      <c r="A17" s="61" t="s">
        <v>30</v>
      </c>
      <c r="C17" s="124">
        <v>-443063.71</v>
      </c>
      <c r="D17" s="136">
        <f>ROUND('[3]May 2018 Combined'!H24,2)</f>
        <v>145981.79</v>
      </c>
      <c r="E17" s="136">
        <f>ROUND('[3]June 2018 Combined'!G24,2)</f>
        <v>158243.93</v>
      </c>
      <c r="F17" s="137">
        <f>ROUND('[3]July 2018 Combined'!F24,2)</f>
        <v>171447.76</v>
      </c>
      <c r="G17" s="221">
        <f>ROUND('[3]August 2018 Combined'!F24,2)</f>
        <v>82689.98</v>
      </c>
      <c r="H17" s="178">
        <f>ROUND('[3]September 2018 Combined'!F24,2)</f>
        <v>76632.600000000006</v>
      </c>
      <c r="I17" s="179">
        <f>ROUND('[3]October 2018 Combined'!F24,2)</f>
        <v>72351.33</v>
      </c>
      <c r="J17" s="53">
        <f>+$M17*'PCR Cycle 1'!J22</f>
        <v>68084.221919999996</v>
      </c>
      <c r="K17" s="54">
        <f>+$M17*'PCR Cycle 1'!K22</f>
        <v>68293.786080000005</v>
      </c>
      <c r="L17" s="54">
        <f>+$M17*'PCR Cycle 1'!L22</f>
        <v>71993.647200000007</v>
      </c>
      <c r="M17" s="88">
        <v>2.4000000000000001E-4</v>
      </c>
    </row>
    <row r="18" spans="1:13" x14ac:dyDescent="0.25">
      <c r="C18" s="83"/>
      <c r="D18" s="18"/>
      <c r="E18" s="18"/>
      <c r="F18" s="18"/>
      <c r="G18" s="118"/>
      <c r="H18" s="18"/>
      <c r="J18" s="12"/>
      <c r="K18" s="71"/>
      <c r="L18" s="13"/>
      <c r="M18" s="4"/>
    </row>
    <row r="19" spans="1:13" ht="15.75" thickBot="1" x14ac:dyDescent="0.3">
      <c r="A19" s="61" t="s">
        <v>118</v>
      </c>
      <c r="C19" s="130">
        <v>-10169.869999999999</v>
      </c>
      <c r="D19" s="139">
        <v>5427.37</v>
      </c>
      <c r="E19" s="139">
        <v>4960.49</v>
      </c>
      <c r="F19" s="140">
        <v>4185.7</v>
      </c>
      <c r="G19" s="39">
        <v>3568.8</v>
      </c>
      <c r="H19" s="149">
        <v>3302.87</v>
      </c>
      <c r="I19" s="208">
        <v>3060.8500000000004</v>
      </c>
      <c r="J19" s="184"/>
      <c r="K19" s="173"/>
      <c r="L19" s="100"/>
    </row>
    <row r="20" spans="1:13" x14ac:dyDescent="0.25">
      <c r="C20" s="126"/>
      <c r="D20" s="44"/>
      <c r="E20" s="44"/>
      <c r="F20" s="44"/>
      <c r="G20" s="41"/>
      <c r="H20" s="44"/>
      <c r="I20" s="17"/>
      <c r="J20" s="10"/>
      <c r="K20" s="17"/>
      <c r="L20" s="11"/>
    </row>
    <row r="21" spans="1:13" x14ac:dyDescent="0.25">
      <c r="A21" s="61" t="s">
        <v>68</v>
      </c>
      <c r="C21" s="126"/>
      <c r="D21" s="44"/>
      <c r="E21" s="44"/>
      <c r="F21" s="44"/>
      <c r="G21" s="41"/>
      <c r="H21" s="44"/>
      <c r="I21" s="17"/>
      <c r="J21" s="10"/>
      <c r="K21" s="17"/>
      <c r="L21" s="11"/>
    </row>
    <row r="22" spans="1:13" x14ac:dyDescent="0.25">
      <c r="A22" s="61" t="s">
        <v>29</v>
      </c>
      <c r="C22" s="53">
        <f t="shared" ref="C22" si="2">C12-C16</f>
        <v>278466.12</v>
      </c>
      <c r="D22" s="54">
        <f t="shared" ref="D22:L22" si="3">D12-D16</f>
        <v>-77998.570000000007</v>
      </c>
      <c r="E22" s="54">
        <f t="shared" si="3"/>
        <v>-114593.12</v>
      </c>
      <c r="F22" s="135">
        <f t="shared" si="3"/>
        <v>-137410.43</v>
      </c>
      <c r="G22" s="53">
        <f t="shared" si="3"/>
        <v>-57639.47</v>
      </c>
      <c r="H22" s="54">
        <f t="shared" si="3"/>
        <v>-53560.28</v>
      </c>
      <c r="I22" s="135">
        <f t="shared" si="3"/>
        <v>-39819.31</v>
      </c>
      <c r="J22" s="53">
        <f t="shared" si="3"/>
        <v>-35695.016212449598</v>
      </c>
      <c r="K22" s="54">
        <f t="shared" si="3"/>
        <v>-49919.716717082076</v>
      </c>
      <c r="L22" s="64">
        <f t="shared" si="3"/>
        <v>-61615.940639999993</v>
      </c>
    </row>
    <row r="23" spans="1:13" x14ac:dyDescent="0.25">
      <c r="A23" s="61" t="s">
        <v>30</v>
      </c>
      <c r="C23" s="53">
        <f t="shared" ref="C23" si="4">C13-C17</f>
        <v>443063.71</v>
      </c>
      <c r="D23" s="54">
        <f t="shared" ref="D23:L23" si="5">D13-D17</f>
        <v>-145981.79</v>
      </c>
      <c r="E23" s="54">
        <f t="shared" si="5"/>
        <v>-158243.93</v>
      </c>
      <c r="F23" s="135">
        <f t="shared" si="5"/>
        <v>-171447.76</v>
      </c>
      <c r="G23" s="53">
        <f t="shared" si="5"/>
        <v>-82689.98</v>
      </c>
      <c r="H23" s="54">
        <f t="shared" si="5"/>
        <v>-76632.600000000006</v>
      </c>
      <c r="I23" s="135">
        <f t="shared" si="5"/>
        <v>-72351.33</v>
      </c>
      <c r="J23" s="53">
        <f t="shared" si="5"/>
        <v>-68084.221919999996</v>
      </c>
      <c r="K23" s="54">
        <f t="shared" si="5"/>
        <v>-68293.786080000005</v>
      </c>
      <c r="L23" s="64">
        <f t="shared" si="5"/>
        <v>-71993.647200000007</v>
      </c>
    </row>
    <row r="24" spans="1:13" x14ac:dyDescent="0.25">
      <c r="C24" s="126"/>
      <c r="D24" s="44"/>
      <c r="E24" s="44"/>
      <c r="F24" s="44"/>
      <c r="G24" s="41"/>
      <c r="H24" s="44"/>
      <c r="I24" s="17"/>
      <c r="J24" s="10"/>
      <c r="K24" s="17"/>
      <c r="L24" s="11"/>
    </row>
    <row r="25" spans="1:13" ht="15.75" thickBot="1" x14ac:dyDescent="0.3">
      <c r="A25" s="61" t="s">
        <v>69</v>
      </c>
      <c r="C25" s="131"/>
      <c r="D25" s="44"/>
      <c r="E25" s="44"/>
      <c r="F25" s="44"/>
      <c r="G25" s="41"/>
      <c r="H25" s="44"/>
      <c r="I25" s="17"/>
      <c r="J25" s="10"/>
      <c r="K25" s="17"/>
      <c r="L25" s="11"/>
    </row>
    <row r="26" spans="1:13" x14ac:dyDescent="0.25">
      <c r="A26" s="61" t="s">
        <v>29</v>
      </c>
      <c r="B26" s="143">
        <v>592488.36</v>
      </c>
      <c r="C26" s="54">
        <f>B26+C22+B31</f>
        <v>870954.48</v>
      </c>
      <c r="D26" s="54">
        <f t="shared" ref="D26:L27" si="6">C26+D22+C31</f>
        <v>788798.47999999986</v>
      </c>
      <c r="E26" s="54">
        <f t="shared" si="6"/>
        <v>676410.03999999992</v>
      </c>
      <c r="F26" s="135">
        <f t="shared" si="6"/>
        <v>541027.37999999989</v>
      </c>
      <c r="G26" s="53">
        <f t="shared" si="6"/>
        <v>485079.23999999993</v>
      </c>
      <c r="H26" s="54">
        <f t="shared" si="6"/>
        <v>432942.25999999995</v>
      </c>
      <c r="I26" s="135">
        <f t="shared" si="6"/>
        <v>394435.47</v>
      </c>
      <c r="J26" s="53">
        <f t="shared" si="6"/>
        <v>359961.11378755036</v>
      </c>
      <c r="K26" s="54">
        <f t="shared" si="6"/>
        <v>311154.41707046831</v>
      </c>
      <c r="L26" s="64">
        <f t="shared" si="6"/>
        <v>250528.66643046832</v>
      </c>
    </row>
    <row r="27" spans="1:13" ht="15.75" thickBot="1" x14ac:dyDescent="0.3">
      <c r="A27" s="61" t="s">
        <v>30</v>
      </c>
      <c r="B27" s="144">
        <v>845974.37</v>
      </c>
      <c r="C27" s="54">
        <f>B27+C23+B32</f>
        <v>1289038.08</v>
      </c>
      <c r="D27" s="54">
        <f t="shared" si="6"/>
        <v>1137043.8500000001</v>
      </c>
      <c r="E27" s="54">
        <f t="shared" si="6"/>
        <v>982022.62000000011</v>
      </c>
      <c r="F27" s="135">
        <f t="shared" si="6"/>
        <v>813507.58000000007</v>
      </c>
      <c r="G27" s="53">
        <f t="shared" si="6"/>
        <v>733311.97000000009</v>
      </c>
      <c r="H27" s="54">
        <f t="shared" si="6"/>
        <v>658824.87000000011</v>
      </c>
      <c r="I27" s="135">
        <f t="shared" si="6"/>
        <v>588463.89000000013</v>
      </c>
      <c r="J27" s="53">
        <f t="shared" si="6"/>
        <v>522219.85808000015</v>
      </c>
      <c r="K27" s="54">
        <f t="shared" si="6"/>
        <v>455564.82200000016</v>
      </c>
      <c r="L27" s="64">
        <f t="shared" si="6"/>
        <v>385013.86480000016</v>
      </c>
    </row>
    <row r="28" spans="1:13" x14ac:dyDescent="0.25">
      <c r="C28" s="126"/>
      <c r="D28" s="44"/>
      <c r="E28" s="44"/>
      <c r="F28" s="44"/>
      <c r="G28" s="41"/>
      <c r="H28" s="44"/>
      <c r="I28" s="17"/>
      <c r="J28" s="10"/>
      <c r="K28" s="17"/>
      <c r="L28" s="11"/>
    </row>
    <row r="29" spans="1:13" x14ac:dyDescent="0.25">
      <c r="A29" s="52" t="s">
        <v>119</v>
      </c>
      <c r="B29" s="52"/>
      <c r="C29" s="131"/>
      <c r="D29" s="103">
        <f>+'PCR Cycle 1'!D38</f>
        <v>2.6633099999999999E-3</v>
      </c>
      <c r="E29" s="103">
        <f>+'PCR Cycle 1'!E38</f>
        <v>2.7637299999999998E-3</v>
      </c>
      <c r="F29" s="103">
        <f>+'PCR Cycle 1'!F38</f>
        <v>2.7738900000000002E-3</v>
      </c>
      <c r="G29" s="105">
        <f>+'PCR Cycle 1'!G38</f>
        <v>2.76961E-3</v>
      </c>
      <c r="H29" s="103">
        <f>+'PCR Cycle 1'!H38</f>
        <v>2.8550200000000002E-3</v>
      </c>
      <c r="I29" s="104">
        <f>+'PCR Cycle 1'!I38</f>
        <v>2.9459999999999998E-3</v>
      </c>
      <c r="J29" s="105">
        <f>+I29</f>
        <v>2.9459999999999998E-3</v>
      </c>
      <c r="K29" s="103">
        <f>+J29</f>
        <v>2.9459999999999998E-3</v>
      </c>
      <c r="L29" s="119"/>
    </row>
    <row r="30" spans="1:13" x14ac:dyDescent="0.25">
      <c r="A30" s="52" t="s">
        <v>44</v>
      </c>
      <c r="B30" s="52"/>
      <c r="C30" s="126"/>
      <c r="D30" s="44"/>
      <c r="E30" s="44"/>
      <c r="F30" s="44"/>
      <c r="G30" s="41"/>
      <c r="H30" s="44"/>
      <c r="I30" s="17"/>
      <c r="J30" s="10"/>
      <c r="K30" s="17"/>
      <c r="L30" s="11"/>
      <c r="M30" s="87"/>
    </row>
    <row r="31" spans="1:13" x14ac:dyDescent="0.25">
      <c r="A31" s="61" t="s">
        <v>29</v>
      </c>
      <c r="C31" s="53">
        <v>-4157.43</v>
      </c>
      <c r="D31" s="54">
        <f>ROUND((C26+C31+D22/2)*D$29,2)</f>
        <v>2204.6799999999998</v>
      </c>
      <c r="E31" s="54">
        <f t="shared" ref="E31:K32" si="7">ROUND((D26+D31+E22/2)*E$29,2)</f>
        <v>2027.77</v>
      </c>
      <c r="F31" s="135">
        <f t="shared" si="7"/>
        <v>1691.33</v>
      </c>
      <c r="G31" s="53">
        <f t="shared" si="7"/>
        <v>1423.3</v>
      </c>
      <c r="H31" s="150">
        <f t="shared" si="7"/>
        <v>1312.52</v>
      </c>
      <c r="I31" s="209">
        <f t="shared" si="7"/>
        <v>1220.6600000000001</v>
      </c>
      <c r="J31" s="53">
        <f t="shared" si="7"/>
        <v>1113.02</v>
      </c>
      <c r="K31" s="150">
        <f t="shared" si="7"/>
        <v>990.19</v>
      </c>
      <c r="L31" s="64"/>
    </row>
    <row r="32" spans="1:13" ht="15.75" thickBot="1" x14ac:dyDescent="0.3">
      <c r="A32" s="61" t="s">
        <v>30</v>
      </c>
      <c r="C32" s="141">
        <v>-6012.4400000000005</v>
      </c>
      <c r="D32" s="54">
        <f>ROUND((C27+C32+D23/2)*D$29,2)</f>
        <v>3222.7</v>
      </c>
      <c r="E32" s="54">
        <f t="shared" si="7"/>
        <v>2932.72</v>
      </c>
      <c r="F32" s="135">
        <f t="shared" si="7"/>
        <v>2494.37</v>
      </c>
      <c r="G32" s="53">
        <f t="shared" si="7"/>
        <v>2145.5</v>
      </c>
      <c r="H32" s="150">
        <f t="shared" si="7"/>
        <v>1990.35</v>
      </c>
      <c r="I32" s="209">
        <f t="shared" si="7"/>
        <v>1840.19</v>
      </c>
      <c r="J32" s="53">
        <f t="shared" si="7"/>
        <v>1638.75</v>
      </c>
      <c r="K32" s="150">
        <f t="shared" si="7"/>
        <v>1442.69</v>
      </c>
      <c r="L32" s="64"/>
    </row>
    <row r="33" spans="1:12" ht="16.5" thickTop="1" thickBot="1" x14ac:dyDescent="0.3">
      <c r="A33" s="69" t="s">
        <v>25</v>
      </c>
      <c r="B33" s="69"/>
      <c r="C33" s="142">
        <v>0</v>
      </c>
      <c r="D33" s="45">
        <f t="shared" ref="D33:I33" si="8">SUM(D31:D32)+SUM(D26:D27)-D36</f>
        <v>0</v>
      </c>
      <c r="E33" s="45">
        <f t="shared" si="8"/>
        <v>0</v>
      </c>
      <c r="F33" s="65">
        <f t="shared" ref="F33:H33" si="9">SUM(F31:F32)+SUM(F26:F27)-F36</f>
        <v>0</v>
      </c>
      <c r="G33" s="151">
        <f t="shared" si="9"/>
        <v>0</v>
      </c>
      <c r="H33" s="45">
        <f t="shared" si="9"/>
        <v>0</v>
      </c>
      <c r="I33" s="65">
        <f t="shared" si="8"/>
        <v>0</v>
      </c>
      <c r="J33" s="66">
        <f t="shared" ref="J33:L33" si="10">SUM(J31:J32)+SUM(J26:J27)-J36</f>
        <v>0</v>
      </c>
      <c r="K33" s="45">
        <f t="shared" si="10"/>
        <v>0</v>
      </c>
      <c r="L33" s="123">
        <f t="shared" si="10"/>
        <v>0</v>
      </c>
    </row>
    <row r="34" spans="1:12" ht="16.5" thickTop="1" thickBot="1" x14ac:dyDescent="0.3">
      <c r="A34" s="69" t="s">
        <v>26</v>
      </c>
      <c r="B34" s="69"/>
      <c r="C34" s="134">
        <v>0</v>
      </c>
      <c r="D34" s="45">
        <f>SUM(D31:D32)-D19</f>
        <v>9.999999999308784E-3</v>
      </c>
      <c r="E34" s="45">
        <f t="shared" ref="E34:I34" si="11">SUM(E31:E32)-E19</f>
        <v>0</v>
      </c>
      <c r="F34" s="65">
        <f t="shared" ref="F34:H34" si="12">SUM(F31:F32)-F19</f>
        <v>0</v>
      </c>
      <c r="G34" s="66">
        <f t="shared" si="12"/>
        <v>0</v>
      </c>
      <c r="H34" s="45">
        <f t="shared" si="12"/>
        <v>0</v>
      </c>
      <c r="I34" s="65">
        <f t="shared" si="11"/>
        <v>0</v>
      </c>
      <c r="J34" s="66">
        <f t="shared" ref="J34:L34" si="13">SUM(J31:J32)-J19</f>
        <v>2751.77</v>
      </c>
      <c r="K34" s="45">
        <f t="shared" si="13"/>
        <v>2432.88</v>
      </c>
      <c r="L34" s="123">
        <f t="shared" si="13"/>
        <v>0</v>
      </c>
    </row>
    <row r="35" spans="1:12" ht="16.5" thickTop="1" thickBot="1" x14ac:dyDescent="0.3">
      <c r="C35" s="126"/>
      <c r="D35" s="17"/>
      <c r="E35" s="17"/>
      <c r="F35" s="17"/>
      <c r="G35" s="10"/>
      <c r="H35" s="17"/>
      <c r="I35" s="17"/>
      <c r="J35" s="10"/>
      <c r="K35" s="17"/>
      <c r="L35" s="11"/>
    </row>
    <row r="36" spans="1:12" ht="15.75" thickBot="1" x14ac:dyDescent="0.3">
      <c r="A36" s="61" t="s">
        <v>42</v>
      </c>
      <c r="B36" s="146">
        <f>+B26+B27</f>
        <v>1438462.73</v>
      </c>
      <c r="C36" s="53">
        <f>(SUM(C12:C13)-SUM(C16:C17))+SUM(C31:C32)+B36</f>
        <v>2149822.69</v>
      </c>
      <c r="D36" s="54">
        <f t="shared" ref="D36:L36" si="14">(SUM(D12:D13)-SUM(D16:D17))+SUM(D31:D32)+C36</f>
        <v>1931269.71</v>
      </c>
      <c r="E36" s="54">
        <f t="shared" si="14"/>
        <v>1663393.15</v>
      </c>
      <c r="F36" s="135">
        <f t="shared" si="14"/>
        <v>1358720.66</v>
      </c>
      <c r="G36" s="53">
        <f t="shared" si="14"/>
        <v>1221960.0099999998</v>
      </c>
      <c r="H36" s="54">
        <f t="shared" si="14"/>
        <v>1095069.9999999998</v>
      </c>
      <c r="I36" s="135">
        <f t="shared" si="14"/>
        <v>985960.20999999973</v>
      </c>
      <c r="J36" s="53">
        <f t="shared" si="14"/>
        <v>884932.74186755018</v>
      </c>
      <c r="K36" s="54">
        <f t="shared" si="14"/>
        <v>769152.11907046812</v>
      </c>
      <c r="L36" s="77">
        <f t="shared" si="14"/>
        <v>635542.53123046807</v>
      </c>
    </row>
    <row r="37" spans="1:12" x14ac:dyDescent="0.25">
      <c r="C37" s="147"/>
      <c r="D37" s="71"/>
      <c r="E37" s="71"/>
      <c r="F37" s="71"/>
      <c r="G37" s="12"/>
      <c r="H37" s="71"/>
      <c r="I37" s="17"/>
      <c r="J37" s="10"/>
      <c r="K37" s="17"/>
      <c r="L37" s="11"/>
    </row>
    <row r="38" spans="1:12" ht="15.75" thickBot="1" x14ac:dyDescent="0.3">
      <c r="B38" s="17"/>
      <c r="C38" s="56"/>
      <c r="D38" s="57"/>
      <c r="E38" s="57"/>
      <c r="F38" s="57"/>
      <c r="G38" s="56"/>
      <c r="H38" s="57"/>
      <c r="I38" s="57"/>
      <c r="J38" s="56"/>
      <c r="K38" s="57"/>
      <c r="L38" s="58"/>
    </row>
    <row r="40" spans="1:12" x14ac:dyDescent="0.25">
      <c r="A40" s="85" t="s">
        <v>13</v>
      </c>
      <c r="B40" s="85"/>
      <c r="C40" s="85"/>
    </row>
    <row r="41" spans="1:12" ht="30.75" customHeight="1" x14ac:dyDescent="0.25">
      <c r="A41" s="241" t="s">
        <v>116</v>
      </c>
      <c r="B41" s="241"/>
      <c r="C41" s="241"/>
      <c r="D41" s="241"/>
      <c r="E41" s="241"/>
      <c r="F41" s="241"/>
      <c r="G41" s="241"/>
      <c r="H41" s="241"/>
      <c r="I41" s="241"/>
      <c r="J41" s="206"/>
      <c r="K41" s="206"/>
      <c r="L41" s="206"/>
    </row>
    <row r="42" spans="1:12" ht="30.75" customHeight="1" x14ac:dyDescent="0.25">
      <c r="A42" s="241" t="s">
        <v>139</v>
      </c>
      <c r="B42" s="241"/>
      <c r="C42" s="241"/>
      <c r="D42" s="241"/>
      <c r="E42" s="241"/>
      <c r="F42" s="241"/>
      <c r="G42" s="241"/>
      <c r="H42" s="241"/>
      <c r="I42" s="241"/>
      <c r="J42" s="206"/>
      <c r="K42" s="206"/>
      <c r="L42" s="206"/>
    </row>
    <row r="43" spans="1:12" x14ac:dyDescent="0.25">
      <c r="A43" s="3" t="s">
        <v>120</v>
      </c>
      <c r="B43" s="3"/>
      <c r="C43" s="3"/>
      <c r="I43" s="4"/>
    </row>
    <row r="44" spans="1:12" x14ac:dyDescent="0.25">
      <c r="A44" s="3" t="s">
        <v>134</v>
      </c>
      <c r="B44" s="3"/>
      <c r="C44" s="3"/>
      <c r="I44" s="4"/>
    </row>
    <row r="45" spans="1:12" x14ac:dyDescent="0.25">
      <c r="A45" s="3" t="s">
        <v>121</v>
      </c>
      <c r="B45" s="3"/>
      <c r="C45" s="3"/>
      <c r="I45" s="4"/>
    </row>
    <row r="46" spans="1:12" x14ac:dyDescent="0.25">
      <c r="C46" s="62"/>
    </row>
    <row r="47" spans="1:12" x14ac:dyDescent="0.25">
      <c r="C47" s="62"/>
    </row>
    <row r="54" spans="13:13" x14ac:dyDescent="0.25">
      <c r="M54" s="8"/>
    </row>
  </sheetData>
  <mergeCells count="5">
    <mergeCell ref="D8:F8"/>
    <mergeCell ref="A42:I42"/>
    <mergeCell ref="A41:I41"/>
    <mergeCell ref="G8:I8"/>
    <mergeCell ref="J8:L8"/>
  </mergeCells>
  <pageMargins left="0.7" right="0.7" top="0.75" bottom="0.75" header="0.3" footer="0.3"/>
  <pageSetup orientation="portrait" r:id="rId1"/>
  <headerFooter>
    <oddFooter>&amp;R&amp;1#&amp;"Calibri"&amp;10 Public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925DDD79CB154991C6089F2A32D6FE" ma:contentTypeVersion="" ma:contentTypeDescription="Create a new document." ma:contentTypeScope="" ma:versionID="3441e2133dc23d47401545fc31bad8af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E680F6-EEBC-41A4-AEB5-0B773B5EACA2}">
  <ds:schemaRefs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4FE36353-2D23-4413-BFF3-128FB6002D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EDB334-3587-4A3D-852E-1BB48936F0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tariff tables</vt:lpstr>
      <vt:lpstr>PPC</vt:lpstr>
      <vt:lpstr>PCR Cycle 1</vt:lpstr>
      <vt:lpstr>PCR Cycle 2</vt:lpstr>
      <vt:lpstr>PTD</vt:lpstr>
      <vt:lpstr>TDR Cycle 1</vt:lpstr>
      <vt:lpstr>TDR Cycle 2</vt:lpstr>
      <vt:lpstr>EO</vt:lpstr>
      <vt:lpstr>EOR</vt:lpstr>
      <vt:lpstr>OA</vt:lpstr>
      <vt:lpstr>OAR</vt:lpstr>
      <vt:lpstr>Sheet1</vt:lpstr>
      <vt:lpstr>'PCR Cycle 1'!Print_Area</vt:lpstr>
      <vt:lpstr>'PCR Cycle 2'!Print_Area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Unspecified User</dc:creator>
  <cp:lastModifiedBy>Jordan Shelley</cp:lastModifiedBy>
  <cp:lastPrinted>2018-11-29T19:57:38Z</cp:lastPrinted>
  <dcterms:created xsi:type="dcterms:W3CDTF">2013-08-12T19:20:10Z</dcterms:created>
  <dcterms:modified xsi:type="dcterms:W3CDTF">2018-11-29T19:57:43Z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0x01010065925DDD79CB154991C6089F2A32D6FE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SIP_Label_317d42de-01b9-46f0-9b1a-04240492a9f0_Enabled">
    <vt:lpwstr>True</vt:lpwstr>
  </property>
  <property fmtid="{D5CDD505-2E9C-101B-9397-08002B2CF9AE}" pid="6" name="MSIP_Label_317d42de-01b9-46f0-9b1a-04240492a9f0_SiteId">
    <vt:lpwstr>9ef58ab0-3510-4d99-8d3e-3c9e02ebab7f</vt:lpwstr>
  </property>
  <property fmtid="{D5CDD505-2E9C-101B-9397-08002B2CF9AE}" pid="7" name="MSIP_Label_317d42de-01b9-46f0-9b1a-04240492a9f0_Owner">
    <vt:lpwstr>Shelley.Jordan@kcpl.com</vt:lpwstr>
  </property>
  <property fmtid="{D5CDD505-2E9C-101B-9397-08002B2CF9AE}" pid="8" name="MSIP_Label_317d42de-01b9-46f0-9b1a-04240492a9f0_SetDate">
    <vt:lpwstr>2018-11-29T19:57:21.1523999Z</vt:lpwstr>
  </property>
  <property fmtid="{D5CDD505-2E9C-101B-9397-08002B2CF9AE}" pid="9" name="MSIP_Label_317d42de-01b9-46f0-9b1a-04240492a9f0_Name">
    <vt:lpwstr>Public</vt:lpwstr>
  </property>
  <property fmtid="{D5CDD505-2E9C-101B-9397-08002B2CF9AE}" pid="10" name="MSIP_Label_317d42de-01b9-46f0-9b1a-04240492a9f0_Application">
    <vt:lpwstr>Microsoft Azure Information Protection</vt:lpwstr>
  </property>
  <property fmtid="{D5CDD505-2E9C-101B-9397-08002B2CF9AE}" pid="11" name="MSIP_Label_317d42de-01b9-46f0-9b1a-04240492a9f0_Extended_MSFT_Method">
    <vt:lpwstr>Manual</vt:lpwstr>
  </property>
  <property fmtid="{D5CDD505-2E9C-101B-9397-08002B2CF9AE}" pid="12" name="Sensitivity">
    <vt:lpwstr>Public</vt:lpwstr>
  </property>
</Properties>
</file>